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/>
  <calcPr/>
  <extLst>
    <ext uri="GoogleSheetsCustomDataVersion1">
      <go:sheetsCustomData xmlns:go="http://customooxmlschemas.google.com/" r:id="rId7" roundtripDataSignature="AMtx7mjaB3y6LjzcToMB+mouFodvSENi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======
ID#AAAAq3GJlqQ
1    (2021-02-08 11:51:25)
(Каменева)</t>
      </text>
    </comment>
    <comment authorId="0" ref="D696">
      <text>
        <t xml:space="preserve">======
ID#AAAAq3GJlrY
1    (2021-02-08 11:51:25)
https://www.scopus.com/authid/detail.uri?authorId=57211741785&amp;amp;eid=2-s2.0-85074906172</t>
      </text>
    </comment>
    <comment authorId="0" ref="D414">
      <text>
        <t xml:space="preserve">======
ID#AAAAq3GJlrU
1    (2021-02-08 11:51:25)
https://www.scopus.com/authid/detail.uri?authorId=57190967650</t>
      </text>
    </comment>
  </commentList>
  <extLst>
    <ext uri="GoogleSheetsCustomDataVersion1">
      <go:sheetsCustomData xmlns:go="http://customooxmlschemas.google.com/" r:id="rId1" roundtripDataSignature="AMtx7mgFXzja+r5vobniqRle1q8ZOvTMOA=="/>
    </ext>
  </extLst>
</comments>
</file>

<file path=xl/sharedStrings.xml><?xml version="1.0" encoding="utf-8"?>
<sst xmlns="http://schemas.openxmlformats.org/spreadsheetml/2006/main" count="8210" uniqueCount="3889">
  <si>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</si>
  <si>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</si>
  <si>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</si>
  <si>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</si>
  <si>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</si>
  <si>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</si>
  <si>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</si>
  <si>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</si>
  <si>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</si>
  <si>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</si>
  <si>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</si>
  <si>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</si>
  <si>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</si>
  <si>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</si>
  <si>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</si>
  <si>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</si>
  <si>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</si>
  <si>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</si>
  <si>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</si>
  <si>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</si>
  <si>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</si>
  <si>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</si>
  <si>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</si>
  <si>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</si>
  <si>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</si>
  <si>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</si>
  <si>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</si>
  <si>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</si>
  <si>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</si>
  <si>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</si>
  <si>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</si>
  <si>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</si>
  <si>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</si>
  <si>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</si>
  <si>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</si>
  <si>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</si>
  <si>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</si>
  <si>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</si>
  <si>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</si>
  <si>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</si>
  <si>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</si>
  <si>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</si>
  <si>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</si>
  <si>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</si>
  <si>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</si>
  <si>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</si>
  <si>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</si>
  <si>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</si>
  <si>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</si>
  <si>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</si>
  <si>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</si>
  <si>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</si>
  <si>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</si>
  <si>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</si>
  <si>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t xml:space="preserve"> http://orcid.org/0000-0002-2105-1603</t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</si>
  <si>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</si>
  <si>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</si>
  <si>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</si>
  <si>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</si>
  <si>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</si>
  <si>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</si>
  <si>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</si>
  <si>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</si>
  <si>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</si>
  <si>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</si>
  <si>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</si>
  <si>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</si>
  <si>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</si>
  <si>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</si>
  <si>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</si>
  <si>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</si>
  <si>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</si>
  <si>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</si>
  <si>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</si>
  <si>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</si>
  <si>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</si>
  <si>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</si>
  <si>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</si>
  <si>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</si>
  <si>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</si>
  <si>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</si>
  <si>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</si>
  <si>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</si>
  <si>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</si>
  <si>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</si>
  <si>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</si>
  <si>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</si>
  <si>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</si>
  <si>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</si>
  <si>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</si>
  <si>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</si>
  <si>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</si>
  <si>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</si>
  <si>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</si>
  <si>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</si>
  <si>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</si>
  <si>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</si>
  <si>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https://www.scopus.com/authid/detail.uri?authorId=26532947000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</si>
  <si>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</si>
  <si>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</si>
  <si>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</si>
  <si>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</si>
  <si>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</si>
  <si>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</si>
  <si>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</si>
  <si>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</si>
  <si>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</si>
  <si>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</si>
  <si>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</si>
  <si>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</si>
  <si>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</si>
  <si>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</si>
  <si>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</si>
  <si>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</si>
  <si>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</si>
  <si>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</si>
  <si>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</si>
  <si>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</si>
  <si>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</si>
  <si>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</si>
  <si>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</si>
  <si>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</si>
  <si>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</si>
  <si>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</si>
  <si>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</si>
  <si>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</si>
  <si>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</si>
  <si>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</si>
  <si>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</si>
  <si>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</si>
  <si>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</si>
  <si>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</si>
  <si>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</si>
  <si>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</si>
  <si>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</si>
  <si>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</si>
  <si>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</si>
  <si>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</si>
  <si>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</si>
  <si>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</si>
  <si>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</si>
  <si>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</si>
  <si>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</si>
  <si>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</si>
  <si>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</si>
  <si>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</si>
  <si>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</si>
  <si>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</si>
  <si>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https://www.scopus.com/authid/detail.uri?authorId=8698846100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</si>
  <si>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</si>
  <si>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</si>
  <si>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</si>
  <si>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</si>
  <si>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</si>
  <si>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</si>
  <si>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</si>
  <si>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</si>
  <si>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</si>
  <si>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</si>
  <si>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</si>
  <si>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</si>
  <si>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t xml:space="preserve"> http://orcid.org/0000-0003-2573-9031</t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</si>
  <si>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</si>
  <si>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</si>
  <si>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</si>
  <si>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</si>
  <si>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</si>
  <si>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</si>
  <si>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</si>
  <si>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</si>
  <si>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</si>
  <si>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</si>
  <si>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</si>
  <si>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</si>
  <si>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</si>
  <si>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</si>
  <si>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</si>
  <si>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</si>
  <si>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</si>
  <si>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</si>
  <si>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</si>
  <si>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</si>
  <si>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</si>
  <si>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</si>
  <si>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</si>
  <si>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</si>
  <si>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</si>
  <si>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</si>
  <si>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</si>
  <si>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</si>
  <si>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</si>
  <si>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</si>
  <si>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</si>
  <si>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</si>
  <si>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</si>
  <si>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</si>
  <si>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</si>
  <si>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https://www.scopus.com/authid/detail.uri?authorId=57383114500</t>
  </si>
  <si>
    <t>Bilova T. ; Bilova, Tetiana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</si>
  <si>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</si>
  <si>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</si>
  <si>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</si>
  <si>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</si>
  <si>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</si>
  <si>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</si>
  <si>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</si>
  <si>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</si>
  <si>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</si>
  <si>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</si>
  <si>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</si>
  <si>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</si>
  <si>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</si>
  <si>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</si>
  <si>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</si>
  <si>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</si>
  <si>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</si>
  <si>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</si>
  <si>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</si>
  <si>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</si>
  <si>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</si>
  <si>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</si>
  <si>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</si>
  <si>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</si>
  <si>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</si>
  <si>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</si>
  <si>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</si>
  <si>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</si>
  <si>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</si>
  <si>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</si>
  <si>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</si>
  <si>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</si>
  <si>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</si>
  <si>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</si>
  <si>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</si>
  <si>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</si>
  <si>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</si>
  <si>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</si>
  <si>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</si>
  <si>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</si>
  <si>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</si>
  <si>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</si>
  <si>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</si>
  <si>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</si>
  <si>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</si>
  <si>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</si>
  <si>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</si>
  <si>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</si>
  <si>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</si>
  <si>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</si>
  <si>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</si>
  <si>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</si>
  <si>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</si>
  <si>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</si>
  <si>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</si>
  <si>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</si>
  <si>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</si>
  <si>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</si>
  <si>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</si>
  <si>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</si>
  <si>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</si>
  <si>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</si>
  <si>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</si>
  <si>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</si>
  <si>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</si>
  <si>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</si>
  <si>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</si>
  <si>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</si>
  <si>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</si>
  <si>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</si>
  <si>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</si>
  <si>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</si>
  <si>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</si>
  <si>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</si>
  <si>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</si>
  <si>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</si>
  <si>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</si>
  <si>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</si>
  <si>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</si>
  <si>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</si>
  <si>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</si>
  <si>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</si>
  <si>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</si>
  <si>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</si>
  <si>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</si>
  <si>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</si>
  <si>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</si>
  <si>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</si>
  <si>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</si>
  <si>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</si>
  <si>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</si>
  <si>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</si>
  <si>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</si>
  <si>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</si>
  <si>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</si>
  <si>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</si>
  <si>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</si>
  <si>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</si>
  <si>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</si>
  <si>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</si>
  <si>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</si>
  <si>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</si>
  <si>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</si>
  <si>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</si>
  <si>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</si>
  <si>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</si>
  <si>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</si>
  <si>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</si>
  <si>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</si>
  <si>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</si>
  <si>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</si>
  <si>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</si>
  <si>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</si>
  <si>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</si>
  <si>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</si>
  <si>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</si>
  <si>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</si>
  <si>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</si>
  <si>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</si>
  <si>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</si>
  <si>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</si>
  <si>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</si>
  <si>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</si>
  <si>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</si>
  <si>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</si>
  <si>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</si>
  <si>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</si>
  <si>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</si>
  <si>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</si>
  <si>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</si>
  <si>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</si>
  <si>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</si>
  <si>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</si>
  <si>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</si>
  <si>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</si>
  <si>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</si>
  <si>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</si>
  <si>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</si>
  <si>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</si>
  <si>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</si>
  <si>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</si>
  <si>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</si>
  <si>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</si>
  <si>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</si>
  <si>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</si>
  <si>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</si>
  <si>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</si>
  <si>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</si>
  <si>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</si>
  <si>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</si>
  <si>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</si>
  <si>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</si>
  <si>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</si>
  <si>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</si>
  <si>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</si>
  <si>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</si>
  <si>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</si>
  <si>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</si>
  <si>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</si>
  <si>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</si>
  <si>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</si>
  <si>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</si>
  <si>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</si>
  <si>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</si>
  <si>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</si>
  <si>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</si>
  <si>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</si>
  <si>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</si>
  <si>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</si>
  <si>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</si>
  <si>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</si>
  <si>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</si>
  <si>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</si>
  <si>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</si>
  <si>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</si>
  <si>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</si>
  <si>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</si>
  <si>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</si>
  <si>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</si>
  <si>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</si>
  <si>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</si>
  <si>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</si>
  <si>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</si>
  <si>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</si>
  <si>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</si>
  <si>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</si>
  <si>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</si>
  <si>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</si>
  <si>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</si>
  <si>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</si>
  <si>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</si>
  <si>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</si>
  <si>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</si>
  <si>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</si>
  <si>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</si>
  <si>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</si>
  <si>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</si>
  <si>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</si>
  <si>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</si>
  <si>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</si>
  <si>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</si>
  <si>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</si>
  <si>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</si>
  <si>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</si>
  <si>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</si>
  <si>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</si>
  <si>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</si>
  <si>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</si>
  <si>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</si>
  <si>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</si>
  <si>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</si>
  <si>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</si>
  <si>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</si>
  <si>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</si>
  <si>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</si>
  <si>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</si>
  <si>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</si>
  <si>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</si>
  <si>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</si>
  <si>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</si>
  <si>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</si>
  <si>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</si>
  <si>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</si>
  <si>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</si>
  <si>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</si>
  <si>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</si>
  <si>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</si>
  <si>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</si>
  <si>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</si>
  <si>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</si>
  <si>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</si>
  <si>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</si>
  <si>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</si>
  <si>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</si>
  <si>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</si>
  <si>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</si>
  <si>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</si>
  <si>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</si>
  <si>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</si>
  <si>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https://www.scopus.com/authid/detail.uri?authorId=57885019400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</si>
  <si>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</si>
  <si>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</si>
  <si>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</si>
  <si>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</si>
  <si>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</si>
  <si>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</si>
  <si>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</si>
  <si>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</si>
  <si>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</si>
  <si>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</si>
  <si>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</si>
  <si>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</si>
  <si>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</si>
  <si>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</si>
  <si>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</si>
  <si>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</si>
  <si>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</si>
  <si>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</si>
  <si>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</si>
  <si>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</si>
  <si>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</si>
  <si>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</si>
  <si>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</si>
  <si>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</si>
  <si>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</si>
  <si>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</si>
  <si>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</si>
  <si>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</si>
  <si>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https://www.scopus.com/authid/detail.uri?authorId=58068896400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</si>
  <si>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</si>
  <si>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</si>
  <si>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</si>
  <si>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</si>
  <si>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</si>
  <si>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</si>
  <si>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</si>
  <si>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</si>
  <si>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</si>
  <si>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</si>
  <si>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</si>
  <si>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</si>
  <si>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</si>
  <si>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</si>
  <si>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</si>
  <si>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</si>
  <si>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</si>
  <si>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</si>
  <si>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</si>
  <si>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</si>
  <si>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</si>
  <si>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</si>
  <si>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</si>
  <si>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</si>
  <si>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</si>
  <si>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</si>
  <si>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</si>
  <si>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</si>
  <si>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</si>
  <si>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</si>
  <si>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</si>
  <si>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</si>
  <si>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</si>
  <si>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</si>
  <si>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</si>
  <si>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</si>
  <si>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</si>
  <si>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</si>
  <si>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</si>
  <si>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</si>
  <si>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</si>
  <si>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</si>
  <si>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</si>
  <si>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</si>
  <si>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</si>
  <si>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</si>
  <si>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</si>
  <si>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</si>
  <si>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</si>
  <si>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</si>
  <si>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</si>
  <si>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</si>
  <si>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</si>
  <si>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</si>
  <si>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</si>
  <si>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</si>
  <si>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</si>
  <si>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</si>
  <si>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</si>
  <si>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</si>
  <si>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</si>
  <si>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</si>
  <si>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</si>
  <si>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</si>
  <si>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</si>
  <si>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</si>
  <si>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</si>
  <si>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</si>
  <si>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</si>
  <si>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</si>
  <si>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</si>
  <si>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</si>
  <si>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</si>
  <si>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</si>
  <si>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</si>
  <si>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</si>
  <si>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</si>
  <si>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</si>
  <si>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</si>
  <si>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</si>
  <si>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</si>
  <si>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</si>
  <si>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</si>
  <si>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</si>
  <si>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</si>
  <si>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</si>
  <si>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</si>
  <si>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https://www.scopus.com/authid/detail.uri?authorId=57210336548&amp;amp;eid=2-s2.0-85070392992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</si>
  <si>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</si>
  <si>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</si>
  <si>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</si>
  <si>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</si>
  <si>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</si>
  <si>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</si>
  <si>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</si>
  <si>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</si>
  <si>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</si>
  <si>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</si>
  <si>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</si>
  <si>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</si>
  <si>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</si>
  <si>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</si>
  <si>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</si>
  <si>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</si>
  <si>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</si>
  <si>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</si>
  <si>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</si>
  <si>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</si>
  <si>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</si>
  <si>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</si>
  <si>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</si>
  <si>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</si>
  <si>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</si>
  <si>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</si>
  <si>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</si>
  <si>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</si>
  <si>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</si>
  <si>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</si>
  <si>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</si>
  <si>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</si>
  <si>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</si>
  <si>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</si>
  <si>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</si>
  <si>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</si>
  <si>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</si>
  <si>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</si>
  <si>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</si>
  <si>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</si>
  <si>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</si>
  <si>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</si>
  <si>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</si>
  <si>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</si>
  <si>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</si>
  <si>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</si>
  <si>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</si>
  <si>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</si>
  <si>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</si>
  <si>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</si>
  <si>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</si>
  <si>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</si>
  <si>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</si>
  <si>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</si>
  <si>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</si>
  <si>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</si>
  <si>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</si>
  <si>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</si>
  <si>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</si>
  <si>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</si>
  <si>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</si>
  <si>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</si>
  <si>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</si>
  <si>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</si>
  <si>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</si>
  <si>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</si>
  <si>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</si>
  <si>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</si>
  <si>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</si>
  <si>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</si>
  <si>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</si>
  <si>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</si>
  <si>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</si>
  <si>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</si>
  <si>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</si>
  <si>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</si>
  <si>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</si>
  <si>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</si>
  <si>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</si>
  <si>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</si>
  <si>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</si>
  <si>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</si>
  <si>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</si>
  <si>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</si>
  <si>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</si>
  <si>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</si>
  <si>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</si>
  <si>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</si>
  <si>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</si>
  <si>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</si>
  <si>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</si>
  <si>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</si>
  <si>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</si>
  <si>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</si>
  <si>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</si>
  <si>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</si>
  <si>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</si>
  <si>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</si>
  <si>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</si>
  <si>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</si>
  <si>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</si>
  <si>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</si>
  <si>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</si>
  <si>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</si>
  <si>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</si>
  <si>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</si>
  <si>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</si>
  <si>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</si>
  <si>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</si>
  <si>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</si>
  <si>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</si>
  <si>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</si>
  <si>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</si>
  <si>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</si>
  <si>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</si>
  <si>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</si>
  <si>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</si>
  <si>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</si>
  <si>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</si>
  <si>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</si>
  <si>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</si>
  <si>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</si>
  <si>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</si>
  <si>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</si>
  <si>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</si>
  <si>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</si>
  <si>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</si>
  <si>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</si>
  <si>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</si>
  <si>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</si>
  <si>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</si>
  <si>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</si>
  <si>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</si>
  <si>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</si>
  <si>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</si>
  <si>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</si>
  <si>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</si>
  <si>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</si>
  <si>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</si>
  <si>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</si>
  <si>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</si>
  <si>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</si>
  <si>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</si>
  <si>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</si>
  <si>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</si>
  <si>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</si>
  <si>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</si>
  <si>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</si>
  <si>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</si>
  <si>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</si>
  <si>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</si>
  <si>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</si>
  <si>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</si>
  <si>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</si>
  <si>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</si>
  <si>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</si>
  <si>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</si>
  <si>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</si>
  <si>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</si>
  <si>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</si>
  <si>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</si>
  <si>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</si>
  <si>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</si>
  <si>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</si>
  <si>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</si>
  <si>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</si>
  <si>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</si>
  <si>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</si>
  <si>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</si>
  <si>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</si>
  <si>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</si>
  <si>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</si>
  <si>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</si>
  <si>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</si>
  <si>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</si>
  <si>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</si>
  <si>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</si>
  <si>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</si>
  <si>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</si>
  <si>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</si>
  <si>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</si>
  <si>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</si>
  <si>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</si>
  <si>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</si>
  <si>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</si>
  <si>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</si>
  <si>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</si>
  <si>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</si>
  <si>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</si>
  <si>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</si>
  <si>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</si>
  <si>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</si>
  <si>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</si>
  <si>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</si>
  <si>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</si>
  <si>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</si>
  <si>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</si>
  <si>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</si>
  <si>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</si>
  <si>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</si>
  <si>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</si>
  <si>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</si>
  <si>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</si>
  <si>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</si>
  <si>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</si>
  <si>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</si>
  <si>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</si>
  <si>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</si>
  <si>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</si>
  <si>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</si>
  <si>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</si>
  <si>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</si>
  <si>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</si>
  <si>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</si>
  <si>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</si>
  <si>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</si>
  <si>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</si>
  <si>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</si>
  <si>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</si>
  <si>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</si>
  <si>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</si>
  <si>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</si>
  <si>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</si>
  <si>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</si>
  <si>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</si>
  <si>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</si>
  <si>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</si>
  <si>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</si>
  <si>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</si>
  <si>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</si>
  <si>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</si>
  <si>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</si>
  <si>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</si>
  <si>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</si>
  <si>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</si>
  <si>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</si>
  <si>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</si>
  <si>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</si>
  <si>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</si>
  <si>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</si>
  <si>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</si>
  <si>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</si>
  <si>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</si>
  <si>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</si>
  <si>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</si>
  <si>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</si>
  <si>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</si>
  <si>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</si>
  <si>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</si>
  <si>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</si>
  <si>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</si>
  <si>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</si>
  <si>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</si>
  <si>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</si>
  <si>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</si>
  <si>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</si>
  <si>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</si>
  <si>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</si>
  <si>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</si>
  <si>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</si>
  <si>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</si>
  <si>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</si>
  <si>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</si>
  <si>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</si>
  <si>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</si>
  <si>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</si>
  <si>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</si>
  <si>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</si>
  <si>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</si>
  <si>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</si>
  <si>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</si>
  <si>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</si>
  <si>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</si>
  <si>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</si>
  <si>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</si>
  <si>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</si>
  <si>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</si>
  <si>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</si>
  <si>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</si>
  <si>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</si>
  <si>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</si>
  <si>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</si>
  <si>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</si>
  <si>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</si>
  <si>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</si>
  <si>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</si>
  <si>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</si>
  <si>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</si>
  <si>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</si>
  <si>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</si>
  <si>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</si>
  <si>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</si>
  <si>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</si>
  <si>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</si>
  <si>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</si>
  <si>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</si>
  <si>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</si>
  <si>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</si>
  <si>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</si>
  <si>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</si>
  <si>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</si>
  <si>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</si>
  <si>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</si>
  <si>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</si>
  <si>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</si>
  <si>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</si>
  <si>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</si>
  <si>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</si>
  <si>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</si>
  <si>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</si>
  <si>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</si>
  <si>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</si>
  <si>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</si>
  <si>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</si>
  <si>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</si>
  <si>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</si>
  <si>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</si>
  <si>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</si>
  <si>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</si>
  <si>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</si>
  <si>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</si>
  <si>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</si>
  <si>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</si>
  <si>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</si>
  <si>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</si>
  <si>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</si>
  <si>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</si>
  <si>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</si>
  <si>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</si>
  <si>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</si>
  <si>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</si>
  <si>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</si>
  <si>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</si>
  <si>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</si>
  <si>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</si>
  <si>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</si>
  <si>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</si>
  <si>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</si>
  <si>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</si>
  <si>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</si>
  <si>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</si>
  <si>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</si>
  <si>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</si>
  <si>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</si>
  <si>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</si>
  <si>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</si>
  <si>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</si>
  <si>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</si>
  <si>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</si>
  <si>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</si>
  <si>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</si>
  <si>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</si>
  <si>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</si>
  <si>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</si>
  <si>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</si>
  <si>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</si>
  <si>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</si>
  <si>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</si>
  <si>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</si>
  <si>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</si>
  <si>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</si>
  <si>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</si>
  <si>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</si>
  <si>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</si>
  <si>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</si>
  <si>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</si>
  <si>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</si>
  <si>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</si>
  <si>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</si>
  <si>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</si>
  <si>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</si>
  <si>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</si>
  <si>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</si>
  <si>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</si>
  <si>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</si>
  <si>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</si>
  <si>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</si>
  <si>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</si>
  <si>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</si>
  <si>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</si>
  <si>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</si>
  <si>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</si>
  <si>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</si>
  <si>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</si>
  <si>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</si>
  <si>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</si>
  <si>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</si>
  <si>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</si>
  <si>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</si>
  <si>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</si>
  <si>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</si>
  <si>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</si>
  <si>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</si>
  <si>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</si>
  <si>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</si>
  <si>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</si>
  <si>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</si>
  <si>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</si>
  <si>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</si>
  <si>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</si>
  <si>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</si>
  <si>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</si>
  <si>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</si>
  <si>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</si>
  <si>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</si>
  <si>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</si>
  <si>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</si>
  <si>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</si>
  <si>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</si>
  <si>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</si>
  <si>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</si>
  <si>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 ДР. АФ.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</si>
  <si>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</si>
  <si>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</si>
  <si>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</si>
  <si>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</si>
  <si>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</si>
  <si>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</si>
  <si>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</si>
  <si>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</si>
  <si>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</si>
  <si>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</si>
  <si>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</si>
  <si>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</si>
  <si>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</si>
  <si>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</si>
  <si>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</si>
  <si>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</si>
  <si>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</si>
  <si>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</si>
  <si>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</si>
  <si>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</si>
  <si>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</si>
  <si>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</si>
  <si>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</si>
  <si>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</si>
  <si>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</si>
  <si>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</si>
  <si>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</si>
  <si>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</si>
  <si>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</si>
  <si>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</si>
  <si>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</si>
  <si>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</si>
  <si>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</si>
  <si>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</si>
  <si>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</si>
  <si>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</si>
  <si>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</si>
  <si>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</si>
  <si>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</si>
  <si>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</si>
  <si>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</si>
  <si>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</si>
  <si>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</si>
  <si>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</si>
  <si>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</si>
  <si>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</si>
  <si>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</si>
  <si>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</si>
  <si>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</si>
  <si>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</si>
  <si>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</si>
  <si>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</si>
  <si>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</si>
  <si>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</si>
  <si>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</si>
  <si>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</si>
  <si>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</si>
  <si>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</si>
  <si>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</si>
  <si>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</si>
  <si>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</si>
  <si>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</si>
  <si>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</si>
  <si>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</si>
  <si>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</si>
  <si>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</si>
  <si>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</si>
  <si>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</si>
  <si>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</si>
  <si>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</si>
  <si>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</si>
  <si>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</si>
  <si>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</si>
  <si>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</si>
  <si>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</si>
  <si>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</si>
  <si>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</si>
  <si>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</si>
  <si>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</si>
  <si>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</si>
  <si>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</si>
  <si>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</si>
  <si>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</si>
  <si>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</si>
  <si>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</si>
  <si>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</si>
  <si>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</si>
  <si>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</si>
  <si>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</si>
  <si>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</si>
  <si>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</si>
  <si>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</si>
  <si>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</si>
  <si>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</si>
  <si>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</si>
  <si>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</si>
  <si>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</si>
  <si>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</si>
  <si>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</si>
  <si>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</si>
  <si>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</si>
  <si>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</si>
  <si>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</si>
  <si>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</si>
  <si>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</si>
  <si>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</si>
  <si>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</si>
  <si>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</si>
  <si>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</si>
  <si>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</si>
  <si>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</si>
  <si>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</si>
  <si>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</si>
  <si>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</si>
  <si>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</si>
  <si>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</si>
  <si>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</si>
  <si>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</si>
  <si>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</si>
  <si>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</si>
  <si>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</si>
  <si>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</si>
  <si>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</si>
  <si>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</si>
  <si>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</si>
  <si>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</si>
  <si>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</si>
  <si>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</si>
  <si>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</si>
  <si>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</si>
  <si>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</si>
  <si>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</si>
  <si>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</si>
  <si>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</si>
  <si>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</si>
  <si>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</si>
  <si>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</si>
  <si>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</si>
  <si>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</si>
  <si>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</si>
  <si>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</si>
  <si>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</si>
  <si>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</si>
  <si>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</si>
  <si>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</si>
  <si>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</si>
  <si>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</si>
  <si>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</si>
  <si>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</si>
  <si>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</si>
  <si>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</si>
  <si>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</si>
  <si>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</si>
  <si>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</si>
  <si>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</si>
  <si>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</si>
  <si>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</si>
  <si>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</si>
  <si>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</si>
  <si>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</si>
  <si>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</si>
  <si>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</si>
  <si>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</si>
  <si>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</si>
  <si>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</si>
  <si>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</si>
  <si>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</si>
  <si>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</si>
  <si>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</si>
  <si>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</si>
  <si>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</si>
  <si>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</si>
  <si>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</si>
  <si>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</si>
  <si>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</si>
  <si>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</si>
  <si>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</si>
  <si>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</si>
  <si>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</si>
  <si>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</si>
  <si>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</si>
  <si>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</si>
  <si>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</si>
  <si>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</si>
  <si>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</si>
  <si>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</si>
  <si>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</si>
  <si>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</si>
  <si>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</si>
  <si>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</si>
  <si>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</si>
  <si>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</si>
  <si>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</si>
  <si>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</si>
  <si>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</si>
  <si>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</si>
  <si>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</si>
  <si>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</si>
  <si>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</si>
  <si>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</si>
  <si>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https://www.scopus.com/authid/detail.uri?authorId=57944217100</t>
  </si>
  <si>
    <t>Levchenko, Y.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</si>
  <si>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</si>
  <si>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</si>
  <si>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</si>
  <si>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</si>
  <si>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</si>
  <si>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</si>
  <si>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</si>
  <si>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</si>
  <si>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</si>
  <si>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</si>
  <si>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</si>
  <si>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</si>
  <si>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</si>
  <si>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</si>
  <si>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</si>
  <si>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</si>
  <si>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</si>
  <si>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</si>
  <si>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</si>
  <si>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</si>
  <si>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</si>
  <si>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</si>
  <si>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</si>
  <si>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</si>
  <si>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</si>
  <si>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</si>
  <si>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</si>
  <si>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</si>
  <si>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</si>
  <si>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</si>
  <si>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</si>
  <si>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</si>
  <si>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</si>
  <si>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</si>
  <si>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</si>
  <si>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</si>
  <si>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</si>
  <si>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</si>
  <si>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</si>
  <si>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</si>
  <si>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</si>
  <si>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</si>
  <si>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</si>
  <si>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</si>
  <si>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</si>
  <si>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</si>
  <si>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</si>
  <si>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</si>
  <si>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</si>
  <si>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</si>
  <si>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</si>
  <si>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</si>
  <si>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</si>
  <si>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</si>
  <si>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</si>
  <si>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</si>
  <si>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</si>
  <si>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</si>
  <si>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</si>
  <si>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</si>
  <si>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</si>
  <si>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</si>
  <si>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</si>
  <si>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</si>
  <si>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</si>
  <si>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</si>
  <si>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</si>
  <si>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</si>
  <si>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</si>
  <si>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</si>
  <si>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</si>
  <si>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</si>
  <si>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</si>
  <si>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</si>
  <si>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</si>
  <si>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</si>
  <si>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</si>
  <si>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</si>
  <si>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</si>
  <si>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</si>
  <si>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</si>
  <si>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</si>
  <si>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</si>
  <si>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</si>
  <si>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</si>
  <si>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</si>
  <si>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</si>
  <si>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</si>
  <si>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</si>
  <si>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</si>
  <si>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</si>
  <si>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</si>
  <si>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</si>
  <si>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</si>
  <si>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</si>
  <si>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</si>
  <si>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</si>
  <si>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</si>
  <si>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</si>
  <si>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</si>
  <si>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</si>
  <si>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</si>
  <si>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</si>
  <si>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</si>
  <si>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</si>
  <si>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</si>
  <si>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</si>
  <si>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</si>
  <si>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</si>
  <si>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</si>
  <si>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</si>
  <si>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</si>
  <si>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</si>
  <si>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</si>
  <si>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</si>
  <si>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</si>
  <si>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</si>
  <si>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</si>
  <si>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</si>
  <si>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</si>
  <si>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</si>
  <si>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</si>
  <si>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</si>
  <si>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</si>
  <si>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</si>
  <si>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</si>
  <si>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</si>
  <si>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</si>
  <si>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</si>
  <si>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</si>
  <si>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</si>
  <si>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</si>
  <si>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</si>
  <si>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</si>
  <si>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</si>
  <si>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</si>
  <si>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</si>
  <si>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</si>
  <si>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</si>
  <si>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</si>
  <si>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</si>
  <si>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</si>
  <si>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</si>
  <si>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</si>
  <si>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</si>
  <si>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</si>
  <si>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</si>
  <si>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</si>
  <si>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</si>
  <si>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</si>
  <si>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</si>
  <si>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</si>
  <si>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</si>
  <si>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</si>
  <si>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</si>
  <si>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</si>
  <si>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</si>
  <si>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</si>
  <si>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</si>
  <si>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</si>
  <si>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</si>
  <si>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</si>
  <si>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</si>
  <si>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</si>
  <si>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</si>
  <si>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</si>
  <si>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</si>
  <si>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</si>
  <si>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</si>
  <si>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</si>
  <si>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</si>
  <si>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</si>
  <si>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</si>
  <si>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</si>
  <si>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</si>
  <si>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</si>
  <si>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</si>
  <si>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</si>
  <si>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</si>
  <si>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</si>
  <si>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</si>
  <si>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</si>
  <si>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</si>
  <si>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</si>
  <si>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</si>
  <si>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</si>
  <si>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</si>
  <si>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</si>
  <si>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</si>
  <si>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</si>
  <si>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</si>
  <si>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</si>
  <si>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</si>
  <si>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</si>
  <si>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</si>
  <si>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</si>
  <si>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</si>
  <si>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</si>
  <si>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</si>
  <si>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</si>
  <si>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</si>
  <si>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</si>
  <si>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</si>
  <si>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</si>
  <si>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</si>
  <si>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</si>
  <si>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</si>
  <si>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</si>
  <si>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</si>
  <si>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</si>
  <si>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</si>
  <si>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</si>
  <si>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</si>
  <si>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</si>
  <si>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</si>
  <si>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</si>
  <si>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</si>
  <si>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</si>
  <si>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</si>
  <si>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</si>
  <si>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</si>
  <si>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</si>
  <si>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</si>
  <si>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</si>
  <si>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</si>
  <si>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</si>
  <si>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</si>
  <si>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</si>
  <si>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</si>
  <si>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</si>
  <si>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</si>
  <si>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</si>
  <si>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</si>
  <si>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</si>
  <si>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</si>
  <si>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</si>
  <si>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</si>
  <si>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</si>
  <si>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</si>
  <si>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</si>
  <si>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</si>
  <si>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</si>
  <si>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</si>
  <si>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</si>
  <si>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</si>
  <si>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</si>
  <si>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</si>
  <si>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</si>
  <si>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</si>
  <si>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</si>
  <si>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</si>
  <si>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</si>
  <si>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</si>
  <si>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</si>
  <si>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</si>
  <si>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</si>
  <si>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</si>
  <si>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</si>
  <si>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</si>
  <si>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</si>
  <si>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</si>
  <si>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</si>
  <si>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</si>
  <si>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</si>
  <si>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</si>
  <si>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</si>
  <si>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</si>
  <si>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</si>
  <si>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</si>
  <si>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</si>
  <si>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МОЩЕНКО ІННА ОЛЕКСІЇВНА</t>
  </si>
  <si>
    <t>https://www.scopus.com/authid/detail.uri?authorId=57189311514</t>
  </si>
  <si>
    <t>Moshchenko, I. A. ; Moshchenko, IA ; Moshchenko, I ; Moshchenko, I. O. ; Moshchenko, I. ;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</si>
  <si>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</si>
  <si>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</si>
  <si>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</si>
  <si>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</si>
  <si>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</si>
  <si>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</si>
  <si>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</si>
  <si>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</si>
  <si>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</si>
  <si>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</si>
  <si>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</si>
  <si>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</si>
  <si>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</si>
  <si>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</si>
  <si>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</si>
  <si>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</si>
  <si>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</si>
  <si>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</si>
  <si>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</si>
  <si>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</si>
  <si>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</si>
  <si>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</si>
  <si>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</si>
  <si>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</si>
  <si>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</si>
  <si>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</si>
  <si>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</si>
  <si>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</si>
  <si>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</si>
  <si>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</si>
  <si>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</si>
  <si>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</si>
  <si>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</si>
  <si>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</si>
  <si>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</si>
  <si>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</si>
  <si>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</si>
  <si>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</si>
  <si>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</si>
  <si>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</si>
  <si>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</si>
  <si>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</si>
  <si>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</si>
  <si>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</si>
  <si>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</si>
  <si>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</si>
  <si>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</si>
  <si>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</si>
  <si>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</si>
  <si>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</si>
  <si>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</si>
  <si>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</si>
  <si>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</si>
  <si>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</si>
  <si>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</si>
  <si>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</si>
  <si>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</si>
  <si>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</si>
  <si>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</si>
  <si>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</si>
  <si>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</si>
  <si>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</si>
  <si>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</si>
  <si>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</si>
  <si>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</si>
  <si>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</si>
  <si>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</si>
  <si>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</si>
  <si>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</si>
  <si>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</si>
  <si>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</si>
  <si>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</si>
  <si>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</si>
  <si>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</si>
  <si>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</si>
  <si>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</si>
  <si>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</si>
  <si>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</si>
  <si>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</si>
  <si>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</si>
  <si>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</si>
  <si>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</si>
  <si>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</si>
  <si>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</si>
  <si>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</si>
  <si>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</si>
  <si>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</si>
  <si>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</si>
  <si>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</si>
  <si>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</si>
  <si>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</si>
  <si>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</si>
  <si>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</si>
  <si>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</si>
  <si>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</si>
  <si>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</si>
  <si>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</si>
  <si>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</si>
  <si>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</si>
  <si>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</si>
  <si>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</si>
  <si>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</si>
  <si>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</si>
  <si>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</si>
  <si>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</si>
  <si>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</si>
  <si>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</si>
  <si>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</si>
  <si>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</si>
  <si>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</si>
  <si>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</si>
  <si>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</si>
  <si>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</si>
  <si>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</si>
  <si>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</si>
  <si>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</si>
  <si>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</si>
  <si>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</si>
  <si>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</si>
  <si>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</si>
  <si>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</si>
  <si>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</si>
  <si>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</si>
  <si>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</si>
  <si>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</si>
  <si>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</si>
  <si>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</si>
  <si>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</si>
  <si>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</si>
  <si>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</si>
  <si>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</si>
  <si>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</si>
  <si>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</si>
  <si>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</si>
  <si>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</si>
  <si>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</si>
  <si>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</si>
  <si>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</si>
  <si>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</si>
  <si>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</si>
  <si>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</si>
  <si>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</si>
  <si>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</si>
  <si>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</si>
  <si>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</si>
  <si>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</si>
  <si>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</si>
  <si>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</si>
  <si>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</si>
  <si>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</si>
  <si>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</si>
  <si>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</si>
  <si>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</si>
  <si>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</si>
  <si>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</si>
  <si>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</si>
  <si>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</si>
  <si>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</si>
  <si>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</si>
  <si>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</si>
  <si>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</si>
  <si>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</si>
  <si>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</si>
  <si>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</si>
  <si>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</si>
  <si>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</si>
  <si>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</si>
  <si>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</si>
  <si>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</si>
  <si>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</si>
  <si>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</si>
  <si>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</si>
  <si>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</si>
  <si>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</si>
  <si>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</si>
  <si>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</si>
  <si>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</si>
  <si>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</si>
  <si>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</si>
  <si>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</si>
  <si>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</si>
  <si>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https://www.scopus.com/authid/detail.uri?authorId=57503001900</t>
  </si>
  <si>
    <t>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</si>
  <si>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</si>
  <si>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</si>
  <si>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</si>
  <si>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</si>
  <si>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</si>
  <si>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</si>
  <si>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</si>
  <si>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</si>
  <si>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</si>
  <si>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</si>
  <si>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</si>
  <si>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</si>
  <si>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</si>
  <si>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</si>
  <si>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</si>
  <si>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</si>
  <si>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</si>
  <si>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</si>
  <si>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</si>
  <si>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</si>
  <si>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</si>
  <si>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</si>
  <si>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</si>
  <si>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</si>
  <si>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</si>
  <si>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</si>
  <si>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</si>
  <si>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</si>
  <si>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</si>
  <si>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</si>
  <si>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</si>
  <si>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</si>
  <si>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</si>
  <si>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</si>
  <si>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</si>
  <si>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</si>
  <si>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</si>
  <si>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</si>
  <si>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</si>
  <si>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</si>
  <si>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</si>
  <si>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</si>
  <si>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</si>
  <si>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</si>
  <si>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</si>
  <si>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</si>
  <si>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</si>
  <si>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</si>
  <si>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</si>
  <si>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</si>
  <si>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</si>
  <si>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</si>
  <si>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</si>
  <si>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</si>
  <si>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</si>
  <si>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</si>
  <si>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</si>
  <si>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</si>
  <si>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</si>
  <si>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</si>
  <si>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</si>
  <si>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</si>
  <si>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</si>
  <si>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</si>
  <si>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</si>
  <si>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</si>
  <si>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</si>
  <si>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</si>
  <si>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</si>
  <si>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</si>
  <si>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</si>
  <si>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</si>
  <si>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https://www.scopus.com/authid/detail.uri?authorId=57224191788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</si>
  <si>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</si>
  <si>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</si>
  <si>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</si>
  <si>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</si>
  <si>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</si>
  <si>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</si>
  <si>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</si>
  <si>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</si>
  <si>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</si>
  <si>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https://www.scopus.com/authid/detail.uri?authorId=37461951800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</si>
  <si>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</si>
  <si>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</si>
  <si>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</si>
  <si>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</si>
  <si>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</si>
  <si>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</si>
  <si>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</si>
  <si>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</si>
  <si>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</si>
  <si>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</si>
  <si>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</si>
  <si>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</si>
  <si>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</si>
  <si>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</si>
  <si>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</si>
  <si>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</si>
  <si>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</si>
  <si>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</si>
  <si>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</si>
  <si>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</si>
  <si>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</si>
  <si>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</si>
  <si>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</si>
  <si>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</si>
  <si>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</si>
  <si>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</si>
  <si>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</si>
  <si>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</si>
  <si>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</si>
  <si>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</si>
  <si>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</si>
  <si>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</si>
  <si>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</si>
  <si>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</si>
  <si>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</si>
  <si>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</si>
  <si>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</si>
  <si>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</si>
  <si>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</si>
  <si>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</si>
  <si>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</si>
  <si>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</si>
  <si>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</si>
  <si>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</si>
  <si>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</si>
  <si>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</si>
  <si>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</si>
  <si>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</si>
  <si>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</si>
  <si>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</si>
  <si>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</si>
  <si>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</si>
  <si>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</si>
  <si>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</si>
  <si>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</si>
  <si>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</si>
  <si>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</si>
  <si>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</si>
  <si>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</si>
  <si>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</si>
  <si>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</si>
  <si>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</si>
  <si>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</si>
  <si>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</si>
  <si>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</si>
  <si>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</si>
  <si>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</si>
  <si>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</si>
  <si>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</si>
  <si>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</si>
  <si>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</si>
  <si>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</si>
  <si>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</si>
  <si>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</si>
  <si>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</si>
  <si>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</si>
  <si>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</si>
  <si>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</si>
  <si>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</si>
  <si>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</si>
  <si>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</si>
  <si>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</si>
  <si>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</si>
  <si>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</si>
  <si>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</si>
  <si>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</si>
  <si>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</si>
  <si>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</si>
  <si>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</si>
  <si>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</si>
  <si>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</si>
  <si>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</si>
  <si>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</si>
  <si>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</si>
  <si>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</si>
  <si>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</si>
  <si>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</si>
  <si>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</si>
  <si>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</si>
  <si>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</si>
  <si>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</si>
  <si>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</si>
  <si>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</si>
  <si>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</si>
  <si>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</si>
  <si>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</si>
  <si>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</si>
  <si>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</si>
  <si>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</si>
  <si>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</si>
  <si>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</si>
  <si>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</si>
  <si>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</si>
  <si>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</si>
  <si>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</si>
  <si>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</si>
  <si>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</si>
  <si>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</si>
  <si>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</si>
  <si>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</si>
  <si>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</si>
  <si>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</si>
  <si>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</si>
  <si>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</si>
  <si>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</si>
  <si>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</si>
  <si>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</si>
  <si>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</si>
  <si>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</si>
  <si>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</si>
  <si>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</si>
  <si>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</si>
  <si>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</si>
  <si>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</si>
  <si>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</si>
  <si>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</si>
  <si>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</si>
  <si>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</si>
  <si>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</si>
  <si>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</si>
  <si>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</si>
  <si>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</si>
  <si>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</si>
  <si>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</si>
  <si>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</si>
  <si>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</si>
  <si>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</si>
  <si>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</si>
  <si>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</si>
  <si>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</si>
  <si>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</si>
  <si>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</si>
  <si>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</si>
  <si>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</si>
  <si>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</si>
  <si>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</si>
  <si>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</si>
  <si>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</si>
  <si>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</si>
  <si>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</si>
  <si>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</si>
  <si>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</si>
  <si>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</si>
  <si>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</si>
  <si>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</si>
  <si>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</si>
  <si>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</si>
  <si>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</si>
  <si>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</si>
  <si>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</si>
  <si>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</si>
  <si>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</si>
  <si>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</si>
  <si>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</si>
  <si>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</si>
  <si>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</si>
  <si>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</si>
  <si>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</si>
  <si>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</si>
  <si>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</si>
  <si>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</si>
  <si>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</si>
  <si>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</si>
  <si>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</si>
  <si>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</si>
  <si>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</si>
  <si>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</si>
  <si>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</si>
  <si>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</si>
  <si>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</si>
  <si>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</si>
  <si>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</si>
  <si>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</si>
  <si>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</si>
  <si>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</si>
  <si>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</si>
  <si>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</si>
  <si>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</si>
  <si>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</si>
  <si>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</si>
  <si>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</si>
  <si>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</si>
  <si>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</si>
  <si>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</si>
  <si>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</si>
  <si>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</si>
  <si>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</si>
  <si>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</si>
  <si>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</si>
  <si>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</si>
  <si>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</si>
  <si>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</si>
  <si>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</si>
  <si>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</si>
  <si>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</si>
  <si>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</si>
  <si>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</si>
  <si>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</si>
  <si>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</si>
  <si>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</si>
  <si>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</si>
  <si>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</si>
  <si>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</si>
  <si>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</si>
  <si>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</si>
  <si>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</si>
  <si>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</si>
  <si>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</si>
  <si>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</si>
  <si>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</si>
  <si>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</si>
  <si>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</si>
  <si>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</si>
  <si>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</si>
  <si>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</si>
  <si>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</si>
  <si>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</si>
  <si>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</si>
  <si>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</si>
  <si>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</si>
  <si>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</si>
  <si>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</si>
  <si>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</si>
  <si>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</si>
  <si>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</si>
  <si>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</si>
  <si>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</si>
  <si>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</si>
  <si>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</si>
  <si>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</si>
  <si>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</si>
  <si>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</si>
  <si>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</si>
  <si>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</si>
  <si>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</si>
  <si>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</si>
  <si>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</si>
  <si>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</si>
  <si>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</si>
  <si>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</si>
  <si>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</si>
  <si>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</si>
  <si>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</si>
  <si>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</si>
  <si>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</si>
  <si>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</si>
  <si>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</si>
  <si>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</si>
  <si>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</si>
  <si>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</si>
  <si>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</si>
  <si>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</si>
  <si>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</si>
  <si>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</si>
  <si>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</si>
  <si>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</si>
  <si>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</si>
  <si>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</si>
  <si>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</si>
  <si>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</si>
  <si>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</si>
  <si>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</si>
  <si>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</si>
  <si>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</si>
  <si>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</si>
  <si>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</si>
  <si>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</si>
  <si>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</si>
  <si>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</si>
  <si>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</si>
  <si>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</si>
  <si>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</si>
  <si>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</si>
  <si>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</si>
  <si>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</si>
  <si>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</si>
  <si>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</si>
  <si>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</si>
  <si>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</si>
  <si>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</si>
  <si>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</si>
  <si>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</si>
  <si>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</si>
  <si>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</si>
  <si>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</si>
  <si>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</si>
  <si>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</si>
  <si>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</si>
  <si>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</si>
  <si>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</si>
  <si>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</si>
  <si>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</si>
  <si>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</si>
  <si>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</si>
  <si>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</si>
  <si>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</si>
  <si>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</si>
  <si>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</si>
  <si>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</si>
  <si>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</si>
  <si>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</si>
  <si>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</si>
  <si>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</si>
  <si>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</si>
  <si>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</si>
  <si>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</si>
  <si>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</si>
  <si>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</si>
  <si>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</si>
  <si>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</si>
  <si>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</si>
  <si>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</si>
  <si>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</si>
  <si>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</si>
  <si>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</si>
  <si>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</si>
  <si>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</si>
  <si>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</si>
  <si>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</si>
  <si>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</si>
  <si>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</si>
  <si>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</si>
  <si>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</si>
  <si>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</si>
  <si>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</si>
  <si>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</si>
  <si>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</si>
  <si>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</si>
  <si>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</si>
  <si>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</si>
  <si>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</si>
  <si>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</si>
  <si>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</si>
  <si>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</si>
  <si>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</si>
  <si>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</si>
  <si>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</si>
  <si>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</si>
  <si>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</si>
  <si>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</si>
  <si>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</si>
  <si>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</si>
  <si>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</si>
  <si>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</si>
  <si>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</si>
  <si>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</si>
  <si>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</si>
  <si>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</si>
  <si>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</si>
  <si>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</si>
  <si>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</si>
  <si>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</si>
  <si>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</si>
  <si>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</si>
  <si>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</si>
  <si>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</si>
  <si>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</si>
  <si>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</si>
  <si>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</si>
  <si>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</si>
  <si>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</si>
  <si>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</si>
  <si>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</si>
  <si>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</si>
  <si>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</si>
  <si>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</si>
  <si>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</si>
  <si>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</si>
  <si>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</si>
  <si>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</si>
  <si>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</si>
  <si>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</si>
  <si>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</si>
  <si>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</si>
  <si>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</si>
  <si>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</si>
  <si>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</si>
  <si>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</si>
  <si>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</si>
  <si>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</si>
  <si>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</si>
  <si>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</si>
  <si>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</si>
  <si>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</si>
  <si>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</si>
  <si>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</si>
  <si>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</si>
  <si>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</si>
  <si>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</si>
  <si>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</si>
  <si>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</si>
  <si>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</si>
  <si>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</si>
  <si>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</si>
  <si>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</si>
  <si>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</si>
  <si>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</si>
  <si>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</si>
  <si>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</si>
  <si>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</si>
  <si>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</si>
  <si>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</si>
  <si>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</si>
  <si>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</si>
  <si>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</si>
  <si>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</si>
  <si>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</si>
  <si>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</si>
  <si>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</si>
  <si>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</si>
  <si>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</si>
  <si>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</si>
  <si>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</si>
  <si>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</si>
  <si>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</si>
  <si>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</si>
  <si>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</si>
  <si>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</si>
  <si>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</si>
  <si>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</si>
  <si>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</si>
  <si>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</si>
  <si>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</si>
  <si>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</si>
  <si>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</si>
  <si>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</si>
  <si>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</si>
  <si>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</si>
  <si>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</si>
  <si>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</si>
  <si>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</si>
  <si>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</si>
  <si>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</si>
  <si>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</si>
  <si>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</si>
  <si>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</si>
  <si>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</si>
  <si>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</si>
  <si>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</si>
  <si>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</si>
  <si>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</si>
  <si>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</si>
  <si>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</si>
  <si>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</si>
  <si>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</si>
  <si>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</si>
  <si>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</si>
  <si>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</si>
  <si>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</si>
  <si>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</si>
  <si>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</si>
  <si>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</si>
  <si>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</si>
  <si>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</si>
  <si>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</si>
  <si>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</si>
  <si>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</si>
  <si>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</si>
  <si>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</si>
  <si>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</si>
  <si>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</si>
  <si>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</si>
  <si>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</si>
  <si>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</si>
  <si>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</si>
  <si>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</si>
  <si>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</si>
  <si>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</si>
  <si>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</si>
  <si>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</si>
  <si>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</si>
  <si>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</si>
  <si>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</si>
  <si>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</si>
  <si>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</si>
  <si>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</si>
  <si>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</si>
  <si>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</si>
  <si>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</si>
  <si>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</si>
  <si>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</si>
  <si>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</si>
  <si>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</si>
  <si>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</si>
  <si>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</si>
  <si>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</si>
  <si>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</si>
  <si>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</si>
  <si>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</si>
  <si>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</si>
  <si>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</si>
  <si>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</si>
  <si>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</si>
  <si>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</si>
  <si>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</si>
  <si>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</si>
  <si>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</si>
  <si>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</si>
  <si>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</si>
  <si>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</si>
  <si>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</si>
  <si>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</si>
  <si>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</si>
  <si>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</si>
  <si>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</si>
  <si>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</si>
  <si>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</si>
  <si>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</si>
  <si>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</si>
  <si>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</si>
  <si>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</si>
  <si>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</si>
  <si>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</si>
  <si>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</si>
  <si>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</si>
  <si>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</si>
  <si>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</si>
  <si>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</si>
  <si>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</si>
  <si>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</si>
  <si>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</si>
  <si>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</si>
  <si>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</si>
  <si>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</si>
  <si>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https://www.scopus.com/authid/detail.uri?authorId=57907345200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</si>
  <si>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</si>
  <si>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</si>
  <si>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</si>
  <si>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</si>
  <si>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</si>
  <si>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</si>
  <si>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</si>
  <si>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</si>
  <si>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</si>
  <si>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</si>
  <si>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</si>
  <si>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</si>
  <si>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</si>
  <si>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</si>
  <si>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</si>
  <si>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</si>
  <si>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</si>
  <si>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</si>
  <si>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</si>
  <si>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</si>
  <si>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</si>
  <si>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</si>
  <si>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</si>
  <si>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</si>
  <si>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</si>
  <si>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https://www.scopus.com/authid/detail.uri?authorId=56981705200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</si>
  <si>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</si>
  <si>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</si>
  <si>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</si>
  <si>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</si>
  <si>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</si>
  <si>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https://www.scopus.com/authid/detail.uri?authorId=14063224700&amp;amp;eid=2-s2.0-33747074572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</si>
  <si>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</si>
  <si>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</si>
  <si>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</si>
  <si>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</si>
  <si>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</si>
  <si>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</si>
  <si>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</si>
  <si>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</si>
  <si>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</si>
  <si>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</si>
  <si>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</si>
  <si>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</si>
  <si>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</si>
  <si>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</si>
  <si>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</si>
  <si>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</si>
  <si>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</si>
  <si>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</si>
  <si>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</si>
  <si>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</si>
  <si>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</si>
  <si>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</si>
  <si>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</si>
  <si>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</si>
  <si>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</si>
  <si>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</si>
  <si>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</si>
  <si>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</si>
  <si>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</si>
  <si>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</si>
  <si>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</si>
  <si>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</si>
  <si>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</si>
  <si>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</si>
  <si>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</si>
  <si>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</si>
  <si>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</si>
  <si>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</si>
  <si>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</si>
  <si>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</si>
  <si>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</si>
  <si>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</si>
  <si>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</si>
  <si>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</si>
  <si>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</si>
  <si>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</si>
  <si>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</si>
  <si>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</si>
  <si>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</si>
  <si>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</si>
  <si>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</si>
  <si>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</si>
  <si>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</si>
  <si>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</si>
  <si>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</si>
  <si>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</si>
  <si>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</si>
  <si>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</si>
  <si>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</si>
  <si>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</si>
  <si>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</si>
  <si>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</si>
  <si>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</si>
  <si>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</si>
  <si>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</si>
  <si>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</si>
  <si>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</si>
  <si>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</si>
  <si>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</si>
  <si>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</si>
  <si>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</si>
  <si>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</si>
  <si>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</si>
  <si>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</si>
  <si>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</si>
  <si>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</si>
  <si>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</si>
  <si>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</si>
  <si>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</si>
  <si>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</si>
  <si>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</si>
  <si>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</si>
  <si>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</si>
  <si>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</si>
  <si>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</si>
  <si>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</si>
  <si>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</si>
  <si>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</si>
  <si>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</si>
  <si>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</si>
  <si>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</si>
  <si>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</si>
  <si>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</si>
  <si>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</si>
  <si>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</si>
  <si>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</si>
  <si>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</si>
  <si>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</si>
  <si>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</si>
  <si>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</si>
  <si>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t>https://www.scopus.com/authid/detail.uri?authorId=57193698953</t>
  </si>
  <si>
    <t>Yakubovska, Sofiia V. ; Yakubovska, Sofiia ; Yakubovska, Sofia ; Yakubovska, S. V. ; Khrustalova, S. ; Yakubovska, Sofiia V.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</si>
  <si>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</si>
  <si>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</si>
  <si>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</si>
  <si>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</si>
  <si>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</si>
  <si>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</si>
  <si>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</si>
  <si>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</si>
  <si>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</si>
  <si>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</si>
  <si>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</si>
  <si>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</si>
  <si>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</si>
  <si>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</si>
  <si>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</si>
  <si>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</si>
  <si>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</si>
  <si>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</si>
  <si>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</si>
  <si>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</si>
  <si>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</si>
  <si>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</si>
  <si>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</si>
  <si>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</si>
  <si>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</si>
  <si>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</si>
  <si>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</si>
  <si>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</si>
  <si>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</si>
  <si>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</si>
  <si>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</si>
  <si>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</si>
  <si>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</si>
  <si>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</si>
  <si>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</si>
  <si>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</si>
  <si>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</si>
  <si>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</si>
  <si>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</si>
  <si>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</si>
  <si>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</si>
  <si>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</si>
  <si>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</si>
  <si>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</si>
  <si>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</si>
  <si>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</si>
  <si>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</si>
  <si>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</si>
  <si>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</si>
  <si>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</si>
  <si>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</si>
  <si>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</si>
  <si>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</si>
  <si>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</si>
  <si>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</si>
  <si>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</si>
  <si>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</si>
  <si>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</si>
  <si>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</si>
  <si>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</si>
  <si>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</si>
  <si>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</si>
  <si>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</si>
  <si>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</si>
  <si>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</si>
  <si>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</si>
  <si>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</si>
  <si>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</si>
  <si>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</si>
  <si>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</si>
  <si>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</si>
  <si>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</si>
  <si>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</si>
  <si>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</si>
  <si>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</si>
  <si>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</si>
  <si>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</si>
  <si>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</si>
  <si>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</si>
  <si>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</si>
  <si>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</si>
  <si>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</si>
  <si>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</si>
  <si>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</si>
  <si>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</si>
  <si>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</si>
  <si>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</si>
  <si>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</si>
  <si>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</si>
  <si>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</si>
  <si>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</si>
  <si>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</si>
  <si>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</si>
  <si>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</si>
  <si>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</si>
  <si>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</si>
  <si>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</si>
  <si>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</si>
  <si>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</si>
  <si>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</si>
  <si>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</si>
  <si>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t xml:space="preserve">Churyumov, Gennadiy I. ; Churyumov, Genadiy I. ; Churyumov, Gennadiy ; Churyumov, Genadiy ; Churyumov, G. I. ; Churyumov, Gennadiy I. ; Churyumov, G. ; Churyumov, G.I. ; Ghuryumov, G. I. ; Churyumov, Gennady ; Churyumov, G.I. ; Churyumov, Gennadiy, I ; CHURJUMOV, GI ; Churyumov, G., I ; Churyumov, Gennadiy I. ; Сhuryumov, Gennadiy I. ; Churyumov, GI ; </t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</si>
  <si>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</si>
  <si>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</si>
  <si>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</si>
  <si>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</si>
  <si>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</si>
  <si>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</si>
  <si>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</si>
  <si>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</si>
  <si>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</si>
  <si>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</si>
  <si>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</si>
  <si>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</si>
  <si>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</si>
  <si>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</si>
  <si>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</si>
  <si>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</si>
  <si>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</si>
  <si>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</si>
  <si>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</si>
  <si>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</si>
  <si>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</si>
  <si>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</si>
  <si>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</si>
  <si>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</si>
  <si>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</si>
  <si>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</si>
  <si>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</si>
  <si>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</si>
  <si>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</si>
  <si>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</si>
  <si>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</si>
  <si>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</si>
  <si>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</si>
  <si>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</si>
  <si>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</si>
  <si>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</si>
  <si>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</si>
  <si>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</si>
  <si>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</si>
  <si>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</si>
  <si>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</si>
  <si>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</si>
  <si>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</si>
  <si>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</si>
  <si>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</si>
  <si>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</si>
  <si>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</si>
  <si>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</si>
  <si>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</si>
  <si>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</si>
  <si>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</si>
  <si>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</si>
  <si>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</si>
  <si>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</si>
  <si>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</si>
  <si>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</si>
  <si>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</si>
  <si>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</si>
  <si>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</si>
  <si>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</si>
  <si>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</si>
  <si>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</si>
  <si>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</si>
  <si>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</si>
  <si>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</si>
  <si>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</si>
  <si>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</si>
  <si>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</si>
  <si>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</si>
  <si>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</si>
  <si>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</si>
  <si>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https://www.scopus.com/authid/detail.uri?authorId=57216335450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</si>
  <si>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</si>
  <si>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</si>
  <si>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</si>
  <si>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</si>
  <si>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</si>
  <si>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</si>
  <si>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https://orcid.org/0000-0002-5612-3080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</si>
  <si>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</si>
  <si>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</si>
  <si>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</si>
  <si>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</si>
  <si>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</si>
  <si>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</si>
  <si>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</si>
  <si>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</si>
  <si>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</si>
  <si>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</si>
  <si>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</si>
  <si>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</si>
  <si>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</si>
  <si>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</si>
  <si>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</si>
  <si>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</si>
  <si>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</si>
  <si>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</si>
  <si>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</si>
  <si>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</si>
  <si>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</si>
  <si>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</si>
  <si>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</si>
  <si>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</si>
  <si>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</si>
  <si>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</si>
  <si>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</si>
  <si>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</si>
  <si>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</si>
  <si>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</si>
  <si>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</si>
  <si>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</si>
  <si>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</si>
  <si>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</si>
  <si>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</si>
  <si>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</si>
  <si>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</si>
  <si>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</si>
  <si>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</si>
  <si>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</si>
  <si>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</si>
  <si>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</si>
  <si>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</si>
  <si>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Укр.,МП</t>
  </si>
  <si>
    <t>ЯКОВЛЕВ АНАТОЛІЙ ОПАНАСОВИЧ</t>
  </si>
  <si>
    <t>https://orcid.org/0000-0001-5501-2461</t>
  </si>
  <si>
    <t>Філософія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</si>
  <si>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</si>
  <si>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</si>
  <si>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</si>
  <si>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</si>
  <si>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</si>
  <si>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</si>
  <si>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</si>
  <si>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</si>
  <si>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</si>
  <si>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</si>
  <si>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</si>
  <si>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</si>
  <si>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</si>
  <si>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</si>
  <si>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</si>
  <si>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</si>
  <si>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</si>
  <si>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</si>
  <si>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</si>
  <si>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</si>
  <si>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</si>
  <si>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 ; Seleznov I.S.</t>
  </si>
  <si>
    <t>https://www.scopus.com/authid/detail.uri?authorId=57381556900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</si>
  <si>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</si>
  <si>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</si>
  <si>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</si>
  <si>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</si>
  <si>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</si>
  <si>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</si>
  <si>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</si>
  <si>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</si>
  <si>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</si>
  <si>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</si>
  <si>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</si>
  <si>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</si>
  <si>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</si>
  <si>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</si>
  <si>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</si>
  <si>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</si>
  <si>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</si>
  <si>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в списках нет, на сайте есть, помню, что уволен</t>
  </si>
  <si>
    <t>https://www.scopus.com/authid/detail.uri?authorId=7003842489&amp;amp;eid=2-s2.0-85097721877</t>
  </si>
  <si>
    <t>нет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</si>
  <si>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</si>
  <si>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</si>
  <si>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</si>
  <si>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</si>
  <si>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</si>
  <si>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Oksana</t>
  </si>
  <si>
    <t>др. афф.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</si>
  <si>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</si>
  <si>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</si>
  <si>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</si>
  <si>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</si>
  <si>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</si>
  <si>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</si>
  <si>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</si>
  <si>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</si>
  <si>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</si>
  <si>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</si>
  <si>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</si>
  <si>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</si>
  <si>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</si>
  <si>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</si>
  <si>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</si>
  <si>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</si>
  <si>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</si>
  <si>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</si>
  <si>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</si>
  <si>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</si>
  <si>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</si>
  <si>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</si>
  <si>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</si>
  <si>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</si>
  <si>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</si>
  <si>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</si>
  <si>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</si>
  <si>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t>https://www.scopus.com/authid/detail.uri?authorId=57219530621</t>
  </si>
  <si>
    <t>Pogurskaya, M.</t>
  </si>
  <si>
    <t>MIROSHNYCHENKO, N.</t>
  </si>
  <si>
    <t>https://www.scopus.com/authid/detail.uri?authorId=57217114845</t>
  </si>
  <si>
    <t>Miroshnychenko, N.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</si>
  <si>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</si>
  <si>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</si>
  <si>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</si>
  <si>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</si>
  <si>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</si>
  <si>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</si>
  <si>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</si>
  <si>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</si>
  <si>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</si>
  <si>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</si>
  <si>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</si>
  <si>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</si>
  <si>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</si>
  <si>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</si>
  <si>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</si>
  <si>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</si>
  <si>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</si>
  <si>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</si>
  <si>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</si>
  <si>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Kyrychenko, I.</t>
  </si>
  <si>
    <t>Богомолов Олександр Євгенійович</t>
  </si>
  <si>
    <t>https://orcid.org/0000-0002-9539-8888</t>
  </si>
  <si>
    <t>https://www.scopus.com/authid/detail.uri?authorId=57219533381</t>
  </si>
  <si>
    <t>(ІПЗм-18-3)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</si>
  <si>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</si>
  <si>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</si>
  <si>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</si>
  <si>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</si>
  <si>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</si>
  <si>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</si>
  <si>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</si>
  <si>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</si>
  <si>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</si>
  <si>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</si>
  <si>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ГРИНЬОВ РОСТИСЛАВ СЕРГІЙОВИЧ</t>
  </si>
  <si>
    <t>Rostyslav, G.</t>
  </si>
  <si>
    <t>МАЛЬЦЕВ ОЛЕКСАНДР СЕРГІЙОВИЧ</t>
  </si>
  <si>
    <t>https://www.scopus.com/authid/detail.uri?authorId=57202231147</t>
  </si>
  <si>
    <t>Maltsev, O. ;  Maltsev, Oleksandr</t>
  </si>
  <si>
    <t>СЕЛЕВКО ОЛЕКСАНДР</t>
  </si>
  <si>
    <t>Selevko, O.</t>
  </si>
  <si>
    <t>КОРТЯК ЄЛИЗАВЕТА ЮРІЇВНА</t>
  </si>
  <si>
    <t>Kortyak, Y.</t>
  </si>
  <si>
    <t>ШИЛО РАДІОН</t>
  </si>
  <si>
    <t>РІКС</t>
  </si>
  <si>
    <t>Shylo, R.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</si>
  <si>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</si>
  <si>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</si>
  <si>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</si>
  <si>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</si>
  <si>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</si>
  <si>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</si>
  <si>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</si>
  <si>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</si>
  <si>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</si>
  <si>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ПОНОМАРЕНКО ОЛЕКСАНДР</t>
  </si>
  <si>
    <t>https://www.scopus.com/authid/detail.uri?authorId=57215835371</t>
  </si>
  <si>
    <t>Ponomarenko, O.</t>
  </si>
  <si>
    <t>САНДРИКІН ДЕНИС</t>
  </si>
  <si>
    <t>https://www.scopus.com/authid/detail.uri?authorId=57207757448</t>
  </si>
  <si>
    <t>Sandrkin, D.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</si>
  <si>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</si>
  <si>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</si>
  <si>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</si>
  <si>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</si>
  <si>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</si>
  <si>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</si>
  <si>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</si>
  <si>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</si>
  <si>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</si>
  <si>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</si>
  <si>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</si>
  <si>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</si>
  <si>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</si>
  <si>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</si>
  <si>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</si>
  <si>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</si>
  <si>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</si>
  <si>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</si>
  <si>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</si>
  <si>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</si>
  <si>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</si>
  <si>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</si>
  <si>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</si>
  <si>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</si>
  <si>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</si>
  <si>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</si>
  <si>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</si>
  <si>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</si>
  <si>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</si>
  <si>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</si>
  <si>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</si>
  <si>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</si>
  <si>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</si>
  <si>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</si>
  <si>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</si>
  <si>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</si>
  <si>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</si>
  <si>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</si>
  <si>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</si>
  <si>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</si>
  <si>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</si>
  <si>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</si>
  <si>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</si>
  <si>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</si>
  <si>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</si>
  <si>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</si>
  <si>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</si>
  <si>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</si>
  <si>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</si>
  <si>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</si>
  <si>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</si>
  <si>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</si>
  <si>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</si>
  <si>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</si>
  <si>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</si>
  <si>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</si>
  <si>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</si>
  <si>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</si>
  <si>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>КАЛМИКОВ ОЛЕКСАНДР</t>
  </si>
  <si>
    <t>Kalmykov,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</si>
  <si>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</si>
  <si>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</si>
  <si>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</si>
  <si>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</si>
  <si>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</si>
  <si>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</si>
  <si>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</si>
  <si>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</si>
  <si>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</si>
  <si>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</si>
  <si>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</si>
  <si>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</si>
  <si>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</si>
  <si>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</si>
  <si>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</si>
  <si>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</si>
  <si>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</si>
  <si>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СТАРОКОЖЛЕВ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</si>
  <si>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</si>
  <si>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</si>
  <si>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</si>
  <si>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</si>
  <si>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</si>
  <si>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</si>
  <si>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</si>
  <si>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</si>
  <si>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</si>
  <si>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</si>
  <si>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</si>
  <si>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</si>
  <si>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</si>
  <si>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</si>
  <si>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</si>
  <si>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</si>
  <si>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</si>
  <si>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</si>
  <si>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</si>
  <si>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</si>
  <si>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</si>
  <si>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</si>
  <si>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</si>
  <si>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</si>
  <si>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</si>
  <si>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</si>
  <si>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</si>
  <si>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</si>
  <si>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</si>
  <si>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</si>
  <si>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</si>
  <si>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</si>
  <si>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</si>
  <si>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</si>
  <si>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ТИЩЕНКО ОЛЕКСІЙ КОСТЯНТИНОВИЧ</t>
  </si>
  <si>
    <t>Tyshchenko, Oleksii K.</t>
  </si>
  <si>
    <t>ВИНОКУРОВА ОЛЕНА АНАТОЛІЇВНА</t>
  </si>
  <si>
    <t>Vynokurova, Olena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</si>
  <si>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</si>
  <si>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</si>
  <si>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</si>
  <si>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</si>
  <si>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</si>
  <si>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</si>
  <si>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</si>
  <si>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</si>
  <si>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</si>
  <si>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</si>
  <si>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</si>
  <si>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</si>
  <si>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</si>
  <si>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</si>
  <si>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</si>
  <si>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</si>
  <si>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біт</t>
  </si>
  <si>
    <t>Khudov, Vladyslav, ; Vladyslav K. ; Khudov, V. ; Vladyslav, K.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</si>
  <si>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</si>
  <si>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</si>
  <si>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</si>
  <si>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</si>
  <si>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</si>
  <si>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</si>
  <si>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</si>
  <si>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</si>
  <si>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</si>
  <si>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</si>
  <si>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</si>
  <si>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</si>
  <si>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</si>
  <si>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</si>
  <si>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</si>
  <si>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</si>
  <si>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</si>
  <si>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</si>
  <si>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Sidchenko Y.</t>
  </si>
  <si>
    <t>https://www.scopus.com/authid/detail.uri?authorId=57418642600&amp;origin=recordpage</t>
  </si>
  <si>
    <t>Sidchenko, Yevhenii ; Sidchenko, Y</t>
  </si>
  <si>
    <t>Ignatyev, Oleksandr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</si>
  <si>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</si>
  <si>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</si>
  <si>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</si>
  <si>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</si>
  <si>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</si>
  <si>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Чумак В.С.</t>
  </si>
  <si>
    <t>МІРОШНІЧЕНКО НЕЛЯ С.</t>
  </si>
  <si>
    <t>https://orcid.org/0000-0002-3846-1668</t>
  </si>
  <si>
    <t xml:space="preserve">СТ </t>
  </si>
  <si>
    <t>Miroshnychenko, Nelia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</si>
  <si>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</si>
  <si>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</si>
  <si>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</si>
  <si>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</si>
  <si>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</si>
  <si>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</si>
  <si>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</si>
  <si>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</si>
  <si>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>Буренок В.В.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</si>
  <si>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</si>
  <si>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</si>
  <si>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</si>
  <si>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</si>
  <si>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</si>
  <si>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</si>
  <si>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</si>
  <si>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</si>
  <si>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</si>
  <si>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</si>
  <si>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</si>
  <si>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</si>
  <si>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</si>
  <si>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>Hunko, M.</t>
  </si>
  <si>
    <t>Turenko, S.</t>
  </si>
  <si>
    <t>мгп</t>
  </si>
  <si>
    <t>Ryzhanov, V.</t>
  </si>
  <si>
    <t>пм?</t>
  </si>
  <si>
    <t>Zinchenko, H.</t>
  </si>
  <si>
    <t xml:space="preserve">САШКОВА ЯНА ВАДИМІВНА </t>
  </si>
  <si>
    <t>Sahkova, Y. ; Sashkova, Y.</t>
  </si>
  <si>
    <t>Skorik, V.</t>
  </si>
  <si>
    <t>ндл</t>
  </si>
  <si>
    <t>Новицький Олександр Сергійович</t>
  </si>
  <si>
    <t>https://www.scopus.com/authid/detail.uri?authorId=57226786264</t>
  </si>
  <si>
    <t>Novytskyy, O.</t>
  </si>
  <si>
    <t>Куценко Юрій А.</t>
  </si>
  <si>
    <t>https://orcid.org/0000-0003-1081-1088</t>
  </si>
  <si>
    <t>https://www.scopus.com/authid/detail.uri?authorId=57365140000</t>
  </si>
  <si>
    <t>ек</t>
  </si>
  <si>
    <t>Kutsenko, Y.</t>
  </si>
  <si>
    <t>Браницький Владислав. Олександрович.</t>
  </si>
  <si>
    <t>https://www.scopus.com/authid/detail.uri?authorId=57566406800</t>
  </si>
  <si>
    <t>ші</t>
  </si>
  <si>
    <t>Branytskyi, V.</t>
  </si>
  <si>
    <t>Малик Діана Геннадіївна</t>
  </si>
  <si>
    <t>https://www.scopus.com/authid/detail.uri?authorId=57565826300</t>
  </si>
  <si>
    <t>Malyk, D.</t>
  </si>
  <si>
    <t xml:space="preserve">Шевцов Іван Олександрович </t>
  </si>
  <si>
    <t>https://orcid.org/0000-0003-0597-1589</t>
  </si>
  <si>
    <t>https://www.scopus.com/authid/detail.uri?authorId=57705710200</t>
  </si>
  <si>
    <t>мтс</t>
  </si>
  <si>
    <t>Shevtsov, I.</t>
  </si>
  <si>
    <t>Самочернов Микола Борисович</t>
  </si>
  <si>
    <t>https://www.scopus.com/authid/detail.uri?authorId=57705289000</t>
  </si>
  <si>
    <t>імі</t>
  </si>
  <si>
    <t>Samochernov, M.B.</t>
  </si>
  <si>
    <t>Мордик Олександр О.</t>
  </si>
  <si>
    <t>https://www.scopus.com/authid/detail.uri?authorId=57748914900</t>
  </si>
  <si>
    <t>кітам</t>
  </si>
  <si>
    <t>Mordyk, O. ; Mordyk, Oleksandr</t>
  </si>
  <si>
    <t>Орленко Валерій Михайлович</t>
  </si>
  <si>
    <t>https://orcid.org/0000-0002-4497-0012</t>
  </si>
  <si>
    <t>https://www.scopus.com/authid/detail.uri?authorId=8369745000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</si>
  <si>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</si>
  <si>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</si>
  <si>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</si>
  <si>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</si>
  <si>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https://www.scopus.com/authid/detail.uri?authorId=57208627767</t>
  </si>
  <si>
    <t>КОЗИРЄВ АНДРІЙ ДМИТРОВИЧ</t>
  </si>
  <si>
    <t>https://orcid.org/0000-0001-6383-5222</t>
  </si>
  <si>
    <t>https://www.scopus.com/authid/detail.uri?authorId=57208898156</t>
  </si>
  <si>
    <t>Kozyriev, A. ;  Kozyriev, Andrii</t>
  </si>
  <si>
    <t>ЛІТВІН СВІТЛАНА ГЕННАДІЇВНА</t>
  </si>
  <si>
    <t>https://orcid.org/0000-0002-7183-6345</t>
  </si>
  <si>
    <t>https://www.scopus.com/authid/detail.uri?authorId=57226357638</t>
  </si>
  <si>
    <t>Litvin, S.</t>
  </si>
  <si>
    <t>ІЛЮНІН ОЛЕГ ОЛЕГОВИЧ</t>
  </si>
  <si>
    <t xml:space="preserve">https://orcid.org/0000-0002-7751-4814
</t>
  </si>
  <si>
    <t>https://www.scopus.com/authid/detail.uri?authorId=37059004500</t>
  </si>
  <si>
    <t>Ilyunin, O.</t>
  </si>
  <si>
    <t>ХЛАМОВ СЕРГІЙ ВАСИЛЬОВИЧ</t>
  </si>
  <si>
    <t>https://orcid.org/0000-0001-9434-1081</t>
  </si>
  <si>
    <t>https://www.scopus.com/authid/detail.uri?authorId=56866386100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</si>
  <si>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</si>
  <si>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</si>
  <si>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</si>
  <si>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</si>
  <si>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</si>
  <si>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</si>
  <si>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t>Σpub</t>
  </si>
  <si>
    <t>Σcit</t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</si>
  <si>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</si>
  <si>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</si>
  <si>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</si>
  <si>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</si>
  <si>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</si>
  <si>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</si>
  <si>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</si>
  <si>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</si>
  <si>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</si>
  <si>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</si>
  <si>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</si>
  <si>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</si>
  <si>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</si>
  <si>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</si>
  <si>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</si>
  <si>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</si>
  <si>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</si>
  <si>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</si>
  <si>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</si>
  <si>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</si>
  <si>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</si>
  <si>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</si>
  <si>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</si>
  <si>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</si>
  <si>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</si>
  <si>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</si>
  <si>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</si>
  <si>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</si>
  <si>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</si>
  <si>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</si>
  <si>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</si>
  <si>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</si>
  <si>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</si>
  <si>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</si>
  <si>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</si>
  <si>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</si>
  <si>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</si>
  <si>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</si>
  <si>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</si>
  <si>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</si>
  <si>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</si>
  <si>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</si>
  <si>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</si>
  <si>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</si>
  <si>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</si>
  <si>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</si>
  <si>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</si>
  <si>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</si>
  <si>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</si>
  <si>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</si>
  <si>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</si>
  <si>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</si>
  <si>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</si>
  <si>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</si>
  <si>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</si>
  <si>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</si>
  <si>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</si>
  <si>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</si>
  <si>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</si>
  <si>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</si>
  <si>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</si>
  <si>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</si>
  <si>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</si>
  <si>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</si>
  <si>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</si>
  <si>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</si>
  <si>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</si>
  <si>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</si>
  <si>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</si>
  <si>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</si>
  <si>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</si>
  <si>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</si>
  <si>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</si>
  <si>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</si>
  <si>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</si>
  <si>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</si>
  <si>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</si>
  <si>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</si>
  <si>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</si>
  <si>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</si>
  <si>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</si>
  <si>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</si>
  <si>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</si>
  <si>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</si>
  <si>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</si>
  <si>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</si>
  <si>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</si>
  <si>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</si>
  <si>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</si>
  <si>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</si>
  <si>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</si>
  <si>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</si>
  <si>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</si>
  <si>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</si>
  <si>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</si>
  <si>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</si>
  <si>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</si>
  <si>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</si>
  <si>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</si>
  <si>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</si>
  <si>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</si>
  <si>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</si>
  <si>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</si>
  <si>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</si>
  <si>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</si>
  <si>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</si>
  <si>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</si>
  <si>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</si>
  <si>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</si>
  <si>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</si>
  <si>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</si>
  <si>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</si>
  <si>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</si>
  <si>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</si>
  <si>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</si>
  <si>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</si>
  <si>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</si>
  <si>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</si>
  <si>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</si>
  <si>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</si>
  <si>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</si>
  <si>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</si>
  <si>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</si>
  <si>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</si>
  <si>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</si>
  <si>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</si>
  <si>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</si>
  <si>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</si>
  <si>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</si>
  <si>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</si>
  <si>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</si>
  <si>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</si>
  <si>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</si>
  <si>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</si>
  <si>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</si>
  <si>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</si>
  <si>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</si>
  <si>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</si>
  <si>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</si>
  <si>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</si>
  <si>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</si>
  <si>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</si>
  <si>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</si>
  <si>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</si>
  <si>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</si>
  <si>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</si>
  <si>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</si>
  <si>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</si>
  <si>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</si>
  <si>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</si>
  <si>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</si>
  <si>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</si>
  <si>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</si>
  <si>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</si>
  <si>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</si>
  <si>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</si>
  <si>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</si>
  <si>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</si>
  <si>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</si>
  <si>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</si>
  <si>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</si>
  <si>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</si>
  <si>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</si>
  <si>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</si>
  <si>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</si>
  <si>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</si>
  <si>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</si>
  <si>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</si>
  <si>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</si>
  <si>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</si>
  <si>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</si>
  <si>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</si>
  <si>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</si>
  <si>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</si>
  <si>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</si>
  <si>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</si>
  <si>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</si>
  <si>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</si>
  <si>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</si>
  <si>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</si>
  <si>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</si>
  <si>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</si>
  <si>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</si>
  <si>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</si>
  <si>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</si>
  <si>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</si>
  <si>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</si>
  <si>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</si>
  <si>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</si>
  <si>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</si>
  <si>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</si>
  <si>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</si>
  <si>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</si>
  <si>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</si>
  <si>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</si>
  <si>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</si>
  <si>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</si>
  <si>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</si>
  <si>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</si>
  <si>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</si>
  <si>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</si>
  <si>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</si>
  <si>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</si>
  <si>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</si>
  <si>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</si>
  <si>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</si>
  <si>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</si>
  <si>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</si>
  <si>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</si>
  <si>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</si>
  <si>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</si>
  <si>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</si>
  <si>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</si>
  <si>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</si>
  <si>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</si>
  <si>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</si>
  <si>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</si>
  <si>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</si>
  <si>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</si>
  <si>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</si>
  <si>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</si>
  <si>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</si>
  <si>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</si>
  <si>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</si>
  <si>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</si>
  <si>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</si>
  <si>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</si>
  <si>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</si>
  <si>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</si>
  <si>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</si>
  <si>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</si>
  <si>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</si>
  <si>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</si>
  <si>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</si>
  <si>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</si>
  <si>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</si>
  <si>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</si>
  <si>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</si>
  <si>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</si>
  <si>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</si>
  <si>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</si>
  <si>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</si>
  <si>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</si>
  <si>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</si>
  <si>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</si>
  <si>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</si>
  <si>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</si>
  <si>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</si>
  <si>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</si>
  <si>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</si>
  <si>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</si>
  <si>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</si>
  <si>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</si>
  <si>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</si>
  <si>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</si>
  <si>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</si>
  <si>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</si>
  <si>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</si>
  <si>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</si>
  <si>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</si>
  <si>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</si>
  <si>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</si>
  <si>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</si>
  <si>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</si>
  <si>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</si>
  <si>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</si>
  <si>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</si>
  <si>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</si>
  <si>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</si>
  <si>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</si>
  <si>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</si>
  <si>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</si>
  <si>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</si>
  <si>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</si>
  <si>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</si>
  <si>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</si>
  <si>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</si>
  <si>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</si>
  <si>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</si>
  <si>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</si>
  <si>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</si>
  <si>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</si>
  <si>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</si>
  <si>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</si>
  <si>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</si>
  <si>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</si>
  <si>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</si>
  <si>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</si>
  <si>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</si>
  <si>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</si>
  <si>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</si>
  <si>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</si>
  <si>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</si>
  <si>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</si>
  <si>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</si>
  <si>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</si>
  <si>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</si>
  <si>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</si>
  <si>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</si>
  <si>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</si>
  <si>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</si>
  <si>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</si>
  <si>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</si>
  <si>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</si>
  <si>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</si>
  <si>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</si>
  <si>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</si>
  <si>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</si>
  <si>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</si>
  <si>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</si>
  <si>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</si>
  <si>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</si>
  <si>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</si>
  <si>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</si>
  <si>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</si>
  <si>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</si>
  <si>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</si>
  <si>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</si>
  <si>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</si>
  <si>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</si>
  <si>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</si>
  <si>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</si>
  <si>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</si>
  <si>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</si>
  <si>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</si>
  <si>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</si>
  <si>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</si>
  <si>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</si>
  <si>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</si>
  <si>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</si>
  <si>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</si>
  <si>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</si>
  <si>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</si>
  <si>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</si>
  <si>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</si>
  <si>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</si>
  <si>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</si>
  <si>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</si>
  <si>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</si>
  <si>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</si>
  <si>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</si>
  <si>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</si>
  <si>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</si>
  <si>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</si>
  <si>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</si>
  <si>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</si>
  <si>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</si>
  <si>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</si>
  <si>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</si>
  <si>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</si>
  <si>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</si>
  <si>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</si>
  <si>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</si>
  <si>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</si>
  <si>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</si>
  <si>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</si>
  <si>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</si>
  <si>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</si>
  <si>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</si>
  <si>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</si>
  <si>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</si>
  <si>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</si>
  <si>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</si>
  <si>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</si>
  <si>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</si>
  <si>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</si>
  <si>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</si>
  <si>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</si>
  <si>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</si>
  <si>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</si>
  <si>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</si>
  <si>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</si>
  <si>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</si>
  <si>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</si>
  <si>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</si>
  <si>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</si>
  <si>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</si>
  <si>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</si>
  <si>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</si>
  <si>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</si>
  <si>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</si>
  <si>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</si>
  <si>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</si>
  <si>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</si>
  <si>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</si>
  <si>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</si>
  <si>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</si>
  <si>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</si>
  <si>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</si>
  <si>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</si>
  <si>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</si>
  <si>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</si>
  <si>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</si>
  <si>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</si>
  <si>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</si>
  <si>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</si>
  <si>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</si>
  <si>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</si>
  <si>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</si>
  <si>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</si>
  <si>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</si>
  <si>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</si>
  <si>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</si>
  <si>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</si>
  <si>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</si>
  <si>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</si>
  <si>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</si>
  <si>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</si>
  <si>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</si>
  <si>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</si>
  <si>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</si>
  <si>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</si>
  <si>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</si>
  <si>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</si>
  <si>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</si>
  <si>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</si>
  <si>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</si>
  <si>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</si>
  <si>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</si>
  <si>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</si>
  <si>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</si>
  <si>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</si>
  <si>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</si>
  <si>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</si>
  <si>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</si>
  <si>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</si>
  <si>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</si>
  <si>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</si>
  <si>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</si>
  <si>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</si>
  <si>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</si>
  <si>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</si>
  <si>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</si>
  <si>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</si>
  <si>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</si>
  <si>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</si>
  <si>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</si>
  <si>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</si>
  <si>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</si>
  <si>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</si>
  <si>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</si>
  <si>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</si>
  <si>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</si>
  <si>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</si>
  <si>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</si>
  <si>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</si>
  <si>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</si>
  <si>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</si>
  <si>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</si>
  <si>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</si>
  <si>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</si>
  <si>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</si>
  <si>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</si>
  <si>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</si>
  <si>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</si>
  <si>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</si>
  <si>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</si>
  <si>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</si>
  <si>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</si>
  <si>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</si>
  <si>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</si>
  <si>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</si>
  <si>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</si>
  <si>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</si>
  <si>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</si>
  <si>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</si>
  <si>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</si>
  <si>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</si>
  <si>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</si>
  <si>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</si>
  <si>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</si>
  <si>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</si>
  <si>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</si>
  <si>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</si>
  <si>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</si>
  <si>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</si>
  <si>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</si>
  <si>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</si>
  <si>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</si>
  <si>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</si>
  <si>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</si>
  <si>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</si>
  <si>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</si>
  <si>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</si>
  <si>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</si>
  <si>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</si>
  <si>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</si>
  <si>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</si>
  <si>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</si>
  <si>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</si>
  <si>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</si>
  <si>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</si>
  <si>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</si>
  <si>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</si>
  <si>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</si>
  <si>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</si>
  <si>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</si>
  <si>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</si>
  <si>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</si>
  <si>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</si>
  <si>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</si>
  <si>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</si>
  <si>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</si>
  <si>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</si>
  <si>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</si>
  <si>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</si>
  <si>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</si>
  <si>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</si>
  <si>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</si>
  <si>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</si>
  <si>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</si>
  <si>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</si>
  <si>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</si>
  <si>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</si>
  <si>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</si>
  <si>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</si>
  <si>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</si>
  <si>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</si>
  <si>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</si>
  <si>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</si>
  <si>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</si>
  <si>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</si>
  <si>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</si>
  <si>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</si>
  <si>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</si>
  <si>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</si>
  <si>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</si>
  <si>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</si>
  <si>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</si>
  <si>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</si>
  <si>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</si>
  <si>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</si>
  <si>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</si>
  <si>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</si>
  <si>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</si>
  <si>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</si>
  <si>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</si>
  <si>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</si>
  <si>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</si>
  <si>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</si>
  <si>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</si>
  <si>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</si>
  <si>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</si>
  <si>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</si>
  <si>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</si>
  <si>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</si>
  <si>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</si>
  <si>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</si>
  <si>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</si>
  <si>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</si>
  <si>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</si>
  <si>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</si>
  <si>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</si>
  <si>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</si>
  <si>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</si>
  <si>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</si>
  <si>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</si>
  <si>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</si>
  <si>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</si>
  <si>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</si>
  <si>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</si>
  <si>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</si>
  <si>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</si>
  <si>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</si>
  <si>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</si>
  <si>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</si>
  <si>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</si>
  <si>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</si>
  <si>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</si>
  <si>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</si>
  <si>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</si>
  <si>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</si>
  <si>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</si>
  <si>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</si>
  <si>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</si>
  <si>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</si>
  <si>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</si>
  <si>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</si>
  <si>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</si>
  <si>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</si>
  <si>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</si>
  <si>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</si>
  <si>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</si>
  <si>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</si>
  <si>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</si>
  <si>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</si>
  <si>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</si>
  <si>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</si>
  <si>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</si>
  <si>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</si>
  <si>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</si>
  <si>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</si>
  <si>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</si>
  <si>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</si>
  <si>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</si>
  <si>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</si>
  <si>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</si>
  <si>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</si>
  <si>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</si>
  <si>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</si>
  <si>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</si>
  <si>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</si>
  <si>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</si>
  <si>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</si>
  <si>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</si>
  <si>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</si>
  <si>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</si>
  <si>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</si>
  <si>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</si>
  <si>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</si>
  <si>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</si>
  <si>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</si>
  <si>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</si>
  <si>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</si>
  <si>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</si>
  <si>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</si>
  <si>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</si>
  <si>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</si>
  <si>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</si>
  <si>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</si>
  <si>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</si>
  <si>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</si>
  <si>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</si>
  <si>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</si>
  <si>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</si>
  <si>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</si>
  <si>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</si>
  <si>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</si>
  <si>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</si>
  <si>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</si>
  <si>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</si>
  <si>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</si>
  <si>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</si>
  <si>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</si>
  <si>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</si>
  <si>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</si>
  <si>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</si>
  <si>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</si>
  <si>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</si>
  <si>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</si>
  <si>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</si>
  <si>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</si>
  <si>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</si>
  <si>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</si>
  <si>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</si>
  <si>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</si>
  <si>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</si>
  <si>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</si>
  <si>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</si>
  <si>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</si>
  <si>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</si>
  <si>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</si>
  <si>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</si>
  <si>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</si>
  <si>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</si>
  <si>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</si>
  <si>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</si>
  <si>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</si>
  <si>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</si>
  <si>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</si>
  <si>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</si>
  <si>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</si>
  <si>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</si>
  <si>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</si>
  <si>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</si>
  <si>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</si>
  <si>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</si>
  <si>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</si>
  <si>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</si>
  <si>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</si>
  <si>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</si>
  <si>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</si>
  <si>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</si>
  <si>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</si>
  <si>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</si>
  <si>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</si>
  <si>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</si>
  <si>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</si>
  <si>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</si>
  <si>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</si>
  <si>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</si>
  <si>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</si>
  <si>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</si>
  <si>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</si>
  <si>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</si>
  <si>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</si>
  <si>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</si>
  <si>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</si>
  <si>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</si>
  <si>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</si>
  <si>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</si>
  <si>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</si>
  <si>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</si>
  <si>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</si>
  <si>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</si>
  <si>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</si>
  <si>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</si>
  <si>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</si>
  <si>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</si>
  <si>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</si>
  <si>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</si>
  <si>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</si>
  <si>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</si>
  <si>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</si>
  <si>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</si>
  <si>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</si>
  <si>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</si>
  <si>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</si>
  <si>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</si>
  <si>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</si>
  <si>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</si>
  <si>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</si>
  <si>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</si>
  <si>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</si>
  <si>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</si>
  <si>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</si>
  <si>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</si>
  <si>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</si>
  <si>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</si>
  <si>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</si>
  <si>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</si>
  <si>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</si>
  <si>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</si>
  <si>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</si>
  <si>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</si>
  <si>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</si>
  <si>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</si>
  <si>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</si>
  <si>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</si>
  <si>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</si>
  <si>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</si>
  <si>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</si>
  <si>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</si>
  <si>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</si>
  <si>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</si>
  <si>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</si>
  <si>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</si>
  <si>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</si>
  <si>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</si>
  <si>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</si>
  <si>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</si>
  <si>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</si>
  <si>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</si>
  <si>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</si>
  <si>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</si>
  <si>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</si>
  <si>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</si>
  <si>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</si>
  <si>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</si>
  <si>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</si>
  <si>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</si>
  <si>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</si>
  <si>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</si>
  <si>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</si>
  <si>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</si>
  <si>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</si>
  <si>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</si>
  <si>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</si>
  <si>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</si>
  <si>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</si>
  <si>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</si>
  <si>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</si>
  <si>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</si>
  <si>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</si>
  <si>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</si>
  <si>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</si>
  <si>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</si>
  <si>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</si>
  <si>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</si>
  <si>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</si>
  <si>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</si>
  <si>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</si>
  <si>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</si>
  <si>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</si>
  <si>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</si>
  <si>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</si>
  <si>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</si>
  <si>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</si>
  <si>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</si>
  <si>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</si>
  <si>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</si>
  <si>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</si>
  <si>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</si>
  <si>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</si>
  <si>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</si>
  <si>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</si>
  <si>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</si>
  <si>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</si>
  <si>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</si>
  <si>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</si>
  <si>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</si>
  <si>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</si>
  <si>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</si>
  <si>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</si>
  <si>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</si>
  <si>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</si>
  <si>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</si>
  <si>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</si>
  <si>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</si>
  <si>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</si>
  <si>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</si>
  <si>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</si>
  <si>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</si>
  <si>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</si>
  <si>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</si>
  <si>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</si>
  <si>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</si>
  <si>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</si>
  <si>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</si>
  <si>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</si>
  <si>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</si>
  <si>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</si>
  <si>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</si>
  <si>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</si>
  <si>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</si>
  <si>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</si>
  <si>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</si>
  <si>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</si>
  <si>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</si>
  <si>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</si>
  <si>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</si>
  <si>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</si>
  <si>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</si>
  <si>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</si>
  <si>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</si>
  <si>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</si>
  <si>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</si>
  <si>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</si>
  <si>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</si>
  <si>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</si>
  <si>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</si>
  <si>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</si>
  <si>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</si>
  <si>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</si>
  <si>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</si>
  <si>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Укр., МП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</si>
  <si>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</si>
  <si>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</si>
  <si>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</si>
  <si>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</si>
  <si>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</si>
  <si>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</si>
  <si>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</si>
  <si>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БАТРАКОВ. ЄВГЕНІЙ ОЛЕКСІЙОВИЧ</t>
  </si>
  <si>
    <t>БОНДАРЕНКО. ІГОР СТАНІСЛАВОВИЧ</t>
  </si>
  <si>
    <t>БУЛАХ.. ВІТАЛІЙ АНАТОЛІЙОВИЧ</t>
  </si>
  <si>
    <t>ГИБКІНА НАДІЯ ВАЛЕНТИНIВНА</t>
  </si>
  <si>
    <t>https://www.scopus.com/authid/detail.uri?authorId=57211012172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</si>
  <si>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</si>
  <si>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</si>
  <si>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</si>
  <si>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</si>
  <si>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</si>
  <si>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</si>
  <si>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</si>
  <si>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</si>
  <si>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</si>
  <si>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</si>
  <si>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t>https://www.scopus.com/authid/detail.uri?authorId=6506599920 
https://www.scopus.com/authid/detail.uri?authorId=57190967650</t>
  </si>
  <si>
    <t>МАРТОВИЦЬКИЙ ВІТАЛІЙ ОЛЕКСАНДРОВИЧ</t>
  </si>
  <si>
    <t>https://www.scopus.com/authid/detail.uri?authorId=57202059464</t>
  </si>
  <si>
    <t>НЕВЛЮДОВ ІГОР ШАКИРОВИЧ</t>
  </si>
  <si>
    <t>ОВЧАРЕНКО. КОСТЯНТИН СЕРГІЙОВИЧ</t>
  </si>
  <si>
    <t>https://www.scopus.com/authid/detail.uri?authorId=7102831556</t>
  </si>
  <si>
    <t>www.scopus.com/authid/detail.uri?authorId=37461951800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</si>
  <si>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</si>
  <si>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</si>
  <si>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</si>
  <si>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https://www.scopus.com/authid/detail.uri?authorId=57217589878</t>
  </si>
  <si>
    <t>ХРУСТАЛЬОВА СОФІЯ ВОЛОДИМИРІВНА</t>
  </si>
  <si>
    <t>ЧЕТВЕРИКОВ ГРИГОРІЙ ГРИГОРОВИЧ</t>
  </si>
  <si>
    <t/>
  </si>
  <si>
    <t>www.scopus.com/authid/detail.uri?authorId=57216335450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</si>
</sst>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0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b/>
      <sz val="9.0"/>
      <color rgb="FF464646"/>
      <name val="Quattrocento Sans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0000FF"/>
      <name val="Times New Roman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0000FF"/>
      <name val="Calibri"/>
    </font>
    <font>
      <sz val="11.0"/>
      <color theme="10"/>
      <name val="Calibri"/>
    </font>
    <font>
      <u/>
      <sz val="11.0"/>
      <color rgb="FF2E2E2E"/>
      <name val="Nexussan"/>
    </font>
    <font>
      <u/>
      <sz val="11.0"/>
      <color rgb="FF000000"/>
      <name val="Times New Roman"/>
    </font>
    <font>
      <sz val="10.0"/>
      <color rgb="FF323232"/>
      <name val="Times New Roman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0.0"/>
      <color rgb="FF000000"/>
      <name val="Roboto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theme="10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1155CC"/>
      <name val="Calibri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sz val="11.0"/>
      <color rgb="FF323232"/>
      <name val="Var(--font-family"/>
    </font>
    <font>
      <u/>
      <sz val="11.0"/>
      <color theme="1"/>
      <name val="Calibri"/>
    </font>
    <font>
      <sz val="10.0"/>
      <color rgb="FF424143"/>
      <name val="Arial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rgb="FF0000FF"/>
      <name val="Calibri"/>
    </font>
    <font>
      <sz val="12.0"/>
      <color rgb="FF464646"/>
      <name val="Quattrocento Sans"/>
    </font>
    <font>
      <u/>
      <sz val="11.0"/>
      <color rgb="FF0000FF"/>
      <name val="Calibri"/>
    </font>
    <font>
      <sz val="9.0"/>
      <color rgb="FF464646"/>
      <name val="Quattrocento Sans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12.0"/>
      <color rgb="FF505050"/>
      <name val="Times New Roman"/>
    </font>
    <font>
      <u/>
      <sz val="11.0"/>
      <color theme="1"/>
      <name val="Calibri"/>
    </font>
    <font>
      <sz val="11.0"/>
      <color rgb="FF505050"/>
      <name val="Arial"/>
    </font>
    <font>
      <u/>
      <sz val="11.0"/>
      <color theme="1"/>
      <name val="Calibri"/>
    </font>
    <font>
      <sz val="11.0"/>
      <color rgb="FF323232"/>
      <name val="Inherit"/>
    </font>
    <font>
      <sz val="11.0"/>
      <color rgb="FF505050"/>
      <name val="Rasa"/>
    </font>
    <font>
      <sz val="11.0"/>
      <color rgb="FF4D5156"/>
      <name val="Arial"/>
    </font>
    <font>
      <u/>
      <sz val="11.0"/>
      <color rgb="FF0000FF"/>
      <name val="Calibri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6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7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8" fontId="6" numFmtId="0" xfId="0" applyAlignment="1" applyBorder="1" applyFill="1" applyFont="1">
      <alignment horizontal="right" shrinkToFit="0" vertical="top" wrapText="1"/>
    </xf>
    <xf borderId="9" fillId="8" fontId="11" numFmtId="0" xfId="0" applyAlignment="1" applyBorder="1" applyFont="1">
      <alignment shrinkToFit="0" vertical="center" wrapText="1"/>
    </xf>
    <xf borderId="9" fillId="8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8" fontId="2" numFmtId="0" xfId="0" applyAlignment="1" applyBorder="1" applyFont="1">
      <alignment horizontal="center" shrinkToFit="0" wrapText="1"/>
    </xf>
    <xf borderId="9" fillId="8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shrinkToFit="0" vertical="center" wrapText="1"/>
    </xf>
    <xf borderId="9" fillId="8" fontId="6" numFmtId="0" xfId="0" applyAlignment="1" applyBorder="1" applyFont="1">
      <alignment shrinkToFit="0" vertical="top" wrapText="1"/>
    </xf>
    <xf borderId="9" fillId="11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horizontal="left" vertical="center"/>
    </xf>
    <xf borderId="12" fillId="8" fontId="5" numFmtId="0" xfId="0" applyBorder="1" applyFont="1"/>
    <xf borderId="9" fillId="8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2" fontId="2" numFmtId="0" xfId="0" applyAlignment="1" applyBorder="1" applyFill="1" applyFont="1">
      <alignment horizontal="center" shrinkToFit="0" wrapText="1"/>
    </xf>
    <xf borderId="9" fillId="6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12" fillId="5" fontId="5" numFmtId="0" xfId="0" applyBorder="1" applyFont="1"/>
    <xf borderId="12" fillId="13" fontId="20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6" fontId="21" numFmtId="0" xfId="0" applyAlignment="1" applyBorder="1" applyFont="1">
      <alignment horizontal="center" shrinkToFit="0" vertical="center" wrapText="1"/>
    </xf>
    <xf borderId="12" fillId="11" fontId="22" numFmtId="0" xfId="0" applyBorder="1" applyFont="1"/>
    <xf borderId="9" fillId="5" fontId="23" numFmtId="0" xfId="0" applyAlignment="1" applyBorder="1" applyFont="1">
      <alignment horizontal="left" shrinkToFit="0" vertical="center" wrapText="1"/>
    </xf>
    <xf borderId="12" fillId="5" fontId="24" numFmtId="0" xfId="0" applyAlignment="1" applyBorder="1" applyFont="1">
      <alignment shrinkToFit="0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5" numFmtId="0" xfId="0" applyAlignment="1" applyBorder="1" applyFont="1">
      <alignment shrinkToFit="0" vertical="center" wrapText="1"/>
    </xf>
    <xf borderId="9" fillId="14" fontId="26" numFmtId="0" xfId="0" applyAlignment="1" applyBorder="1" applyFont="1">
      <alignment horizontal="left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7" numFmtId="0" xfId="0" applyAlignment="1" applyBorder="1" applyFont="1">
      <alignment horizontal="center" shrinkToFit="0" wrapText="1"/>
    </xf>
    <xf borderId="12" fillId="11" fontId="28" numFmtId="0" xfId="0" applyBorder="1" applyFont="1"/>
    <xf borderId="0" fillId="0" fontId="29" numFmtId="0" xfId="0" applyFont="1"/>
    <xf borderId="12" fillId="8" fontId="5" numFmtId="0" xfId="0" applyAlignment="1" applyBorder="1" applyFont="1">
      <alignment horizontal="left" shrinkToFit="0" vertical="center" wrapText="1"/>
    </xf>
    <xf borderId="9" fillId="5" fontId="30" numFmtId="0" xfId="0" applyAlignment="1" applyBorder="1" applyFont="1">
      <alignment shrinkToFit="0" vertical="center" wrapText="1"/>
    </xf>
    <xf borderId="9" fillId="15" fontId="2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readingOrder="0" shrinkToFit="0" vertical="top" wrapText="1"/>
    </xf>
    <xf borderId="9" fillId="5" fontId="2" numFmtId="0" xfId="0" applyAlignment="1" applyBorder="1" applyFont="1">
      <alignment shrinkToFit="0" vertical="center" wrapText="1"/>
    </xf>
    <xf borderId="0" fillId="5" fontId="31" numFmtId="0" xfId="0" applyAlignment="1" applyFont="1">
      <alignment readingOrder="0" shrinkToFit="0" wrapText="1"/>
    </xf>
    <xf borderId="9" fillId="5" fontId="32" numFmtId="0" xfId="0" applyAlignment="1" applyBorder="1" applyFont="1">
      <alignment horizontal="center" shrinkToFit="0" wrapText="1"/>
    </xf>
    <xf borderId="9" fillId="8" fontId="33" numFmtId="0" xfId="0" applyAlignment="1" applyBorder="1" applyFont="1">
      <alignment horizontal="left"/>
    </xf>
    <xf borderId="12" fillId="8" fontId="34" numFmtId="0" xfId="0" applyAlignment="1" applyBorder="1" applyFont="1">
      <alignment horizontal="left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9" fillId="6" fontId="35" numFmtId="0" xfId="0" applyAlignment="1" applyBorder="1" applyFont="1">
      <alignment horizontal="center" shrinkToFit="0" vertical="center" wrapText="1"/>
    </xf>
    <xf borderId="9" fillId="11" fontId="2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shrinkToFit="0" wrapText="1"/>
    </xf>
    <xf borderId="12" fillId="12" fontId="36" numFmtId="0" xfId="0" applyAlignment="1" applyBorder="1" applyFont="1">
      <alignment horizontal="left"/>
    </xf>
    <xf borderId="9" fillId="5" fontId="37" numFmtId="0" xfId="0" applyAlignment="1" applyBorder="1" applyFont="1">
      <alignment shrinkToFit="0" vertical="center" wrapText="1"/>
    </xf>
    <xf borderId="9" fillId="11" fontId="38" numFmtId="0" xfId="0" applyAlignment="1" applyBorder="1" applyFont="1">
      <alignment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12" fillId="5" fontId="5" numFmtId="0" xfId="0" applyAlignment="1" applyBorder="1" applyFont="1">
      <alignment horizontal="left" vertical="center"/>
    </xf>
    <xf borderId="12" fillId="5" fontId="39" numFmtId="0" xfId="0" applyBorder="1" applyFont="1"/>
    <xf borderId="9" fillId="6" fontId="40" numFmtId="0" xfId="0" applyAlignment="1" applyBorder="1" applyFont="1">
      <alignment horizontal="center" shrinkToFit="0" vertical="center" wrapText="1"/>
    </xf>
    <xf borderId="9" fillId="6" fontId="41" numFmtId="0" xfId="0" applyAlignment="1" applyBorder="1" applyFont="1">
      <alignment horizontal="center" shrinkToFit="0" wrapText="1"/>
    </xf>
    <xf borderId="9" fillId="5" fontId="41" numFmtId="0" xfId="0" applyAlignment="1" applyBorder="1" applyFont="1">
      <alignment horizontal="center" shrinkToFit="0" wrapText="1"/>
    </xf>
    <xf borderId="9" fillId="8" fontId="42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3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4" numFmtId="0" xfId="0" applyAlignment="1" applyBorder="1" applyFont="1">
      <alignment horizontal="left" shrinkToFit="0" vertical="center" wrapText="1"/>
    </xf>
    <xf borderId="9" fillId="6" fontId="45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left" readingOrder="0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46" numFmtId="0" xfId="0" applyAlignment="1" applyBorder="1" applyFont="1">
      <alignment shrinkToFit="0" vertical="center" wrapText="1"/>
    </xf>
    <xf borderId="9" fillId="5" fontId="47" numFmtId="0" xfId="0" applyAlignment="1" applyBorder="1" applyFont="1">
      <alignment horizontal="left" shrinkToFit="0" vertical="center" wrapText="1"/>
    </xf>
    <xf borderId="9" fillId="8" fontId="48" numFmtId="0" xfId="0" applyAlignment="1" applyBorder="1" applyFont="1">
      <alignment horizontal="left" shrinkToFit="0" vertical="center" wrapText="1"/>
    </xf>
    <xf borderId="9" fillId="5" fontId="49" numFmtId="0" xfId="0" applyAlignment="1" applyBorder="1" applyFont="1">
      <alignment horizontal="left" shrinkToFit="0" vertical="center" wrapText="1"/>
    </xf>
    <xf borderId="9" fillId="5" fontId="45" numFmtId="0" xfId="0" applyAlignment="1" applyBorder="1" applyFont="1">
      <alignment horizontal="left" shrinkToFit="0" vertical="center" wrapText="1"/>
    </xf>
    <xf borderId="9" fillId="11" fontId="45" numFmtId="0" xfId="0" applyAlignment="1" applyBorder="1" applyFont="1">
      <alignment horizontal="center" shrinkToFit="0" vertical="center" wrapText="1"/>
    </xf>
    <xf borderId="9" fillId="11" fontId="1" numFmtId="0" xfId="0" applyAlignment="1" applyBorder="1" applyFont="1">
      <alignment horizontal="left" shrinkToFit="0" vertical="center" wrapText="1"/>
    </xf>
    <xf borderId="9" fillId="5" fontId="50" numFmtId="0" xfId="0" applyAlignment="1" applyBorder="1" applyFont="1">
      <alignment shrinkToFit="0" wrapText="1"/>
    </xf>
    <xf borderId="9" fillId="8" fontId="51" numFmtId="0" xfId="0" applyAlignment="1" applyBorder="1" applyFont="1">
      <alignment shrinkToFit="0" wrapText="1"/>
    </xf>
    <xf borderId="9" fillId="5" fontId="52" numFmtId="0" xfId="0" applyAlignment="1" applyBorder="1" applyFont="1">
      <alignment shrinkToFit="0" wrapText="1"/>
    </xf>
    <xf borderId="12" fillId="5" fontId="53" numFmtId="0" xfId="0" applyAlignment="1" applyBorder="1" applyFont="1">
      <alignment shrinkToFit="0" wrapText="1"/>
    </xf>
    <xf borderId="9" fillId="5" fontId="54" numFmtId="0" xfId="0" applyAlignment="1" applyBorder="1" applyFont="1">
      <alignment horizontal="center" shrinkToFit="0" vertical="center" wrapText="1"/>
    </xf>
    <xf borderId="9" fillId="5" fontId="55" numFmtId="0" xfId="0" applyAlignment="1" applyBorder="1" applyFont="1">
      <alignment shrinkToFit="0" wrapText="1"/>
    </xf>
    <xf borderId="9" fillId="8" fontId="56" numFmtId="0" xfId="0" applyAlignment="1" applyBorder="1" applyFont="1">
      <alignment horizontal="left" shrinkToFit="0" vertical="center" wrapText="1"/>
    </xf>
    <xf borderId="9" fillId="5" fontId="57" numFmtId="0" xfId="0" applyAlignment="1" applyBorder="1" applyFont="1">
      <alignment horizontal="left" shrinkToFit="0" vertical="center" wrapText="1"/>
    </xf>
    <xf borderId="9" fillId="8" fontId="58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shrinkToFit="0" vertical="center" wrapText="1"/>
    </xf>
    <xf borderId="9" fillId="8" fontId="59" numFmtId="0" xfId="0" applyAlignment="1" applyBorder="1" applyFont="1">
      <alignment horizontal="center" shrinkToFit="0" vertical="center" wrapText="1"/>
    </xf>
    <xf borderId="9" fillId="5" fontId="60" numFmtId="0" xfId="0" applyAlignment="1" applyBorder="1" applyFont="1">
      <alignment shrinkToFit="0" vertical="center" wrapText="1"/>
    </xf>
    <xf borderId="9" fillId="5" fontId="61" numFmtId="0" xfId="0" applyAlignment="1" applyBorder="1" applyFont="1">
      <alignment horizontal="center" shrinkToFit="0" vertical="center" wrapText="1"/>
    </xf>
    <xf borderId="12" fillId="8" fontId="62" numFmtId="0" xfId="0" applyAlignment="1" applyBorder="1" applyFont="1">
      <alignment shrinkToFit="0" wrapText="1"/>
    </xf>
    <xf borderId="12" fillId="8" fontId="63" numFmtId="0" xfId="0" applyAlignment="1" applyBorder="1" applyFont="1">
      <alignment shrinkToFit="0" wrapText="1"/>
    </xf>
    <xf borderId="9" fillId="8" fontId="64" numFmtId="0" xfId="0" applyAlignment="1" applyBorder="1" applyFont="1">
      <alignment shrinkToFit="0" vertical="center" wrapText="1"/>
    </xf>
    <xf borderId="12" fillId="6" fontId="65" numFmtId="0" xfId="0" applyAlignment="1" applyBorder="1" applyFont="1">
      <alignment horizontal="center" vertical="center"/>
    </xf>
    <xf borderId="12" fillId="8" fontId="66" numFmtId="0" xfId="0" applyAlignment="1" applyBorder="1" applyFont="1">
      <alignment horizontal="left"/>
    </xf>
    <xf borderId="12" fillId="11" fontId="65" numFmtId="0" xfId="0" applyAlignment="1" applyBorder="1" applyFont="1">
      <alignment horizontal="center" vertical="center"/>
    </xf>
    <xf borderId="9" fillId="5" fontId="54" numFmtId="0" xfId="0" applyAlignment="1" applyBorder="1" applyFont="1">
      <alignment shrinkToFit="0" wrapText="1"/>
    </xf>
    <xf borderId="9" fillId="5" fontId="67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horizontal="left" shrinkToFit="0" vertical="center" wrapText="1"/>
    </xf>
    <xf borderId="9" fillId="8" fontId="68" numFmtId="0" xfId="0" applyAlignment="1" applyBorder="1" applyFont="1">
      <alignment horizontal="left" shrinkToFit="0" vertical="center" wrapText="1"/>
    </xf>
    <xf borderId="9" fillId="5" fontId="69" numFmtId="0" xfId="0" applyAlignment="1" applyBorder="1" applyFont="1">
      <alignment shrinkToFit="0" wrapText="1"/>
    </xf>
    <xf borderId="9" fillId="8" fontId="70" numFmtId="0" xfId="0" applyAlignment="1" applyBorder="1" applyFont="1">
      <alignment shrinkToFit="0" wrapText="1"/>
    </xf>
    <xf borderId="9" fillId="8" fontId="54" numFmtId="0" xfId="0" applyAlignment="1" applyBorder="1" applyFont="1">
      <alignment shrinkToFit="0" wrapText="1"/>
    </xf>
    <xf borderId="9" fillId="5" fontId="71" numFmtId="0" xfId="0" applyAlignment="1" applyBorder="1" applyFont="1">
      <alignment shrinkToFit="0" wrapText="1"/>
    </xf>
    <xf borderId="9" fillId="11" fontId="7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2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2" fillId="8" fontId="54" numFmtId="0" xfId="0" applyAlignment="1" applyBorder="1" applyFont="1">
      <alignment horizontal="left"/>
    </xf>
    <xf borderId="9" fillId="8" fontId="2" numFmtId="0" xfId="0" applyAlignment="1" applyBorder="1" applyFont="1">
      <alignment shrinkToFit="0" vertical="center" wrapText="1"/>
    </xf>
    <xf borderId="9" fillId="11" fontId="2" numFmtId="0" xfId="0" applyAlignment="1" applyBorder="1" applyFont="1">
      <alignment shrinkToFit="0" vertical="center" wrapText="1"/>
    </xf>
    <xf borderId="9" fillId="11" fontId="1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shrinkToFit="0" wrapText="1"/>
    </xf>
    <xf borderId="9" fillId="8" fontId="1" numFmtId="0" xfId="0" applyAlignment="1" applyBorder="1" applyFont="1">
      <alignment horizontal="center" shrinkToFit="0" wrapText="1"/>
    </xf>
    <xf borderId="9" fillId="8" fontId="73" numFmtId="0" xfId="0" applyAlignment="1" applyBorder="1" applyFont="1">
      <alignment shrinkToFit="0" wrapText="1"/>
    </xf>
    <xf borderId="9" fillId="8" fontId="54" numFmtId="0" xfId="0" applyAlignment="1" applyBorder="1" applyFont="1">
      <alignment horizontal="center" shrinkToFit="0" vertical="center" wrapText="1"/>
    </xf>
    <xf borderId="9" fillId="5" fontId="74" numFmtId="0" xfId="0" applyAlignment="1" applyBorder="1" applyFont="1">
      <alignment horizontal="center" shrinkToFit="0" vertical="center" wrapText="1"/>
    </xf>
    <xf borderId="9" fillId="5" fontId="75" numFmtId="0" xfId="0" applyAlignment="1" applyBorder="1" applyFont="1">
      <alignment horizontal="center" shrinkToFit="0" wrapText="1"/>
    </xf>
    <xf borderId="9" fillId="5" fontId="76" numFmtId="0" xfId="0" applyAlignment="1" applyBorder="1" applyFont="1">
      <alignment shrinkToFit="0" wrapText="1"/>
    </xf>
    <xf borderId="9" fillId="5" fontId="77" numFmtId="0" xfId="0" applyAlignment="1" applyBorder="1" applyFont="1">
      <alignment shrinkToFit="0" wrapText="1"/>
    </xf>
    <xf borderId="9" fillId="5" fontId="78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79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1" fontId="28" numFmtId="0" xfId="0" applyBorder="1" applyFont="1"/>
    <xf borderId="9" fillId="8" fontId="80" numFmtId="0" xfId="0" applyAlignment="1" applyBorder="1" applyFont="1">
      <alignment horizontal="center" shrinkToFit="0" vertical="center" wrapText="1"/>
    </xf>
    <xf borderId="9" fillId="0" fontId="81" numFmtId="0" xfId="0" applyAlignment="1" applyBorder="1" applyFont="1">
      <alignment shrinkToFit="0" wrapText="1"/>
    </xf>
    <xf borderId="9" fillId="6" fontId="66" numFmtId="0" xfId="0" applyAlignment="1" applyBorder="1" applyFont="1">
      <alignment horizontal="center" shrinkToFit="0" vertical="center" wrapText="1"/>
    </xf>
    <xf borderId="0" fillId="0" fontId="82" numFmtId="0" xfId="0" applyFont="1"/>
    <xf borderId="12" fillId="8" fontId="83" numFmtId="0" xfId="0" applyBorder="1" applyFont="1"/>
    <xf borderId="9" fillId="5" fontId="5" numFmtId="0" xfId="0" applyAlignment="1" applyBorder="1" applyFont="1">
      <alignment shrinkToFit="0" wrapText="1"/>
    </xf>
    <xf borderId="9" fillId="5" fontId="84" numFmtId="0" xfId="0" applyAlignment="1" applyBorder="1" applyFont="1">
      <alignment horizontal="center" shrinkToFit="0" vertical="center" wrapText="1"/>
    </xf>
    <xf borderId="9" fillId="5" fontId="85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9" fillId="8" fontId="5" numFmtId="0" xfId="0" applyAlignment="1" applyBorder="1" applyFont="1">
      <alignment shrinkToFit="0" wrapText="1"/>
    </xf>
    <xf borderId="12" fillId="8" fontId="86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87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5" fontId="88" numFmtId="0" xfId="0" applyAlignment="1" applyBorder="1" applyFont="1">
      <alignment horizontal="left" shrinkToFit="0" wrapText="1"/>
    </xf>
    <xf borderId="12" fillId="5" fontId="89" numFmtId="0" xfId="0" applyAlignment="1" applyBorder="1" applyFont="1">
      <alignment horizontal="left" shrinkToFit="0" vertical="center" wrapText="1"/>
    </xf>
    <xf borderId="12" fillId="6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shrinkToFit="0" wrapText="1"/>
    </xf>
    <xf borderId="12" fillId="5" fontId="5" numFmtId="0" xfId="0" applyAlignment="1" applyBorder="1" applyFont="1">
      <alignment horizontal="left" shrinkToFit="0" vertical="center" wrapText="1"/>
    </xf>
    <xf borderId="12" fillId="5" fontId="90" numFmtId="0" xfId="0" applyAlignment="1" applyBorder="1" applyFont="1">
      <alignment horizontal="left"/>
    </xf>
    <xf borderId="12" fillId="5" fontId="91" numFmtId="0" xfId="0" applyAlignment="1" applyBorder="1" applyFont="1">
      <alignment horizontal="left" shrinkToFit="0" vertical="top" wrapText="1"/>
    </xf>
    <xf borderId="12" fillId="5" fontId="92" numFmtId="0" xfId="0" applyAlignment="1" applyBorder="1" applyFont="1">
      <alignment horizontal="left" shrinkToFit="0" vertical="center" wrapText="1"/>
    </xf>
    <xf borderId="12" fillId="14" fontId="6" numFmtId="0" xfId="0" applyAlignment="1" applyBorder="1" applyFont="1">
      <alignment horizontal="right" shrinkToFit="0" vertical="top" wrapText="1"/>
    </xf>
    <xf borderId="9" fillId="14" fontId="6" numFmtId="0" xfId="0" applyAlignment="1" applyBorder="1" applyFont="1">
      <alignment shrinkToFit="0" vertical="top" wrapText="1"/>
    </xf>
    <xf borderId="12" fillId="14" fontId="91" numFmtId="0" xfId="0" applyAlignment="1" applyBorder="1" applyFont="1">
      <alignment horizontal="left" shrinkToFit="0" vertical="top" wrapText="1"/>
    </xf>
    <xf borderId="12" fillId="14" fontId="93" numFmtId="0" xfId="0" applyAlignment="1" applyBorder="1" applyFont="1">
      <alignment horizontal="left" shrinkToFit="0" vertical="center" wrapText="1"/>
    </xf>
    <xf borderId="12" fillId="14" fontId="2" numFmtId="0" xfId="0" applyAlignment="1" applyBorder="1" applyFont="1">
      <alignment horizontal="center" shrinkToFit="0" vertical="center" wrapText="1"/>
    </xf>
    <xf borderId="12" fillId="14" fontId="2" numFmtId="0" xfId="0" applyAlignment="1" applyBorder="1" applyFont="1">
      <alignment shrinkToFit="0" wrapText="1"/>
    </xf>
    <xf borderId="12" fillId="14" fontId="2" numFmtId="0" xfId="0" applyAlignment="1" applyBorder="1" applyFont="1">
      <alignment horizontal="center" shrinkToFit="0" wrapText="1"/>
    </xf>
    <xf borderId="12" fillId="14" fontId="5" numFmtId="0" xfId="0" applyAlignment="1" applyBorder="1" applyFont="1">
      <alignment horizontal="left" shrinkToFit="0" vertical="center" wrapText="1"/>
    </xf>
    <xf borderId="12" fillId="14" fontId="5" numFmtId="0" xfId="0" applyBorder="1" applyFont="1"/>
    <xf borderId="12" fillId="5" fontId="28" numFmtId="0" xfId="0" applyAlignment="1" applyBorder="1" applyFont="1">
      <alignment shrinkToFit="0" wrapText="1"/>
    </xf>
    <xf borderId="12" fillId="5" fontId="94" numFmtId="0" xfId="0" applyAlignment="1" applyBorder="1" applyFont="1">
      <alignment shrinkToFit="0" wrapText="1"/>
    </xf>
    <xf borderId="12" fillId="5" fontId="95" numFmtId="0" xfId="0" applyBorder="1" applyFont="1"/>
    <xf borderId="12" fillId="5" fontId="20" numFmtId="0" xfId="0" applyAlignment="1" applyBorder="1" applyFont="1">
      <alignment horizontal="center"/>
    </xf>
    <xf borderId="12" fillId="5" fontId="96" numFmtId="0" xfId="0" applyBorder="1" applyFont="1"/>
    <xf borderId="12" fillId="14" fontId="96" numFmtId="0" xfId="0" applyAlignment="1" applyBorder="1" applyFont="1">
      <alignment shrinkToFit="0" wrapText="1"/>
    </xf>
    <xf borderId="12" fillId="14" fontId="5" numFmtId="0" xfId="0" applyAlignment="1" applyBorder="1" applyFont="1">
      <alignment shrinkToFit="0" wrapText="1"/>
    </xf>
    <xf borderId="12" fillId="6" fontId="5" numFmtId="0" xfId="0" applyBorder="1" applyFont="1"/>
    <xf borderId="12" fillId="14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left" vertical="center"/>
    </xf>
    <xf borderId="12" fillId="14" fontId="97" numFmtId="0" xfId="0" applyAlignment="1" applyBorder="1" applyFont="1">
      <alignment horizontal="left" shrinkToFit="0" vertical="center" wrapText="1"/>
    </xf>
    <xf borderId="12" fillId="5" fontId="5" numFmtId="0" xfId="0" applyAlignment="1" applyBorder="1" applyFont="1">
      <alignment shrinkToFit="0" wrapText="1"/>
    </xf>
    <xf borderId="12" fillId="5" fontId="5" numFmtId="0" xfId="0" applyAlignment="1" applyBorder="1" applyFont="1">
      <alignment horizontal="center"/>
    </xf>
    <xf borderId="12" fillId="5" fontId="97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12" fillId="4" fontId="5" numFmtId="0" xfId="0" applyAlignment="1" applyBorder="1" applyFont="1">
      <alignment horizontal="center"/>
    </xf>
    <xf borderId="0" fillId="0" fontId="98" numFmtId="0" xfId="0" applyAlignment="1" applyFont="1">
      <alignment shrinkToFit="0" wrapText="1"/>
    </xf>
    <xf borderId="0" fillId="0" fontId="99" numFmtId="0" xfId="0" applyFont="1"/>
    <xf borderId="0" fillId="0" fontId="100" numFmtId="0" xfId="0" applyFont="1"/>
    <xf borderId="12" fillId="7" fontId="5" numFmtId="0" xfId="0" applyAlignment="1" applyBorder="1" applyFont="1">
      <alignment horizontal="center"/>
    </xf>
    <xf borderId="12" fillId="13" fontId="101" numFmtId="0" xfId="0" applyAlignment="1" applyBorder="1" applyFont="1">
      <alignment horizontal="center"/>
    </xf>
    <xf borderId="0" fillId="0" fontId="102" numFmtId="0" xfId="0" applyAlignment="1" applyFont="1">
      <alignment shrinkToFit="0" wrapText="1"/>
    </xf>
    <xf borderId="12" fillId="13" fontId="103" numFmtId="0" xfId="0" applyAlignment="1" applyBorder="1" applyFont="1">
      <alignment shrinkToFit="0" wrapText="1"/>
    </xf>
    <xf borderId="12" fillId="17" fontId="5" numFmtId="0" xfId="0" applyAlignment="1" applyBorder="1" applyFill="1" applyFont="1">
      <alignment horizontal="center"/>
    </xf>
    <xf borderId="0" fillId="0" fontId="96" numFmtId="0" xfId="0" applyAlignment="1" applyFont="1">
      <alignment horizontal="left"/>
    </xf>
    <xf borderId="12" fillId="5" fontId="28" numFmtId="0" xfId="0" applyBorder="1" applyFont="1"/>
    <xf borderId="12" fillId="5" fontId="104" numFmtId="0" xfId="0" applyBorder="1" applyFont="1"/>
    <xf borderId="12" fillId="11" fontId="5" numFmtId="0" xfId="0" applyBorder="1" applyFont="1"/>
    <xf borderId="12" fillId="13" fontId="20" numFmtId="0" xfId="0" applyAlignment="1" applyBorder="1" applyFont="1">
      <alignment horizontal="center" shrinkToFit="0" wrapText="1"/>
    </xf>
    <xf borderId="12" fillId="4" fontId="28" numFmtId="0" xfId="0" applyBorder="1" applyFont="1"/>
    <xf borderId="0" fillId="0" fontId="28" numFmtId="0" xfId="0" applyFont="1"/>
    <xf borderId="12" fillId="13" fontId="105" numFmtId="0" xfId="0" applyBorder="1" applyFont="1"/>
    <xf borderId="0" fillId="0" fontId="5" numFmtId="0" xfId="0" applyAlignment="1" applyFont="1">
      <alignment horizontal="center" shrinkToFit="0" wrapText="1"/>
    </xf>
    <xf borderId="9" fillId="5" fontId="106" numFmtId="0" xfId="0" applyBorder="1" applyFont="1"/>
    <xf borderId="9" fillId="5" fontId="107" numFmtId="0" xfId="0" applyAlignment="1" applyBorder="1" applyFont="1">
      <alignment shrinkToFit="0" wrapText="1"/>
    </xf>
    <xf borderId="9" fillId="6" fontId="5" numFmtId="0" xfId="0" applyBorder="1" applyFont="1"/>
    <xf borderId="9" fillId="5" fontId="5" numFmtId="0" xfId="0" applyBorder="1" applyFont="1"/>
    <xf borderId="9" fillId="5" fontId="5" numFmtId="0" xfId="0" applyAlignment="1" applyBorder="1" applyFont="1">
      <alignment horizontal="center"/>
    </xf>
    <xf borderId="0" fillId="0" fontId="108" numFmtId="0" xfId="0" applyFont="1"/>
    <xf borderId="12" fillId="18" fontId="36" numFmtId="0" xfId="0" applyAlignment="1" applyBorder="1" applyFill="1" applyFont="1">
      <alignment horizontal="left"/>
    </xf>
    <xf borderId="12" fillId="12" fontId="2" numFmtId="0" xfId="0" applyAlignment="1" applyBorder="1" applyFont="1">
      <alignment horizontal="center" shrinkToFit="0" wrapText="1"/>
    </xf>
    <xf borderId="12" fillId="10" fontId="5" numFmtId="0" xfId="0" applyBorder="1" applyFont="1"/>
    <xf borderId="12" fillId="7" fontId="5" numFmtId="0" xfId="0" applyBorder="1" applyFont="1"/>
    <xf borderId="0" fillId="0" fontId="45" numFmtId="0" xfId="0" applyAlignment="1" applyFont="1">
      <alignment horizontal="left"/>
    </xf>
    <xf borderId="0" fillId="0" fontId="97" numFmtId="0" xfId="0" applyAlignment="1" applyFont="1">
      <alignment horizontal="left" shrinkToFit="0" vertical="center" wrapText="1"/>
    </xf>
    <xf borderId="0" fillId="0" fontId="97" numFmtId="0" xfId="0" applyAlignment="1" applyFont="1">
      <alignment shrinkToFit="0" vertical="center" wrapText="1"/>
    </xf>
    <xf borderId="0" fillId="0" fontId="109" numFmtId="0" xfId="0" applyAlignment="1" applyFont="1">
      <alignment shrinkToFit="0" vertical="center" wrapText="1"/>
    </xf>
    <xf borderId="12" fillId="5" fontId="110" numFmtId="0" xfId="0" applyAlignment="1" applyBorder="1" applyFont="1">
      <alignment shrinkToFit="0" wrapText="1"/>
    </xf>
    <xf borderId="12" fillId="5" fontId="111" numFmtId="0" xfId="0" applyBorder="1" applyFont="1"/>
    <xf borderId="12" fillId="5" fontId="112" numFmtId="0" xfId="0" applyBorder="1" applyFont="1"/>
    <xf borderId="12" fillId="5" fontId="22" numFmtId="0" xfId="0" applyBorder="1" applyFont="1"/>
    <xf borderId="12" fillId="13" fontId="103" numFmtId="0" xfId="0" applyBorder="1" applyFont="1"/>
    <xf borderId="12" fillId="11" fontId="113" numFmtId="0" xfId="0" applyBorder="1" applyFont="1"/>
    <xf borderId="12" fillId="11" fontId="114" numFmtId="0" xfId="0" applyBorder="1" applyFont="1"/>
    <xf borderId="12" fillId="11" fontId="111" numFmtId="0" xfId="0" applyBorder="1" applyFont="1"/>
    <xf borderId="12" fillId="5" fontId="115" numFmtId="0" xfId="0" applyAlignment="1" applyBorder="1" applyFont="1">
      <alignment horizontal="left"/>
    </xf>
    <xf borderId="12" fillId="5" fontId="5" numFmtId="0" xfId="0" applyAlignment="1" applyBorder="1" applyFont="1">
      <alignment vertical="center"/>
    </xf>
    <xf borderId="12" fillId="5" fontId="116" numFmtId="0" xfId="0" applyAlignment="1" applyBorder="1" applyFont="1">
      <alignment vertical="center"/>
    </xf>
    <xf borderId="12" fillId="6" fontId="5" numFmtId="0" xfId="0" applyAlignment="1" applyBorder="1" applyFont="1">
      <alignment vertical="center"/>
    </xf>
    <xf borderId="12" fillId="5" fontId="5" numFmtId="0" xfId="0" applyAlignment="1" applyBorder="1" applyFont="1">
      <alignment shrinkToFit="0" vertical="center" wrapText="1"/>
    </xf>
    <xf borderId="15" fillId="19" fontId="117" numFmtId="0" xfId="0" applyAlignment="1" applyBorder="1" applyFill="1" applyFont="1">
      <alignment horizontal="center" shrinkToFit="0" vertical="center" wrapText="1"/>
    </xf>
    <xf borderId="15" fillId="19" fontId="118" numFmtId="0" xfId="0" applyAlignment="1" applyBorder="1" applyFont="1">
      <alignment horizontal="center" shrinkToFit="0" vertical="center" wrapText="1"/>
    </xf>
    <xf borderId="12" fillId="11" fontId="99" numFmtId="0" xfId="0" applyAlignment="1" applyBorder="1" applyFont="1">
      <alignment horizontal="left" shrinkToFit="0" vertical="top" wrapText="1"/>
    </xf>
    <xf borderId="12" fillId="11" fontId="119" numFmtId="0" xfId="0" applyAlignment="1" applyBorder="1" applyFont="1">
      <alignment horizontal="center" shrinkToFit="0" vertical="center" wrapText="1"/>
    </xf>
    <xf borderId="12" fillId="11" fontId="99" numFmtId="0" xfId="0" applyAlignment="1" applyBorder="1" applyFont="1">
      <alignment horizontal="center" shrinkToFit="0" vertical="center" wrapText="1"/>
    </xf>
    <xf borderId="16" fillId="20" fontId="99" numFmtId="0" xfId="0" applyAlignment="1" applyBorder="1" applyFill="1" applyFont="1">
      <alignment horizontal="left" shrinkToFit="0" vertical="top" wrapText="1"/>
    </xf>
    <xf borderId="16" fillId="20" fontId="120" numFmtId="0" xfId="0" applyAlignment="1" applyBorder="1" applyFont="1">
      <alignment horizontal="center" shrinkToFit="0" vertical="center" wrapText="1"/>
    </xf>
    <xf borderId="16" fillId="20" fontId="99" numFmtId="0" xfId="0" applyAlignment="1" applyBorder="1" applyFont="1">
      <alignment horizontal="center" shrinkToFit="0" vertical="center" wrapText="1"/>
    </xf>
    <xf borderId="16" fillId="11" fontId="99" numFmtId="0" xfId="0" applyAlignment="1" applyBorder="1" applyFont="1">
      <alignment horizontal="left" shrinkToFit="0" vertical="top" wrapText="1"/>
    </xf>
    <xf borderId="16" fillId="11" fontId="121" numFmtId="0" xfId="0" applyAlignment="1" applyBorder="1" applyFont="1">
      <alignment horizontal="center" shrinkToFit="0" vertical="center" wrapText="1"/>
    </xf>
    <xf borderId="16" fillId="11" fontId="99" numFmtId="0" xfId="0" applyAlignment="1" applyBorder="1" applyFont="1">
      <alignment horizontal="center" shrinkToFit="0" vertical="center" wrapText="1"/>
    </xf>
    <xf borderId="16" fillId="11" fontId="122" numFmtId="0" xfId="0" applyAlignment="1" applyBorder="1" applyFont="1">
      <alignment horizontal="center" shrinkToFit="0" vertical="center" wrapText="1"/>
    </xf>
    <xf borderId="12" fillId="20" fontId="99" numFmtId="0" xfId="0" applyAlignment="1" applyBorder="1" applyFont="1">
      <alignment horizontal="left" shrinkToFit="0" vertical="top" wrapText="1"/>
    </xf>
    <xf borderId="12" fillId="20" fontId="123" numFmtId="0" xfId="0" applyAlignment="1" applyBorder="1" applyFont="1">
      <alignment horizontal="center" shrinkToFit="0" vertical="center" wrapText="1"/>
    </xf>
    <xf borderId="12" fillId="20" fontId="99" numFmtId="0" xfId="0" applyAlignment="1" applyBorder="1" applyFont="1">
      <alignment horizontal="center" shrinkToFit="0" vertical="center" wrapText="1"/>
    </xf>
    <xf borderId="16" fillId="18" fontId="99" numFmtId="0" xfId="0" applyAlignment="1" applyBorder="1" applyFont="1">
      <alignment horizontal="left" shrinkToFit="0" vertical="top" wrapText="1"/>
    </xf>
    <xf borderId="16" fillId="18" fontId="124" numFmtId="0" xfId="0" applyAlignment="1" applyBorder="1" applyFont="1">
      <alignment horizontal="center" shrinkToFit="0" vertical="center" wrapText="1"/>
    </xf>
    <xf borderId="16" fillId="18" fontId="99" numFmtId="0" xfId="0" applyAlignment="1" applyBorder="1" applyFont="1">
      <alignment horizontal="center" shrinkToFit="0" vertical="center" wrapText="1"/>
    </xf>
    <xf borderId="1" fillId="3" fontId="125" numFmtId="0" xfId="0" applyAlignment="1" applyBorder="1" applyFont="1">
      <alignment horizontal="center" shrinkToFit="0" vertical="top" wrapText="1"/>
    </xf>
    <xf borderId="1" fillId="5" fontId="126" numFmtId="0" xfId="0" applyAlignment="1" applyBorder="1" applyFont="1">
      <alignment horizontal="left" shrinkToFit="0" vertical="center" wrapText="1"/>
    </xf>
    <xf borderId="9" fillId="21" fontId="126" numFmtId="0" xfId="0" applyAlignment="1" applyBorder="1" applyFill="1" applyFont="1">
      <alignment shrinkToFit="0" vertical="top" wrapText="1"/>
    </xf>
    <xf borderId="9" fillId="5" fontId="127" numFmtId="0" xfId="0" applyAlignment="1" applyBorder="1" applyFont="1">
      <alignment horizontal="left" shrinkToFit="0" vertical="center" wrapText="1"/>
    </xf>
    <xf borderId="12" fillId="5" fontId="128" numFmtId="0" xfId="0" applyAlignment="1" applyBorder="1" applyFont="1">
      <alignment shrinkToFit="0" wrapText="1"/>
    </xf>
    <xf borderId="9" fillId="15" fontId="129" numFmtId="0" xfId="0" applyAlignment="1" applyBorder="1" applyFont="1">
      <alignment horizontal="left" shrinkToFit="0" vertical="center" wrapText="1"/>
    </xf>
    <xf borderId="9" fillId="5" fontId="130" numFmtId="0" xfId="0" applyAlignment="1" applyBorder="1" applyFont="1">
      <alignment horizontal="center" shrinkToFit="0" vertical="center" wrapText="1"/>
    </xf>
    <xf borderId="9" fillId="22" fontId="126" numFmtId="0" xfId="0" applyAlignment="1" applyBorder="1" applyFill="1" applyFont="1">
      <alignment shrinkToFit="0" vertical="top" wrapText="1"/>
    </xf>
    <xf borderId="9" fillId="0" fontId="126" numFmtId="0" xfId="0" applyAlignment="1" applyBorder="1" applyFont="1">
      <alignment shrinkToFit="0" vertical="top" wrapText="1"/>
    </xf>
    <xf borderId="9" fillId="15" fontId="131" numFmtId="0" xfId="0" applyAlignment="1" applyBorder="1" applyFont="1">
      <alignment shrinkToFit="0" vertical="center" wrapText="1"/>
    </xf>
    <xf borderId="9" fillId="14" fontId="126" numFmtId="0" xfId="0" applyAlignment="1" applyBorder="1" applyFont="1">
      <alignment shrinkToFit="0" vertical="top" wrapText="1"/>
    </xf>
    <xf borderId="9" fillId="14" fontId="132" numFmtId="0" xfId="0" applyAlignment="1" applyBorder="1" applyFont="1">
      <alignment horizontal="left" shrinkToFit="0" vertical="center" wrapText="1"/>
    </xf>
    <xf borderId="9" fillId="23" fontId="126" numFmtId="0" xfId="0" applyAlignment="1" applyBorder="1" applyFill="1" applyFont="1">
      <alignment shrinkToFit="0" vertical="top" wrapText="1"/>
    </xf>
    <xf borderId="9" fillId="24" fontId="126" numFmtId="0" xfId="0" applyAlignment="1" applyBorder="1" applyFill="1" applyFont="1">
      <alignment shrinkToFit="0" vertical="top" wrapText="1"/>
    </xf>
    <xf borderId="9" fillId="25" fontId="126" numFmtId="0" xfId="0" applyAlignment="1" applyBorder="1" applyFill="1" applyFont="1">
      <alignment shrinkToFit="0" vertical="top" wrapText="1"/>
    </xf>
    <xf borderId="9" fillId="15" fontId="126" numFmtId="0" xfId="0" applyAlignment="1" applyBorder="1" applyFont="1">
      <alignment horizontal="center" shrinkToFit="0" vertical="center" wrapText="1"/>
    </xf>
    <xf borderId="9" fillId="5" fontId="133" numFmtId="0" xfId="0" applyAlignment="1" applyBorder="1" applyFont="1">
      <alignment horizontal="left" shrinkToFit="0" vertical="center" wrapText="1"/>
    </xf>
    <xf borderId="9" fillId="5" fontId="134" numFmtId="0" xfId="0" applyAlignment="1" applyBorder="1" applyFont="1">
      <alignment shrinkToFit="0" wrapText="1"/>
    </xf>
    <xf borderId="9" fillId="26" fontId="126" numFmtId="0" xfId="0" applyAlignment="1" applyBorder="1" applyFill="1" applyFont="1">
      <alignment shrinkToFit="0" vertical="top" wrapText="1"/>
    </xf>
    <xf borderId="9" fillId="5" fontId="135" numFmtId="0" xfId="0" applyAlignment="1" applyBorder="1" applyFont="1">
      <alignment horizontal="left" shrinkToFit="0" vertical="center" wrapText="1"/>
    </xf>
    <xf borderId="9" fillId="15" fontId="125" numFmtId="0" xfId="0" applyAlignment="1" applyBorder="1" applyFont="1">
      <alignment horizontal="center" shrinkToFit="0" vertical="center" wrapText="1"/>
    </xf>
    <xf borderId="9" fillId="27" fontId="126" numFmtId="0" xfId="0" applyAlignment="1" applyBorder="1" applyFill="1" applyFont="1">
      <alignment shrinkToFit="0" vertical="top" wrapText="1"/>
    </xf>
    <xf borderId="9" fillId="15" fontId="136" numFmtId="0" xfId="0" applyAlignment="1" applyBorder="1" applyFont="1">
      <alignment horizontal="left" shrinkToFit="0" vertical="center" wrapText="1"/>
    </xf>
    <xf borderId="9" fillId="15" fontId="126" numFmtId="0" xfId="0" applyAlignment="1" applyBorder="1" applyFont="1">
      <alignment shrinkToFit="0" wrapText="1"/>
    </xf>
    <xf borderId="9" fillId="15" fontId="125" numFmtId="0" xfId="0" applyAlignment="1" applyBorder="1" applyFont="1">
      <alignment horizontal="left" shrinkToFit="0" vertical="center" wrapText="1"/>
    </xf>
    <xf borderId="9" fillId="5" fontId="137" numFmtId="0" xfId="0" applyAlignment="1" applyBorder="1" applyFont="1">
      <alignment shrinkToFit="0" wrapText="1"/>
    </xf>
    <xf borderId="9" fillId="5" fontId="138" numFmtId="0" xfId="0" applyAlignment="1" applyBorder="1" applyFont="1">
      <alignment shrinkToFit="0" wrapText="1"/>
    </xf>
    <xf borderId="9" fillId="15" fontId="139" numFmtId="0" xfId="0" applyAlignment="1" applyBorder="1" applyFont="1">
      <alignment shrinkToFit="0" wrapText="1"/>
    </xf>
    <xf borderId="9" fillId="15" fontId="126" numFmtId="0" xfId="0" applyAlignment="1" applyBorder="1" applyFont="1">
      <alignment shrinkToFit="0" vertical="center" wrapText="1"/>
    </xf>
    <xf borderId="9" fillId="15" fontId="12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15831724" TargetMode="External"/><Relationship Id="rId194" Type="http://schemas.openxmlformats.org/officeDocument/2006/relationships/hyperlink" Target="https://orcid.org/0000-0003-3423-2371" TargetMode="External"/><Relationship Id="rId193" Type="http://schemas.openxmlformats.org/officeDocument/2006/relationships/hyperlink" Target="https://www.scopus.com/authid/detail.uri?authorId=56007783500" TargetMode="External"/><Relationship Id="rId192" Type="http://schemas.openxmlformats.org/officeDocument/2006/relationships/hyperlink" Target="https://orcid.org/0000-0002-1390-3116" TargetMode="External"/><Relationship Id="rId191" Type="http://schemas.openxmlformats.org/officeDocument/2006/relationships/hyperlink" Target="https://www.scopus.com/authid/detail.uri?authorId=58068896400" TargetMode="External"/><Relationship Id="rId187" Type="http://schemas.openxmlformats.org/officeDocument/2006/relationships/hyperlink" Target="https://orcid.org/0000-0003-1719-7586" TargetMode="External"/><Relationship Id="rId186" Type="http://schemas.openxmlformats.org/officeDocument/2006/relationships/hyperlink" Target="https://www.scopus.com/authid/detail.uri?authorId=56125026000" TargetMode="External"/><Relationship Id="rId185" Type="http://schemas.openxmlformats.org/officeDocument/2006/relationships/hyperlink" Target="https://orcid.org/0000-0003-0734-4028" TargetMode="External"/><Relationship Id="rId184" Type="http://schemas.openxmlformats.org/officeDocument/2006/relationships/hyperlink" Target="https://www.scopus.com/authid/detail.uri?authorId=57207775848" TargetMode="External"/><Relationship Id="rId189" Type="http://schemas.openxmlformats.org/officeDocument/2006/relationships/hyperlink" Target="https://orcid.org/0000-0002-7196-5286" TargetMode="External"/><Relationship Id="rId188" Type="http://schemas.openxmlformats.org/officeDocument/2006/relationships/hyperlink" Target="https://www.scopus.com/authid/detail.uri?authorId=6504344206&amp;amp;eid=2-s2.0-0033339377" TargetMode="External"/><Relationship Id="rId183" Type="http://schemas.openxmlformats.org/officeDocument/2006/relationships/hyperlink" Target="https://orcid.org/0000-0001-5929-3256" TargetMode="External"/><Relationship Id="rId182" Type="http://schemas.openxmlformats.org/officeDocument/2006/relationships/hyperlink" Target="https://www.scopus.com/authid/detail.uri?authorId=9435837100&amp;amp;eid=2-s2.0-28044439216" TargetMode="External"/><Relationship Id="rId181" Type="http://schemas.openxmlformats.org/officeDocument/2006/relationships/hyperlink" Target="https://www.scopus.com/authid/detail.uri?authorId=24329227200" TargetMode="External"/><Relationship Id="rId180" Type="http://schemas.openxmlformats.org/officeDocument/2006/relationships/hyperlink" Target="https://orcid.org/0000-0001-7722-0923" TargetMode="External"/><Relationship Id="rId176" Type="http://schemas.openxmlformats.org/officeDocument/2006/relationships/hyperlink" Target="https://orcid.org/0000-0001-8585-5013" TargetMode="External"/><Relationship Id="rId175" Type="http://schemas.openxmlformats.org/officeDocument/2006/relationships/hyperlink" Target="https://www.scopus.com/authid/detail.uri?authorId=6506789308" TargetMode="External"/><Relationship Id="rId174" Type="http://schemas.openxmlformats.org/officeDocument/2006/relationships/hyperlink" Target="https://orcid.org/0000-0001-6275-9125" TargetMode="External"/><Relationship Id="rId173" Type="http://schemas.openxmlformats.org/officeDocument/2006/relationships/hyperlink" Target="https://www.scopus.com/authid/detail.uri?authorId=57444398500&amp;origin=recordpage" TargetMode="External"/><Relationship Id="rId179" Type="http://schemas.openxmlformats.org/officeDocument/2006/relationships/hyperlink" Target="https://orcid.org/0000-0001-8997-3412" TargetMode="External"/><Relationship Id="rId178" Type="http://schemas.openxmlformats.org/officeDocument/2006/relationships/hyperlink" Target="https://www.scopus.com/authid/detail.uri?authorId=57885019400" TargetMode="External"/><Relationship Id="rId177" Type="http://schemas.openxmlformats.org/officeDocument/2006/relationships/hyperlink" Target="https://orcid.org/0000-0003-2453-5504" TargetMode="External"/><Relationship Id="rId198" Type="http://schemas.openxmlformats.org/officeDocument/2006/relationships/hyperlink" Target="https://orcid.org/0000-0002-3035-7356" TargetMode="External"/><Relationship Id="rId197" Type="http://schemas.openxmlformats.org/officeDocument/2006/relationships/hyperlink" Target="https://www.scopus.com/authid/detail.uri?authorId=57202339038" TargetMode="External"/><Relationship Id="rId196" Type="http://schemas.openxmlformats.org/officeDocument/2006/relationships/hyperlink" Target="https://orcid.org/0000-0003-1993-6717" TargetMode="External"/><Relationship Id="rId195" Type="http://schemas.openxmlformats.org/officeDocument/2006/relationships/hyperlink" Target="https://www.scopus.com/authid/detail.uri?authorId=56535422600" TargetMode="External"/><Relationship Id="rId199" Type="http://schemas.openxmlformats.org/officeDocument/2006/relationships/hyperlink" Target="https://www.scopus.com/authid/detail.uri?authorId=6603317716" TargetMode="External"/><Relationship Id="rId150" Type="http://schemas.openxmlformats.org/officeDocument/2006/relationships/hyperlink" Target="https://www.scopus.com/authid/detail.uri?authorId=56486144100" TargetMode="External"/><Relationship Id="rId392" Type="http://schemas.openxmlformats.org/officeDocument/2006/relationships/hyperlink" Target="https://www.scopus.com/authid/detail.uri?authorId=57193827551" TargetMode="External"/><Relationship Id="rId391" Type="http://schemas.openxmlformats.org/officeDocument/2006/relationships/hyperlink" Target="https://orcid.org/0000-0003-0999-1683" TargetMode="External"/><Relationship Id="rId390" Type="http://schemas.openxmlformats.org/officeDocument/2006/relationships/hyperlink" Target="https://www.scopus.com/authid/detail.uri?origin=resultslist&amp;authorId=57216950622&amp;zone=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orcid.org/0000-0002-0034-8598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www.scopus.com/authid/detail.uri?authorId=9636701100" TargetMode="External"/><Relationship Id="rId1090" Type="http://schemas.openxmlformats.org/officeDocument/2006/relationships/hyperlink" Target="https://orcid.org/0000-0001-5293-5842" TargetMode="External"/><Relationship Id="rId1091" Type="http://schemas.openxmlformats.org/officeDocument/2006/relationships/hyperlink" Target="https://www.scopus.com/authid/detail.uri?authorId=55386924000" TargetMode="External"/><Relationship Id="rId1092" Type="http://schemas.openxmlformats.org/officeDocument/2006/relationships/hyperlink" Target="https://orcid.org/0000-0002-3749-3043" TargetMode="External"/><Relationship Id="rId1093" Type="http://schemas.openxmlformats.org/officeDocument/2006/relationships/hyperlink" Target="https://www.scopus.com/authid/detail.uri?authorId=57192544647" TargetMode="External"/><Relationship Id="rId1094" Type="http://schemas.openxmlformats.org/officeDocument/2006/relationships/hyperlink" Target="https://orcid.org/0000-0001-6745-8137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orcid.org/0000-0002-8799-7813" TargetMode="External"/><Relationship Id="rId385" Type="http://schemas.openxmlformats.org/officeDocument/2006/relationships/hyperlink" Target="https://www2.scopus.com/authid/detail.uri?authorId=57210343239&amp;amp;eid=2-s2.0-85070416187" TargetMode="External"/><Relationship Id="rId1095" Type="http://schemas.openxmlformats.org/officeDocument/2006/relationships/hyperlink" Target="https://www.scopus.com/authid/detail.uri?authorId=56976296000" TargetMode="External"/><Relationship Id="rId142" Type="http://schemas.openxmlformats.org/officeDocument/2006/relationships/hyperlink" Target="https://www.scopus.com/authid/detail.uri?authorId=57214130791" TargetMode="External"/><Relationship Id="rId384" Type="http://schemas.openxmlformats.org/officeDocument/2006/relationships/hyperlink" Target="https://orcid.org/0000-0002-2537-264X" TargetMode="External"/><Relationship Id="rId1096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41" Type="http://schemas.openxmlformats.org/officeDocument/2006/relationships/hyperlink" Target="https://orcid.org/0000-0001-6080-237X" TargetMode="External"/><Relationship Id="rId383" Type="http://schemas.openxmlformats.org/officeDocument/2006/relationships/hyperlink" Target="https://www.scopus.com/authid/detail.uri?authorId=57201720724" TargetMode="External"/><Relationship Id="rId1097" Type="http://schemas.openxmlformats.org/officeDocument/2006/relationships/hyperlink" Target="https://www.scopus.com/authid/detail.uri?authorId=24597161900" TargetMode="External"/><Relationship Id="rId140" Type="http://schemas.openxmlformats.org/officeDocument/2006/relationships/hyperlink" Target="https://www.scopus.com/authid/detail.uri?authorId=7007051102" TargetMode="External"/><Relationship Id="rId382" Type="http://schemas.openxmlformats.org/officeDocument/2006/relationships/hyperlink" Target="https://orcid.org/0000-0001-6734-9264" TargetMode="External"/><Relationship Id="rId1098" Type="http://schemas.openxmlformats.org/officeDocument/2006/relationships/hyperlink" Target="https://www.scopus.com/authid/detail.uri?authorId=9532636100&amp;amp;eid=2-s2.0-28144432153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orcid.org/0000-0003-4229-9904" TargetMode="External"/><Relationship Id="rId389" Type="http://schemas.openxmlformats.org/officeDocument/2006/relationships/hyperlink" Target="https://orcid.org/0000-0003-0455-6180" TargetMode="External"/><Relationship Id="rId1099" Type="http://schemas.openxmlformats.org/officeDocument/2006/relationships/hyperlink" Target="https://orcid.org/0000-0001-6418-8688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s://www.scopus.com/authid/detail.uri?origin=resultslist&amp;authorId=57220059869&amp;zone=" TargetMode="External"/><Relationship Id="rId388" Type="http://schemas.openxmlformats.org/officeDocument/2006/relationships/hyperlink" Target="https://www.scopus.com/authid/detail.uri?authorId=47861221700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://orcid.org/0000-0001-9072-1634" TargetMode="External"/><Relationship Id="rId387" Type="http://schemas.openxmlformats.org/officeDocument/2006/relationships/hyperlink" Target="https://orcid.org/0000-0002-2780-7993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s://www.scopus.com/authid/detail.uri?authorId=55976299700" TargetMode="External"/><Relationship Id="rId386" Type="http://schemas.openxmlformats.org/officeDocument/2006/relationships/hyperlink" Target="https://www.scopus.com/authid/detail.uri?authorId=8860381900" TargetMode="External"/><Relationship Id="rId381" Type="http://schemas.openxmlformats.org/officeDocument/2006/relationships/hyperlink" Target="https://www.scopus.com/authid/detail.uri?authorId=57195533664" TargetMode="External"/><Relationship Id="rId380" Type="http://schemas.openxmlformats.org/officeDocument/2006/relationships/hyperlink" Target="https://orcid.org/0000-0001-9249-0497" TargetMode="External"/><Relationship Id="rId139" Type="http://schemas.openxmlformats.org/officeDocument/2006/relationships/hyperlink" Target="https://orcid.org/0000-0002-1791-1455" TargetMode="External"/><Relationship Id="rId138" Type="http://schemas.openxmlformats.org/officeDocument/2006/relationships/hyperlink" Target="https://www.scopus.com/authid/detail.uri?authorId=6506666531" TargetMode="External"/><Relationship Id="rId137" Type="http://schemas.openxmlformats.org/officeDocument/2006/relationships/hyperlink" Target="https://orcid.org/0000-0001-6904-3138" TargetMode="External"/><Relationship Id="rId379" Type="http://schemas.openxmlformats.org/officeDocument/2006/relationships/hyperlink" Target="https://orcid.org/0000-0002-2780-2666" TargetMode="External"/><Relationship Id="rId1080" Type="http://schemas.openxmlformats.org/officeDocument/2006/relationships/hyperlink" Target="https://orcid.org/0000-0003-1205-712X" TargetMode="External"/><Relationship Id="rId1081" Type="http://schemas.openxmlformats.org/officeDocument/2006/relationships/hyperlink" Target="https://www.scopus.com/authid/detail.uri?authorId=26654033000" TargetMode="External"/><Relationship Id="rId1082" Type="http://schemas.openxmlformats.org/officeDocument/2006/relationships/hyperlink" Target="http://orcid.org/0000-0003-0105-4484" TargetMode="External"/><Relationship Id="rId1083" Type="http://schemas.openxmlformats.org/officeDocument/2006/relationships/hyperlink" Target="http://orcid.org/0000-0002-6677-5883" TargetMode="External"/><Relationship Id="rId132" Type="http://schemas.openxmlformats.org/officeDocument/2006/relationships/hyperlink" Target="https://orcid.org/0000-0001-9605-1475" TargetMode="External"/><Relationship Id="rId374" Type="http://schemas.openxmlformats.org/officeDocument/2006/relationships/hyperlink" Target="https://orcid.org/0000-0003-2885-9071" TargetMode="External"/><Relationship Id="rId1084" Type="http://schemas.openxmlformats.org/officeDocument/2006/relationships/hyperlink" Target="https://orcid.org/0000-0002-8769-4046" TargetMode="External"/><Relationship Id="rId131" Type="http://schemas.openxmlformats.org/officeDocument/2006/relationships/hyperlink" Target="https://www.scopus.com/authid/detail.uri?authorId=56440024900" TargetMode="External"/><Relationship Id="rId373" Type="http://schemas.openxmlformats.org/officeDocument/2006/relationships/hyperlink" Target="https://www.scopus.com/authid/detail.uri?authorId=36069392000" TargetMode="External"/><Relationship Id="rId1085" Type="http://schemas.openxmlformats.org/officeDocument/2006/relationships/hyperlink" Target="https://orcid.org/0000-0002-9441-6300" TargetMode="External"/><Relationship Id="rId130" Type="http://schemas.openxmlformats.org/officeDocument/2006/relationships/hyperlink" Target="https://orcid.org/0000-0001-7964-2361" TargetMode="External"/><Relationship Id="rId372" Type="http://schemas.openxmlformats.org/officeDocument/2006/relationships/hyperlink" Target="https://orcid.org/0000-0003-0964-6062" TargetMode="External"/><Relationship Id="rId1086" Type="http://schemas.openxmlformats.org/officeDocument/2006/relationships/hyperlink" Target="https://orcid.org/0000-0002-1607-5707" TargetMode="External"/><Relationship Id="rId371" Type="http://schemas.openxmlformats.org/officeDocument/2006/relationships/hyperlink" Target="https://www.scopus.com/authid/detail.uri?authorId=57219658681&amp;amp;eid=2-s2.0-85094616979" TargetMode="External"/><Relationship Id="rId1087" Type="http://schemas.openxmlformats.org/officeDocument/2006/relationships/hyperlink" Target="https://www.scopus.com/authid/detail.uri?authorId=36633269000" TargetMode="External"/><Relationship Id="rId136" Type="http://schemas.openxmlformats.org/officeDocument/2006/relationships/hyperlink" Target="https://www.scopus.com/authid/detail.uri?authorId=55225659400" TargetMode="External"/><Relationship Id="rId378" Type="http://schemas.openxmlformats.org/officeDocument/2006/relationships/hyperlink" Target="https://www.scopus.com/authid/detail.uri?authorId=9534197500" TargetMode="External"/><Relationship Id="rId1088" Type="http://schemas.openxmlformats.org/officeDocument/2006/relationships/hyperlink" Target="https://orcid.org/0000-0002-7921-3521" TargetMode="External"/><Relationship Id="rId135" Type="http://schemas.openxmlformats.org/officeDocument/2006/relationships/hyperlink" Target="https://orcid.org/0000-0002-6029-0199" TargetMode="External"/><Relationship Id="rId377" Type="http://schemas.openxmlformats.org/officeDocument/2006/relationships/hyperlink" Target="https://orcid.org/0000-0001-8335-5373" TargetMode="External"/><Relationship Id="rId1089" Type="http://schemas.openxmlformats.org/officeDocument/2006/relationships/hyperlink" Target="https://www.scopus.com/authid/detail.uri?authorId=36518492100" TargetMode="External"/><Relationship Id="rId134" Type="http://schemas.openxmlformats.org/officeDocument/2006/relationships/hyperlink" Target="https://orcid.org/0000-0002-3240-139X" TargetMode="External"/><Relationship Id="rId376" Type="http://schemas.openxmlformats.org/officeDocument/2006/relationships/hyperlink" Target="https://www.scopus.com/authid/detail.uri?authorId=57208080294&amp;amp;eid=2-s2.0-85063734009" TargetMode="External"/><Relationship Id="rId133" Type="http://schemas.openxmlformats.org/officeDocument/2006/relationships/hyperlink" Target="https://www.scopus.com/authid/detail.uri?authorId=56940725900&amp;amp;eid=2-s2.0-84946031217" TargetMode="External"/><Relationship Id="rId375" Type="http://schemas.openxmlformats.org/officeDocument/2006/relationships/hyperlink" Target="https://www.scopus.com/authid/detail.uri?authorId=6603145071" TargetMode="External"/><Relationship Id="rId172" Type="http://schemas.openxmlformats.org/officeDocument/2006/relationships/hyperlink" Target="https://orcid.org/0000-0002-2564-6903" TargetMode="External"/><Relationship Id="rId171" Type="http://schemas.openxmlformats.org/officeDocument/2006/relationships/hyperlink" Target="https://orcid.org/0000-0003-3042-478X" TargetMode="External"/><Relationship Id="rId170" Type="http://schemas.openxmlformats.org/officeDocument/2006/relationships/hyperlink" Target="https://www.scopus.com/authid/detail.uri?authorId=57191956780&amp;amp;eid=2-s2.0-84995486978" TargetMode="External"/><Relationship Id="rId165" Type="http://schemas.openxmlformats.org/officeDocument/2006/relationships/hyperlink" Target="https://orcid.org/0000-0002-0558-6448" TargetMode="External"/><Relationship Id="rId164" Type="http://schemas.openxmlformats.org/officeDocument/2006/relationships/hyperlink" Target="https://www.scopus.com/authid/detail.uri?authorId=57008866400" TargetMode="External"/><Relationship Id="rId163" Type="http://schemas.openxmlformats.org/officeDocument/2006/relationships/hyperlink" Target="https://orcid.org/0000-0002-8843-7949" TargetMode="External"/><Relationship Id="rId162" Type="http://schemas.openxmlformats.org/officeDocument/2006/relationships/hyperlink" Target="https://orcid.org/0000-0001-8767-3459" TargetMode="External"/><Relationship Id="rId169" Type="http://schemas.openxmlformats.org/officeDocument/2006/relationships/hyperlink" Target="https://orcid.org/0000-0002-3294-4220" TargetMode="External"/><Relationship Id="rId168" Type="http://schemas.openxmlformats.org/officeDocument/2006/relationships/hyperlink" Target="https://www.scopus.com/authid/detail.uri?authorId=6603590390" TargetMode="External"/><Relationship Id="rId167" Type="http://schemas.openxmlformats.org/officeDocument/2006/relationships/hyperlink" Target="https://orcid.org/0000-0003-3809-149X" TargetMode="External"/><Relationship Id="rId166" Type="http://schemas.openxmlformats.org/officeDocument/2006/relationships/hyperlink" Target="https://www.scopus.com/authid/detail.uri?authorId=57189250222" TargetMode="External"/><Relationship Id="rId161" Type="http://schemas.openxmlformats.org/officeDocument/2006/relationships/hyperlink" Target="https://www.scopus.com/authid/detail.uri?authorId=57203515764" TargetMode="External"/><Relationship Id="rId160" Type="http://schemas.openxmlformats.org/officeDocument/2006/relationships/hyperlink" Target="https://orcid.org/0000-0002-9125-2363" TargetMode="External"/><Relationship Id="rId159" Type="http://schemas.openxmlformats.org/officeDocument/2006/relationships/hyperlink" Target="https://www.scopus.com/authid/detail.uri?authorId=8214864300" TargetMode="External"/><Relationship Id="rId154" Type="http://schemas.openxmlformats.org/officeDocument/2006/relationships/hyperlink" Target="https://www.scopus.com/authid/detail.uri?authorId=15077523700" TargetMode="External"/><Relationship Id="rId396" Type="http://schemas.openxmlformats.org/officeDocument/2006/relationships/hyperlink" Target="https://orcid.org/0000-0002-8303-1595" TargetMode="External"/><Relationship Id="rId153" Type="http://schemas.openxmlformats.org/officeDocument/2006/relationships/hyperlink" Target="https://orcid.org/0000-0002-7659-8796" TargetMode="External"/><Relationship Id="rId395" Type="http://schemas.openxmlformats.org/officeDocument/2006/relationships/hyperlink" Target="https://orcid.org/0000-0002-8303-1595" TargetMode="External"/><Relationship Id="rId152" Type="http://schemas.openxmlformats.org/officeDocument/2006/relationships/hyperlink" Target="https://www.scopus.com/authid/detail.uri?authorId=57207762084" TargetMode="External"/><Relationship Id="rId394" Type="http://schemas.openxmlformats.org/officeDocument/2006/relationships/hyperlink" Target="https://www.scopus.com/authid/detail.uri?authorId=57211756904" TargetMode="External"/><Relationship Id="rId151" Type="http://schemas.openxmlformats.org/officeDocument/2006/relationships/hyperlink" Target="https://orcid.org/0000-0002-5912-4126" TargetMode="External"/><Relationship Id="rId393" Type="http://schemas.openxmlformats.org/officeDocument/2006/relationships/hyperlink" Target="https://orcid.org/0000-0002-9352-5716" TargetMode="External"/><Relationship Id="rId158" Type="http://schemas.openxmlformats.org/officeDocument/2006/relationships/hyperlink" Target="https://orcid.org/0000-0002-4033-7746" TargetMode="External"/><Relationship Id="rId157" Type="http://schemas.openxmlformats.org/officeDocument/2006/relationships/hyperlink" Target="https://www.scopus.com/authid/detail.uri?authorId=56618685100" TargetMode="External"/><Relationship Id="rId399" Type="http://schemas.openxmlformats.org/officeDocument/2006/relationships/hyperlink" Target="https://orcid.org/0000-0003-0834-0475" TargetMode="External"/><Relationship Id="rId156" Type="http://schemas.openxmlformats.org/officeDocument/2006/relationships/hyperlink" Target="https://orcid.org/0000-0002-9054-9894" TargetMode="External"/><Relationship Id="rId398" Type="http://schemas.openxmlformats.org/officeDocument/2006/relationships/hyperlink" Target="https://www.scopus.com/authid/detail.uri?authorId=57191861308" TargetMode="External"/><Relationship Id="rId155" Type="http://schemas.openxmlformats.org/officeDocument/2006/relationships/hyperlink" Target="https://orcid.org/0000-0002-4572-2838" TargetMode="External"/><Relationship Id="rId397" Type="http://schemas.openxmlformats.org/officeDocument/2006/relationships/hyperlink" Target="https://www.scopus.com/authid/detail.uri?authorId=6507354120" TargetMode="External"/><Relationship Id="rId808" Type="http://schemas.openxmlformats.org/officeDocument/2006/relationships/hyperlink" Target="https://www.scopus.com/authid/detail.uri?authorId=57216346667" TargetMode="External"/><Relationship Id="rId807" Type="http://schemas.openxmlformats.org/officeDocument/2006/relationships/hyperlink" Target="https://orcid.org/0000-0002-4148-2443" TargetMode="External"/><Relationship Id="rId806" Type="http://schemas.openxmlformats.org/officeDocument/2006/relationships/hyperlink" Target="https://www.scopus.com/authid/detail.uri?authorId=57211976635" TargetMode="External"/><Relationship Id="rId805" Type="http://schemas.openxmlformats.org/officeDocument/2006/relationships/hyperlink" Target="https://orcid.org/0000-0002-8021-4310" TargetMode="External"/><Relationship Id="rId809" Type="http://schemas.openxmlformats.org/officeDocument/2006/relationships/hyperlink" Target="https://orcid.org/0000-0002-4484-8674" TargetMode="External"/><Relationship Id="rId800" Type="http://schemas.openxmlformats.org/officeDocument/2006/relationships/hyperlink" Target="https://www.scopus.com/authid/detail.uri?authorId=57219987835&amp;amp;eid=2-s2.0-85096409808" TargetMode="External"/><Relationship Id="rId804" Type="http://schemas.openxmlformats.org/officeDocument/2006/relationships/hyperlink" Target="https://www.scopus.com/authid/detail.uri?authorId=15072038900" TargetMode="External"/><Relationship Id="rId803" Type="http://schemas.openxmlformats.org/officeDocument/2006/relationships/hyperlink" Target="http://orcid.org/0000-0002-9759-4989" TargetMode="External"/><Relationship Id="rId802" Type="http://schemas.openxmlformats.org/officeDocument/2006/relationships/hyperlink" Target="https://www.scopus.com/authid/detail.uri?authorId=24480010500" TargetMode="External"/><Relationship Id="rId801" Type="http://schemas.openxmlformats.org/officeDocument/2006/relationships/hyperlink" Target="https://orcid.org/0000-0002-5188-9538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s://www.scopus.com/authid/detail.uri?authorId=24479782800" TargetMode="External"/><Relationship Id="rId508" Type="http://schemas.openxmlformats.org/officeDocument/2006/relationships/hyperlink" Target="https://orcid.org/0000-0002-0609-6520" TargetMode="External"/><Relationship Id="rId503" Type="http://schemas.openxmlformats.org/officeDocument/2006/relationships/hyperlink" Target="https://orcid.org/0000-0002-7929-515X" TargetMode="External"/><Relationship Id="rId745" Type="http://schemas.openxmlformats.org/officeDocument/2006/relationships/hyperlink" Target="https://www.scopus.com/authid/detail.uri?authorId=9533889000" TargetMode="External"/><Relationship Id="rId987" Type="http://schemas.openxmlformats.org/officeDocument/2006/relationships/hyperlink" Target="http://orcid.org/0000-0002-5112-7744" TargetMode="External"/><Relationship Id="rId502" Type="http://schemas.openxmlformats.org/officeDocument/2006/relationships/hyperlink" Target="http://orcid.org/0000-0002-7670-9484" TargetMode="External"/><Relationship Id="rId744" Type="http://schemas.openxmlformats.org/officeDocument/2006/relationships/hyperlink" Target="https://orcid.org/0000-0003-1973-711X" TargetMode="External"/><Relationship Id="rId986" Type="http://schemas.openxmlformats.org/officeDocument/2006/relationships/hyperlink" Target="https://www.scopus.com/authid/detail.uri?origin=AuthorProfile&amp;authorId=57201648823" TargetMode="External"/><Relationship Id="rId501" Type="http://schemas.openxmlformats.org/officeDocument/2006/relationships/hyperlink" Target="https://www.scopus.com/authid/detail.uri?authorId=15069216000" TargetMode="External"/><Relationship Id="rId743" Type="http://schemas.openxmlformats.org/officeDocument/2006/relationships/hyperlink" Target="http://orcid.org/0000-0002-7862-5399" TargetMode="External"/><Relationship Id="rId985" Type="http://schemas.openxmlformats.org/officeDocument/2006/relationships/hyperlink" Target="https://orcid.org/0000-0002-0465-9297" TargetMode="External"/><Relationship Id="rId500" Type="http://schemas.openxmlformats.org/officeDocument/2006/relationships/hyperlink" Target="https://orcid.org/0000-0001-5998-0136" TargetMode="External"/><Relationship Id="rId742" Type="http://schemas.openxmlformats.org/officeDocument/2006/relationships/hyperlink" Target="https://www.scopus.com/authid/detail.uri?authorId=57189383519" TargetMode="External"/><Relationship Id="rId984" Type="http://schemas.openxmlformats.org/officeDocument/2006/relationships/hyperlink" Target="https://www.scopus.com/authid/detail.uri?authorId=57188622143" TargetMode="External"/><Relationship Id="rId507" Type="http://schemas.openxmlformats.org/officeDocument/2006/relationships/hyperlink" Target="https://www.scopus.com/authid/detail.uri?authorId=57944217100" TargetMode="External"/><Relationship Id="rId749" Type="http://schemas.openxmlformats.org/officeDocument/2006/relationships/hyperlink" Target="https://www.scopus.com/authid/detail.uri?authorId=57224191788" TargetMode="External"/><Relationship Id="rId506" Type="http://schemas.openxmlformats.org/officeDocument/2006/relationships/hyperlink" Target="https://www.scopus.com/authid/detail.uri?authorId=57203150183" TargetMode="External"/><Relationship Id="rId748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505" Type="http://schemas.openxmlformats.org/officeDocument/2006/relationships/hyperlink" Target="http://orcid.org/0000-0001-8086-237X" TargetMode="External"/><Relationship Id="rId747" Type="http://schemas.openxmlformats.org/officeDocument/2006/relationships/hyperlink" Target="https://www.scopus.com/authid/detail.uri?authorId=57209099716" TargetMode="External"/><Relationship Id="rId989" Type="http://schemas.openxmlformats.org/officeDocument/2006/relationships/hyperlink" Target="https://orcid.org/0000-0001-8583-0908" TargetMode="External"/><Relationship Id="rId504" Type="http://schemas.openxmlformats.org/officeDocument/2006/relationships/hyperlink" Target="https://www.scopus.com/authid/detail.uri?authorId=57195480506" TargetMode="External"/><Relationship Id="rId746" Type="http://schemas.openxmlformats.org/officeDocument/2006/relationships/hyperlink" Target="https://orcid.org/0000-0001-5886-8943" TargetMode="External"/><Relationship Id="rId988" Type="http://schemas.openxmlformats.org/officeDocument/2006/relationships/hyperlink" Target="https://www.scopus.com/authid/detail.uri?authorId=24342258300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://orcid.org/0000-0003-2089-5609" TargetMode="External"/><Relationship Id="rId983" Type="http://schemas.openxmlformats.org/officeDocument/2006/relationships/hyperlink" Target="https://orcid.org/0000-0002-7143-6165" TargetMode="External"/><Relationship Id="rId740" Type="http://schemas.openxmlformats.org/officeDocument/2006/relationships/hyperlink" Target="https://www.scopus.com/authid/detail.uri?authorId=57208035034" TargetMode="External"/><Relationship Id="rId982" Type="http://schemas.openxmlformats.org/officeDocument/2006/relationships/hyperlink" Target="https://www.scopus.com/authid/detail.uri?authorId=57194045937" TargetMode="External"/><Relationship Id="rId981" Type="http://schemas.openxmlformats.org/officeDocument/2006/relationships/hyperlink" Target="http://orcid.org/0000-0002-7780-1928" TargetMode="External"/><Relationship Id="rId980" Type="http://schemas.openxmlformats.org/officeDocument/2006/relationships/hyperlink" Target="https://www.scopus.com/authid/detail.uri?authorId=57217062527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2653294700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orcid.org/0000-0003-0388-975X" TargetMode="External"/><Relationship Id="rId734" Type="http://schemas.openxmlformats.org/officeDocument/2006/relationships/hyperlink" Target="https://orcid.org/0000-0003-0459-5868" TargetMode="External"/><Relationship Id="rId976" Type="http://schemas.openxmlformats.org/officeDocument/2006/relationships/hyperlink" Target="http://orcid.org/0000-0002-5076-0724" TargetMode="External"/><Relationship Id="rId733" Type="http://schemas.openxmlformats.org/officeDocument/2006/relationships/hyperlink" Target="https://www.scopus.com/authid/detail.uri?authorId=57194029567" TargetMode="External"/><Relationship Id="rId975" Type="http://schemas.openxmlformats.org/officeDocument/2006/relationships/hyperlink" Target="http://orcid.org/0000-0002-4248-7633" TargetMode="External"/><Relationship Id="rId732" Type="http://schemas.openxmlformats.org/officeDocument/2006/relationships/hyperlink" Target="https://orcid.org/0000-0003-2664-1167" TargetMode="External"/><Relationship Id="rId974" Type="http://schemas.openxmlformats.org/officeDocument/2006/relationships/hyperlink" Target="http://orcid.org/0000-0003-3954-0250" TargetMode="External"/><Relationship Id="rId731" Type="http://schemas.openxmlformats.org/officeDocument/2006/relationships/hyperlink" Target="https://orcid.org/0000-0001-8297-6581" TargetMode="External"/><Relationship Id="rId973" Type="http://schemas.openxmlformats.org/officeDocument/2006/relationships/hyperlink" Target="https://www.scopus.com/authid/detail.uri?authorId=57190664123" TargetMode="External"/><Relationship Id="rId738" Type="http://schemas.openxmlformats.org/officeDocument/2006/relationships/hyperlink" Target="https://orcid.org/0000-0002-9928-5848" TargetMode="External"/><Relationship Id="rId737" Type="http://schemas.openxmlformats.org/officeDocument/2006/relationships/hyperlink" Target="https://www.scopus.com/authid/detail.uri?authorId=15731749700" TargetMode="External"/><Relationship Id="rId979" Type="http://schemas.openxmlformats.org/officeDocument/2006/relationships/hyperlink" Target="https://www.scopus.com/authid/detail.uri?authorId=56485859400" TargetMode="External"/><Relationship Id="rId736" Type="http://schemas.openxmlformats.org/officeDocument/2006/relationships/hyperlink" Target="https://orcid.org/0000-0001-8927-3811" TargetMode="External"/><Relationship Id="rId978" Type="http://schemas.openxmlformats.org/officeDocument/2006/relationships/hyperlink" Target="https://orcid.org/0000-0002-6524-9937" TargetMode="External"/><Relationship Id="rId735" Type="http://schemas.openxmlformats.org/officeDocument/2006/relationships/hyperlink" Target="https://www.scopus.com/authid/detail.uri?authorId=57219209473&amp;amp;eid=2-s2.0-85091709599" TargetMode="External"/><Relationship Id="rId977" Type="http://schemas.openxmlformats.org/officeDocument/2006/relationships/hyperlink" Target="https://www.scopus.com/authid/detail.uri?authorId=57194038934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www.scopus.com/authid/detail.uri?authorId=57204560890" TargetMode="External"/><Relationship Id="rId972" Type="http://schemas.openxmlformats.org/officeDocument/2006/relationships/hyperlink" Target="https://www.scopus.com/authid/detail.uri?authorId=35763123500" TargetMode="External"/><Relationship Id="rId971" Type="http://schemas.openxmlformats.org/officeDocument/2006/relationships/hyperlink" Target="https://orcid.org/0000-0003-0910-4415" TargetMode="External"/><Relationship Id="rId970" Type="http://schemas.openxmlformats.org/officeDocument/2006/relationships/hyperlink" Target="https://www.scopus.com/authid/detail.uri?authorId=23135884800" TargetMode="External"/><Relationship Id="rId1114" Type="http://schemas.openxmlformats.org/officeDocument/2006/relationships/hyperlink" Target="https://orcid.org/0000-0002-3638-155X" TargetMode="External"/><Relationship Id="rId1115" Type="http://schemas.openxmlformats.org/officeDocument/2006/relationships/hyperlink" Target="https://www.scopus.com/authid/detail.uri?authorId=57200139266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orcid.org/0000-0002-8040-0279" TargetMode="External"/><Relationship Id="rId1117" Type="http://schemas.openxmlformats.org/officeDocument/2006/relationships/hyperlink" Target="https://www.scopus.com/authid/detail.uri?authorId=57204559813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orcid.org/0000-0002-0068-4698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www.scopus.com/authid/detail.uri?authorId=56124744100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www.scopus.com/authid/detail.uri?authorId=57195515166&amp;amp;eid=2-s2.0-85028565156" TargetMode="External"/><Relationship Id="rId767" Type="http://schemas.openxmlformats.org/officeDocument/2006/relationships/hyperlink" Target="http://orcid.org/0000-0003-0867-9161" TargetMode="External"/><Relationship Id="rId524" Type="http://schemas.openxmlformats.org/officeDocument/2006/relationships/hyperlink" Target="https://orcid.org/0000-0002-1520-9515" TargetMode="External"/><Relationship Id="rId766" Type="http://schemas.openxmlformats.org/officeDocument/2006/relationships/hyperlink" Target="https://www.scopus.com/authid/detail.uri?authorId=56486005600" TargetMode="External"/><Relationship Id="rId523" Type="http://schemas.openxmlformats.org/officeDocument/2006/relationships/hyperlink" Target="https://www.scopus.com/authid/detail.uri?authorId=57207772952" TargetMode="External"/><Relationship Id="rId765" Type="http://schemas.openxmlformats.org/officeDocument/2006/relationships/hyperlink" Target="https://orcid.org/0000-0002-9089-6431" TargetMode="External"/><Relationship Id="rId522" Type="http://schemas.openxmlformats.org/officeDocument/2006/relationships/hyperlink" Target="https://orcid.org/0000-0002-5630-8675" TargetMode="External"/><Relationship Id="rId764" Type="http://schemas.openxmlformats.org/officeDocument/2006/relationships/hyperlink" Target="https://orcid.org/0000-0002-4391-6639" TargetMode="External"/><Relationship Id="rId529" Type="http://schemas.openxmlformats.org/officeDocument/2006/relationships/hyperlink" Target="https://www.scopus.com/authid/detail.uri?origin=resultslist&amp;authorId=15071821900&amp;zone=" TargetMode="External"/><Relationship Id="rId528" Type="http://schemas.openxmlformats.org/officeDocument/2006/relationships/hyperlink" Target="https://orcid.org/0000-0003-1532-4852" TargetMode="External"/><Relationship Id="rId527" Type="http://schemas.openxmlformats.org/officeDocument/2006/relationships/hyperlink" Target="https://www.scopus.com/authid/detail.uri?authorId=57201720899" TargetMode="External"/><Relationship Id="rId769" Type="http://schemas.openxmlformats.org/officeDocument/2006/relationships/hyperlink" Target="https://orcid.org/0000-0003-2537-7376" TargetMode="External"/><Relationship Id="rId526" Type="http://schemas.openxmlformats.org/officeDocument/2006/relationships/hyperlink" Target="https://orcid.org/0000-0001-6758-9516" TargetMode="External"/><Relationship Id="rId768" Type="http://schemas.openxmlformats.org/officeDocument/2006/relationships/hyperlink" Target="https://www.scopus.com/authid/detail.uri?authorId=36632898200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www.scopus.com/authid/detail.uri?authorId=57210295053" TargetMode="External"/><Relationship Id="rId763" Type="http://schemas.openxmlformats.org/officeDocument/2006/relationships/hyperlink" Target="https://www.scopus.com/authid/detail.uri?authorId=57221949824" TargetMode="External"/><Relationship Id="rId1110" Type="http://schemas.openxmlformats.org/officeDocument/2006/relationships/hyperlink" Target="https://orcid.org/0000-0003-0066-5291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://orcid.org/0000-0001-7120-3276" TargetMode="External"/><Relationship Id="rId762" Type="http://schemas.openxmlformats.org/officeDocument/2006/relationships/hyperlink" Target="https://orcid.org/0000-0003-4061-267X" TargetMode="External"/><Relationship Id="rId1111" Type="http://schemas.openxmlformats.org/officeDocument/2006/relationships/hyperlink" Target="https://www.scopus.com/authid/detail.uri?authorId=57210095482" TargetMode="External"/><Relationship Id="rId761" Type="http://schemas.openxmlformats.org/officeDocument/2006/relationships/hyperlink" Target="https://www.scopus.com/authid/detail.uri?authorId=57215374156" TargetMode="External"/><Relationship Id="rId1112" Type="http://schemas.openxmlformats.org/officeDocument/2006/relationships/hyperlink" Target="https://orcid.org/0000-0003-0701-1282" TargetMode="External"/><Relationship Id="rId760" Type="http://schemas.openxmlformats.org/officeDocument/2006/relationships/hyperlink" Target="https://orcid.org/0000-0003-0709-601X" TargetMode="External"/><Relationship Id="rId1113" Type="http://schemas.openxmlformats.org/officeDocument/2006/relationships/hyperlink" Target="https://www.scopus.com/authid/detail.uri?authorId=57207779807" TargetMode="External"/><Relationship Id="rId1103" Type="http://schemas.openxmlformats.org/officeDocument/2006/relationships/hyperlink" Target="https://orcid.org/0000-0003-0394-9900" TargetMode="External"/><Relationship Id="rId1104" Type="http://schemas.openxmlformats.org/officeDocument/2006/relationships/hyperlink" Target="https://www.scopus.com/authid/detail.uri?authorId=57202997528" TargetMode="External"/><Relationship Id="rId1105" Type="http://schemas.openxmlformats.org/officeDocument/2006/relationships/hyperlink" Target="https://orcid.org/0000-0002-0548-0715" TargetMode="External"/><Relationship Id="rId1106" Type="http://schemas.openxmlformats.org/officeDocument/2006/relationships/hyperlink" Target="https://www.scopus.com/authid/detail.uri?authorId=36571472700&amp;origin=recordpage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orcid.org/0000-0002-4826-510X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www.scopus.com/authid/detail.uri?authorId=6602781297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orcid.org/0000-0002-3938-6372?lang=ru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s://www.scopus.com/authid/detail.uri?authorId=8329670200" TargetMode="External"/><Relationship Id="rId514" Type="http://schemas.openxmlformats.org/officeDocument/2006/relationships/hyperlink" Target="https://orcid.org/0000-0002-8737-4595" TargetMode="External"/><Relationship Id="rId756" Type="http://schemas.openxmlformats.org/officeDocument/2006/relationships/hyperlink" Target="https://www.scopus.com/authid/detail.uri?authorId=16402717600" TargetMode="External"/><Relationship Id="rId998" Type="http://schemas.openxmlformats.org/officeDocument/2006/relationships/hyperlink" Target="https://www.scopus.com/authid/detail.uri?authorId=57907345200" TargetMode="External"/><Relationship Id="rId513" Type="http://schemas.openxmlformats.org/officeDocument/2006/relationships/hyperlink" Target="https://www.scopus.com/authid/detail.uri?authorId=57188702915" TargetMode="External"/><Relationship Id="rId755" Type="http://schemas.openxmlformats.org/officeDocument/2006/relationships/hyperlink" Target="https://orcid.org/0000-0003-4601-5251" TargetMode="External"/><Relationship Id="rId997" Type="http://schemas.openxmlformats.org/officeDocument/2006/relationships/hyperlink" Target="https://orcid.org/0000-0002-1089-3055" TargetMode="External"/><Relationship Id="rId512" Type="http://schemas.openxmlformats.org/officeDocument/2006/relationships/hyperlink" Target="https://orcid.org/0000-0001-8667-509X" TargetMode="External"/><Relationship Id="rId754" Type="http://schemas.openxmlformats.org/officeDocument/2006/relationships/hyperlink" Target="https://www.scopus.com/authid/detail.uri?authorId=37461951800" TargetMode="External"/><Relationship Id="rId996" Type="http://schemas.openxmlformats.org/officeDocument/2006/relationships/hyperlink" Target="https://www.scopus.com/authid/detail.uri?authorId=57189377891" TargetMode="External"/><Relationship Id="rId511" Type="http://schemas.openxmlformats.org/officeDocument/2006/relationships/hyperlink" Target="https://www.scopus.com/authid/detail.uri?authorId=6701699223" TargetMode="External"/><Relationship Id="rId753" Type="http://schemas.openxmlformats.org/officeDocument/2006/relationships/hyperlink" Target="http://orcid.org/0000-0002-0723-1878" TargetMode="External"/><Relationship Id="rId995" Type="http://schemas.openxmlformats.org/officeDocument/2006/relationships/hyperlink" Target="https://orcid.org/0000-0002-0970-8617" TargetMode="External"/><Relationship Id="rId518" Type="http://schemas.openxmlformats.org/officeDocument/2006/relationships/hyperlink" Target="https://orcid.org/0000-0001-9816-3251" TargetMode="External"/><Relationship Id="rId517" Type="http://schemas.openxmlformats.org/officeDocument/2006/relationships/hyperlink" Target="https://www.scopus.com/authid/detail.uri?authorId=57210290233" TargetMode="External"/><Relationship Id="rId759" Type="http://schemas.openxmlformats.org/officeDocument/2006/relationships/hyperlink" Target="https://www.scopus.com/authid/detail.uri?authorId=57006705600" TargetMode="External"/><Relationship Id="rId516" Type="http://schemas.openxmlformats.org/officeDocument/2006/relationships/hyperlink" Target="https://orcid.org/0000-0002-8690-5702" TargetMode="External"/><Relationship Id="rId758" Type="http://schemas.openxmlformats.org/officeDocument/2006/relationships/hyperlink" Target="https://orcid.org/0000-0001-9956-8816" TargetMode="External"/><Relationship Id="rId515" Type="http://schemas.openxmlformats.org/officeDocument/2006/relationships/hyperlink" Target="https://www.scopus.com/authid/detail.uri?authorId=57210284937" TargetMode="External"/><Relationship Id="rId757" Type="http://schemas.openxmlformats.org/officeDocument/2006/relationships/hyperlink" Target="https://orcid.org/0000-0002-4297-4095" TargetMode="External"/><Relationship Id="rId999" Type="http://schemas.openxmlformats.org/officeDocument/2006/relationships/hyperlink" Target="https://orcid.org/0000-0003-3308-424X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www.scopus.com/authid/detail.uri?authorId=56784334400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orcid.org/0000-0001-5218-3177" TargetMode="External"/><Relationship Id="rId752" Type="http://schemas.openxmlformats.org/officeDocument/2006/relationships/hyperlink" Target="https://orcid.org/0000-0001-8430-7920" TargetMode="External"/><Relationship Id="rId994" Type="http://schemas.openxmlformats.org/officeDocument/2006/relationships/hyperlink" Target="https://scholar.google.com.ua/citations?user=E-ZI1ncAAAAJ&amp;hl=ru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www.scopus.com/authid/detail.uri?authorId=35763209300" TargetMode="External"/><Relationship Id="rId993" Type="http://schemas.openxmlformats.org/officeDocument/2006/relationships/hyperlink" Target="https://www.scopus.com/authid/detail.uri?authorId=57195684561&amp;amp;eid=2-s2.0-85029481753" TargetMode="External"/><Relationship Id="rId1100" Type="http://schemas.openxmlformats.org/officeDocument/2006/relationships/hyperlink" Target="https://www.scopus.com/authid/detail.uri?authorId=7005972663" TargetMode="External"/><Relationship Id="rId750" Type="http://schemas.openxmlformats.org/officeDocument/2006/relationships/hyperlink" Target="https://orcid.org/0000-0002-3083-217X" TargetMode="External"/><Relationship Id="rId992" Type="http://schemas.openxmlformats.org/officeDocument/2006/relationships/hyperlink" Target="https://www.scopus.com/authid/detail.uri?authorId=57191962512" TargetMode="External"/><Relationship Id="rId1101" Type="http://schemas.openxmlformats.org/officeDocument/2006/relationships/hyperlink" Target="https://orcid.org/0000-0001-8913-1194" TargetMode="External"/><Relationship Id="rId991" Type="http://schemas.openxmlformats.org/officeDocument/2006/relationships/hyperlink" Target="https://orcid.org/0000-0003-2993-2955" TargetMode="External"/><Relationship Id="rId1102" Type="http://schemas.openxmlformats.org/officeDocument/2006/relationships/hyperlink" Target="https://www.scopus.com/authid/detail.uri?authorId=57188710840" TargetMode="External"/><Relationship Id="rId84" Type="http://schemas.openxmlformats.org/officeDocument/2006/relationships/hyperlink" Target="https://www.scopus.com/authid/detail.uri?authorId=13105377000" TargetMode="External"/><Relationship Id="rId83" Type="http://schemas.openxmlformats.org/officeDocument/2006/relationships/hyperlink" Target="https://orcid.org/0000-0001-5418-2143" TargetMode="External"/><Relationship Id="rId86" Type="http://schemas.openxmlformats.org/officeDocument/2006/relationships/hyperlink" Target="http://orcid.org/0000-0001-6781-2191" TargetMode="External"/><Relationship Id="rId85" Type="http://schemas.openxmlformats.org/officeDocument/2006/relationships/hyperlink" Target="https://www.scopus.com/authid/detail.uri?authorId=57203688726&amp;amp;eid=2-s2.0-85052637048" TargetMode="External"/><Relationship Id="rId88" Type="http://schemas.openxmlformats.org/officeDocument/2006/relationships/hyperlink" Target="https://orcid.org/0000-0002-2208-1572" TargetMode="External"/><Relationship Id="rId87" Type="http://schemas.openxmlformats.org/officeDocument/2006/relationships/hyperlink" Target="https://www.scopus.com/authid/detail.uri?authorId=57203140922" TargetMode="External"/><Relationship Id="rId89" Type="http://schemas.openxmlformats.org/officeDocument/2006/relationships/hyperlink" Target="https://www.scopus.com/authid/detail.uri?authorId=57206945613" TargetMode="External"/><Relationship Id="rId709" Type="http://schemas.openxmlformats.org/officeDocument/2006/relationships/hyperlink" Target="https://www.scopus.com/authid/detail.uri?authorId=57192680688" TargetMode="External"/><Relationship Id="rId708" Type="http://schemas.openxmlformats.org/officeDocument/2006/relationships/hyperlink" Target="https://orcid.org/0000-0002-3592-2393" TargetMode="External"/><Relationship Id="rId707" Type="http://schemas.openxmlformats.org/officeDocument/2006/relationships/hyperlink" Target="https://www.scopus.com/authid/detail.uri?authorId=57209338164" TargetMode="External"/><Relationship Id="rId949" Type="http://schemas.openxmlformats.org/officeDocument/2006/relationships/hyperlink" Target="https://orcid.org/0000-0002-7184-8143" TargetMode="External"/><Relationship Id="rId706" Type="http://schemas.openxmlformats.org/officeDocument/2006/relationships/hyperlink" Target="https://orcid.org/0000-0002-7746-4570" TargetMode="External"/><Relationship Id="rId948" Type="http://schemas.openxmlformats.org/officeDocument/2006/relationships/hyperlink" Target="https://www.scopus.com/authid/detail.uri?authorId=57188571542" TargetMode="External"/><Relationship Id="rId80" Type="http://schemas.openxmlformats.org/officeDocument/2006/relationships/hyperlink" Target="https://orcid.org/0000-0002-0741-7242" TargetMode="External"/><Relationship Id="rId82" Type="http://schemas.openxmlformats.org/officeDocument/2006/relationships/hyperlink" Target="https://orcid.org/0000-0003-4659-9402" TargetMode="External"/><Relationship Id="rId81" Type="http://schemas.openxmlformats.org/officeDocument/2006/relationships/hyperlink" Target="https://www.scopus.com/authid/detail.uri?authorId=57220049588" TargetMode="External"/><Relationship Id="rId701" Type="http://schemas.openxmlformats.org/officeDocument/2006/relationships/hyperlink" Target="https://www.scopus.com/authid/detail.uri?authorId=24723271500" TargetMode="External"/><Relationship Id="rId943" Type="http://schemas.openxmlformats.org/officeDocument/2006/relationships/hyperlink" Target="https://www.scopus.com/authid/detail.uri?authorId=56112737600" TargetMode="External"/><Relationship Id="rId700" Type="http://schemas.openxmlformats.org/officeDocument/2006/relationships/hyperlink" Target="http://orcid.org/0000-0002-2338-6706" TargetMode="External"/><Relationship Id="rId942" Type="http://schemas.openxmlformats.org/officeDocument/2006/relationships/hyperlink" Target="https://orcid.org/0000-0002-9744-0998" TargetMode="External"/><Relationship Id="rId941" Type="http://schemas.openxmlformats.org/officeDocument/2006/relationships/hyperlink" Target="https://www.scopus.com/authid/detail.uri?authorId=55816901200" TargetMode="External"/><Relationship Id="rId940" Type="http://schemas.openxmlformats.org/officeDocument/2006/relationships/hyperlink" Target="http://orcid.org/0000-0002-3215-3146" TargetMode="External"/><Relationship Id="rId705" Type="http://schemas.openxmlformats.org/officeDocument/2006/relationships/hyperlink" Target="https://www.scopus.com/authid/detail.uri?authorId=56825402600" TargetMode="External"/><Relationship Id="rId947" Type="http://schemas.openxmlformats.org/officeDocument/2006/relationships/hyperlink" Target="https://orcid.org/0000-0002-2996-9523" TargetMode="External"/><Relationship Id="rId704" Type="http://schemas.openxmlformats.org/officeDocument/2006/relationships/hyperlink" Target="https://orcid.org/0000-0002-2118-9119" TargetMode="External"/><Relationship Id="rId946" Type="http://schemas.openxmlformats.org/officeDocument/2006/relationships/hyperlink" Target="https://www.scopus.com/authid/detail.uri?authorId=35577492600&amp;amp;eid=2-s2.0-85060861279" TargetMode="External"/><Relationship Id="rId703" Type="http://schemas.openxmlformats.org/officeDocument/2006/relationships/hyperlink" Target="https://orcid.org/0000-0002-3998-978X" TargetMode="External"/><Relationship Id="rId945" Type="http://schemas.openxmlformats.org/officeDocument/2006/relationships/hyperlink" Target="https://www.scopus.com/authid/detail.uri?authorId=57194480930" TargetMode="External"/><Relationship Id="rId702" Type="http://schemas.openxmlformats.org/officeDocument/2006/relationships/hyperlink" Target="https://orcid.org/0000-0002-1095-5244" TargetMode="External"/><Relationship Id="rId944" Type="http://schemas.openxmlformats.org/officeDocument/2006/relationships/hyperlink" Target="http://orcid.org/0000-0001-6629-4927" TargetMode="External"/><Relationship Id="rId73" Type="http://schemas.openxmlformats.org/officeDocument/2006/relationships/hyperlink" Target="https://orcid.org/0000-0002-8850-9316" TargetMode="External"/><Relationship Id="rId72" Type="http://schemas.openxmlformats.org/officeDocument/2006/relationships/hyperlink" Target="https://www.scopus.com/authid/detail.uri?authorId=57383114500" TargetMode="External"/><Relationship Id="rId75" Type="http://schemas.openxmlformats.org/officeDocument/2006/relationships/hyperlink" Target="http://orcid.org/0000-0002-4561-1046" TargetMode="External"/><Relationship Id="rId74" Type="http://schemas.openxmlformats.org/officeDocument/2006/relationships/hyperlink" Target="https://www.scopus.com/authid/detail.uri?authorId=56485929300" TargetMode="External"/><Relationship Id="rId77" Type="http://schemas.openxmlformats.org/officeDocument/2006/relationships/hyperlink" Target="http://orcid.org/0000-0002-9322-9722" TargetMode="External"/><Relationship Id="rId76" Type="http://schemas.openxmlformats.org/officeDocument/2006/relationships/hyperlink" Target="https://www.scopus.com/authid/detail.uri?authorId=56439984500" TargetMode="External"/><Relationship Id="rId79" Type="http://schemas.openxmlformats.org/officeDocument/2006/relationships/hyperlink" Target="https://www.scopus.com/authid/detail.uri?authorId=57200141012" TargetMode="External"/><Relationship Id="rId78" Type="http://schemas.openxmlformats.org/officeDocument/2006/relationships/hyperlink" Target="https://www.scopus.com/authid/detail.uri?authorId=57193835710" TargetMode="External"/><Relationship Id="rId939" Type="http://schemas.openxmlformats.org/officeDocument/2006/relationships/hyperlink" Target="https://www.scopus.com/authid/detail.uri?authorId=36683086700" TargetMode="External"/><Relationship Id="rId938" Type="http://schemas.openxmlformats.org/officeDocument/2006/relationships/hyperlink" Target="https://orcid.org/0000-0001-8182-2599" TargetMode="External"/><Relationship Id="rId937" Type="http://schemas.openxmlformats.org/officeDocument/2006/relationships/hyperlink" Target="https://orcid.org/0000-0002-7567-9279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www.scopus.com/authid/detail.uri?authorId=6603919004" TargetMode="External"/><Relationship Id="rId931" Type="http://schemas.openxmlformats.org/officeDocument/2006/relationships/hyperlink" Target="https://orcid.org/0000-0002-8053-0276" TargetMode="External"/><Relationship Id="rId930" Type="http://schemas.openxmlformats.org/officeDocument/2006/relationships/hyperlink" Target="https://www.scopus.com/authid/detail.uri?authorId=57211474380" TargetMode="External"/><Relationship Id="rId936" Type="http://schemas.openxmlformats.org/officeDocument/2006/relationships/hyperlink" Target="https://www.scopus.com/authid/detail.uri?authorId=6701878527" TargetMode="External"/><Relationship Id="rId935" Type="http://schemas.openxmlformats.org/officeDocument/2006/relationships/hyperlink" Target="https://orcid.org/0000-0002-3608-4897" TargetMode="External"/><Relationship Id="rId934" Type="http://schemas.openxmlformats.org/officeDocument/2006/relationships/hyperlink" Target="https://www.scopus.com/authid/detail.uri?authorId=24480225200" TargetMode="External"/><Relationship Id="rId933" Type="http://schemas.openxmlformats.org/officeDocument/2006/relationships/hyperlink" Target="https://orcid.org/0000-0003-0933-0324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orcid.org/0000-0002-7376-8980" TargetMode="External"/><Relationship Id="rId728" Type="http://schemas.openxmlformats.org/officeDocument/2006/relationships/hyperlink" Target="https://www.scopus.com/authid/detail.uri?authorId=57219538959&amp;amp;eid=2-s2.0-85093671498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orcid.org/0000-0001-7032-9109" TargetMode="External"/><Relationship Id="rId965" Type="http://schemas.openxmlformats.org/officeDocument/2006/relationships/hyperlink" Target="https://orcid.org/0000-0002-6436-7253" TargetMode="External"/><Relationship Id="rId722" Type="http://schemas.openxmlformats.org/officeDocument/2006/relationships/hyperlink" Target="https://www.scopus.com/authid/detail.uri?authorId=57207256297" TargetMode="External"/><Relationship Id="rId964" Type="http://schemas.openxmlformats.org/officeDocument/2006/relationships/hyperlink" Target="https://www.scopus.com/authid/detail.uri?authorId=57193824829" TargetMode="External"/><Relationship Id="rId721" Type="http://schemas.openxmlformats.org/officeDocument/2006/relationships/hyperlink" Target="https://orcid.org/0000-0002-7266-7950" TargetMode="External"/><Relationship Id="rId963" Type="http://schemas.openxmlformats.org/officeDocument/2006/relationships/hyperlink" Target="https://orcid.org/0000-0003-1924-5908" TargetMode="External"/><Relationship Id="rId720" Type="http://schemas.openxmlformats.org/officeDocument/2006/relationships/hyperlink" Target="https://www.scopus.com/authid/detail.uri?authorId=7006145081" TargetMode="External"/><Relationship Id="rId962" Type="http://schemas.openxmlformats.org/officeDocument/2006/relationships/hyperlink" Target="https://www.scopus.com/authid/detail.uri?authorId=56685704800" TargetMode="External"/><Relationship Id="rId727" Type="http://schemas.openxmlformats.org/officeDocument/2006/relationships/hyperlink" Target="http://orcid.org/0000-0002-2124-064X" TargetMode="External"/><Relationship Id="rId969" Type="http://schemas.openxmlformats.org/officeDocument/2006/relationships/hyperlink" Target="https://orcid.org/0000-0003-2708-3179" TargetMode="External"/><Relationship Id="rId726" Type="http://schemas.openxmlformats.org/officeDocument/2006/relationships/hyperlink" Target="https://www.scopus.com/authid/detail.uri?authorId=55568512035" TargetMode="External"/><Relationship Id="rId968" Type="http://schemas.openxmlformats.org/officeDocument/2006/relationships/hyperlink" Target="https://www.scopus.com/authid/detail.uri?authorId=12797305300" TargetMode="External"/><Relationship Id="rId725" Type="http://schemas.openxmlformats.org/officeDocument/2006/relationships/hyperlink" Target="https://orcid.org/0000-0002-7426-467X" TargetMode="External"/><Relationship Id="rId967" Type="http://schemas.openxmlformats.org/officeDocument/2006/relationships/hyperlink" Target="http://orcid.org/0000-0002-4618-4787" TargetMode="External"/><Relationship Id="rId724" Type="http://schemas.openxmlformats.org/officeDocument/2006/relationships/hyperlink" Target="https://www.scopus.com/authid/detail.uri?authorId=57200823898" TargetMode="External"/><Relationship Id="rId966" Type="http://schemas.openxmlformats.org/officeDocument/2006/relationships/hyperlink" Target="https://www.scopus.com/authid/detail.uri?authorId=14523615200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://orcid.org/0000-0001-5613-1104" TargetMode="External"/><Relationship Id="rId960" Type="http://schemas.openxmlformats.org/officeDocument/2006/relationships/hyperlink" Target="https://www.scopus.com/authid/detail.uri?authorId=57211145204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8698846100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://orcid.org/0000-0002-2958-8923" TargetMode="External"/><Relationship Id="rId718" Type="http://schemas.openxmlformats.org/officeDocument/2006/relationships/hyperlink" Target="https://orcid.org/0000-0002-4464-6861" TargetMode="External"/><Relationship Id="rId717" Type="http://schemas.openxmlformats.org/officeDocument/2006/relationships/hyperlink" Target="https://www.scopus.com/authid/detail.uri?authorId=24462357100" TargetMode="External"/><Relationship Id="rId959" Type="http://schemas.openxmlformats.org/officeDocument/2006/relationships/hyperlink" Target="https://orcid.org/0000-0003-0711-9250" TargetMode="External"/><Relationship Id="rId712" Type="http://schemas.openxmlformats.org/officeDocument/2006/relationships/hyperlink" Target="http://orcid.org/0000-0003-0699-6294" TargetMode="External"/><Relationship Id="rId954" Type="http://schemas.openxmlformats.org/officeDocument/2006/relationships/hyperlink" Target="http://orcid.org/0000-0002-6197-1914" TargetMode="External"/><Relationship Id="rId711" Type="http://schemas.openxmlformats.org/officeDocument/2006/relationships/hyperlink" Target="https://www.scopus.com/authid/detail.uri?authorId=7801330008&amp;amp;eid=2-s2.0-4444250220" TargetMode="External"/><Relationship Id="rId953" Type="http://schemas.openxmlformats.org/officeDocument/2006/relationships/hyperlink" Target="https://www.scopus.com/authid/detail.uri?authorId=57207767352" TargetMode="External"/><Relationship Id="rId710" Type="http://schemas.openxmlformats.org/officeDocument/2006/relationships/hyperlink" Target="https://orcid.org/0000-0001-5299-6733" TargetMode="External"/><Relationship Id="rId952" Type="http://schemas.openxmlformats.org/officeDocument/2006/relationships/hyperlink" Target="https://www.scopus.com/authid/detail.uri?authorId=8214896500" TargetMode="External"/><Relationship Id="rId951" Type="http://schemas.openxmlformats.org/officeDocument/2006/relationships/hyperlink" Target="https://orcid.org/0000-0002-2846-7089" TargetMode="External"/><Relationship Id="rId716" Type="http://schemas.openxmlformats.org/officeDocument/2006/relationships/hyperlink" Target="https://orcid.org/0000-0003-3251-368X" TargetMode="External"/><Relationship Id="rId958" Type="http://schemas.openxmlformats.org/officeDocument/2006/relationships/hyperlink" Target="https://orcid.org/0000-0001-8150-4427" TargetMode="External"/><Relationship Id="rId715" Type="http://schemas.openxmlformats.org/officeDocument/2006/relationships/hyperlink" Target="https://orcid.org/0000-0003-1656-1542" TargetMode="External"/><Relationship Id="rId957" Type="http://schemas.openxmlformats.org/officeDocument/2006/relationships/hyperlink" Target="https://www.scopus.com/authid/detail.uri?authorId=6602841726" TargetMode="External"/><Relationship Id="rId714" Type="http://schemas.openxmlformats.org/officeDocument/2006/relationships/hyperlink" Target="https://www.scopus.com/authid/detail.uri?authorId=57503001900&amp;origin=recordPage" TargetMode="External"/><Relationship Id="rId956" Type="http://schemas.openxmlformats.org/officeDocument/2006/relationships/hyperlink" Target="https://orcid.org/0000-0001-7732-2962" TargetMode="External"/><Relationship Id="rId713" Type="http://schemas.openxmlformats.org/officeDocument/2006/relationships/hyperlink" Target="https://orcid.org/0000-0002-2060-806X" TargetMode="External"/><Relationship Id="rId955" Type="http://schemas.openxmlformats.org/officeDocument/2006/relationships/hyperlink" Target="https://www.scopus.com/authid/detail.uri?authorId=57194035858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s://www.scopus.com/authid/detail.uri?authorId=57211556518" TargetMode="External"/><Relationship Id="rId590" Type="http://schemas.openxmlformats.org/officeDocument/2006/relationships/hyperlink" Target="https://www.scopus.com/authid/detail.uri?authorId=56114523700" TargetMode="External"/><Relationship Id="rId107" Type="http://schemas.openxmlformats.org/officeDocument/2006/relationships/hyperlink" Target="https://orcid.org/0000-0003-3096-7653" TargetMode="External"/><Relationship Id="rId349" Type="http://schemas.openxmlformats.org/officeDocument/2006/relationships/hyperlink" Target="https://orcid.org/0000-0002-4235-2982" TargetMode="External"/><Relationship Id="rId106" Type="http://schemas.openxmlformats.org/officeDocument/2006/relationships/hyperlink" Target="https://www.scopus.com/authid/detail.uri?authorId=57220778035&amp;amp;eid=2-s2.0-85097603790" TargetMode="External"/><Relationship Id="rId348" Type="http://schemas.openxmlformats.org/officeDocument/2006/relationships/hyperlink" Target="https://www.scopus.com/authid/detail.uri?origin=AuthorProfile&amp;authorId=57210566768&amp;zone=" TargetMode="External"/><Relationship Id="rId105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7" Type="http://schemas.openxmlformats.org/officeDocument/2006/relationships/hyperlink" Target="https://orcid.org/0000-0002-6419-3759" TargetMode="External"/><Relationship Id="rId589" Type="http://schemas.openxmlformats.org/officeDocument/2006/relationships/hyperlink" Target="https://orcid.org/0000-0002-6498-7954" TargetMode="External"/><Relationship Id="rId104" Type="http://schemas.openxmlformats.org/officeDocument/2006/relationships/hyperlink" Target="https://www.scopus.com/authid/detail.uri?authorId=57197855074" TargetMode="External"/><Relationship Id="rId346" Type="http://schemas.openxmlformats.org/officeDocument/2006/relationships/hyperlink" Target="https://www.scopus.com/authid/detail.uri?authorId=57188694373" TargetMode="External"/><Relationship Id="rId588" Type="http://schemas.openxmlformats.org/officeDocument/2006/relationships/hyperlink" Target="https://www.scopus.com/authid/detail.uri?authorId=36183980100" TargetMode="External"/><Relationship Id="rId109" Type="http://schemas.openxmlformats.org/officeDocument/2006/relationships/hyperlink" Target="https://orcid.org/0000-0002-3609-8893" TargetMode="External"/><Relationship Id="rId1170" Type="http://schemas.openxmlformats.org/officeDocument/2006/relationships/hyperlink" Target="https://www.scopus.com/authid/detail.uri?authorId=57214222033" TargetMode="External"/><Relationship Id="rId108" Type="http://schemas.openxmlformats.org/officeDocument/2006/relationships/hyperlink" Target="https://www.scopus.com/authid/detail.uri?authorId=57215826354" TargetMode="External"/><Relationship Id="rId1171" Type="http://schemas.openxmlformats.org/officeDocument/2006/relationships/hyperlink" Target="http://orcid.org/0000-0002-9070-4321" TargetMode="External"/><Relationship Id="rId341" Type="http://schemas.openxmlformats.org/officeDocument/2006/relationships/hyperlink" Target="https://www.scopus.com/authid/detail.uri?authorId=6602558899" TargetMode="External"/><Relationship Id="rId583" Type="http://schemas.openxmlformats.org/officeDocument/2006/relationships/hyperlink" Target="https://orcid.org/0000-0002-9282-6576" TargetMode="External"/><Relationship Id="rId1172" Type="http://schemas.openxmlformats.org/officeDocument/2006/relationships/hyperlink" Target="http://orcid.org/0000-0002-6158-6207" TargetMode="External"/><Relationship Id="rId340" Type="http://schemas.openxmlformats.org/officeDocument/2006/relationships/hyperlink" Target="https://orcid.org/0000-0002-8528-6540" TargetMode="External"/><Relationship Id="rId582" Type="http://schemas.openxmlformats.org/officeDocument/2006/relationships/hyperlink" Target="https://www.scopus.com/authid/detail.uri?authorId=57213836854" TargetMode="External"/><Relationship Id="rId1173" Type="http://schemas.openxmlformats.org/officeDocument/2006/relationships/hyperlink" Target="https://orcid.org/0000-0001-6833-0629" TargetMode="External"/><Relationship Id="rId581" Type="http://schemas.openxmlformats.org/officeDocument/2006/relationships/hyperlink" Target="https://orcid.org/0000-0001-7492-7616" TargetMode="External"/><Relationship Id="rId1174" Type="http://schemas.openxmlformats.org/officeDocument/2006/relationships/hyperlink" Target="https://www.scopus.com/authid/detail.uri?authorId=57209637824" TargetMode="External"/><Relationship Id="rId580" Type="http://schemas.openxmlformats.org/officeDocument/2006/relationships/hyperlink" Target="https://orcid.org/0000-0002-0622-8159" TargetMode="External"/><Relationship Id="rId1175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03" Type="http://schemas.openxmlformats.org/officeDocument/2006/relationships/hyperlink" Target="http://orcid.org/0000-0001-9063-9657" TargetMode="External"/><Relationship Id="rId345" Type="http://schemas.openxmlformats.org/officeDocument/2006/relationships/hyperlink" Target="https://orcid.org/0000-0002-2679-959X" TargetMode="External"/><Relationship Id="rId587" Type="http://schemas.openxmlformats.org/officeDocument/2006/relationships/hyperlink" Target="https://orcid.org/0000-0002-0917-6622" TargetMode="External"/><Relationship Id="rId1176" Type="http://schemas.openxmlformats.org/officeDocument/2006/relationships/hyperlink" Target="https://www.scopus.com/authid/detail.uri?authorId=36776426800" TargetMode="External"/><Relationship Id="rId102" Type="http://schemas.openxmlformats.org/officeDocument/2006/relationships/hyperlink" Target="https://www.scopus.com/authid/detail.uri?authorId=57216435696" TargetMode="External"/><Relationship Id="rId344" Type="http://schemas.openxmlformats.org/officeDocument/2006/relationships/hyperlink" Target="https://www.scopus.com/authid/detail.uri?authorId=56405392100" TargetMode="External"/><Relationship Id="rId586" Type="http://schemas.openxmlformats.org/officeDocument/2006/relationships/hyperlink" Target="https://www.scopus.com/authid/detail.uri?authorId=6507672782" TargetMode="External"/><Relationship Id="rId1177" Type="http://schemas.openxmlformats.org/officeDocument/2006/relationships/hyperlink" Target="https://www.scopus.com/authid/detail.uri?authorId=57217115858" TargetMode="External"/><Relationship Id="rId101" Type="http://schemas.openxmlformats.org/officeDocument/2006/relationships/hyperlink" Target="https://orcid.org/0000-0003-1110-9602" TargetMode="External"/><Relationship Id="rId343" Type="http://schemas.openxmlformats.org/officeDocument/2006/relationships/hyperlink" Target="https://orcid.org/0000-0001-7361-6584" TargetMode="External"/><Relationship Id="rId585" Type="http://schemas.openxmlformats.org/officeDocument/2006/relationships/hyperlink" Target="https://orcid.org/0000-0002-3393-4091" TargetMode="External"/><Relationship Id="rId1178" Type="http://schemas.openxmlformats.org/officeDocument/2006/relationships/hyperlink" Target="https://www.scopus.com/authid/detail.uri?authorId=57381556900" TargetMode="External"/><Relationship Id="rId100" Type="http://schemas.openxmlformats.org/officeDocument/2006/relationships/hyperlink" Target="https://www.scopus.com/authid/detail.uri?authorId=57208081140&amp;amp;eid=2-s2.0-85063734009" TargetMode="External"/><Relationship Id="rId342" Type="http://schemas.openxmlformats.org/officeDocument/2006/relationships/hyperlink" Target="https://www.scopus.com/authid/detail.uri?authorId=57194036350" TargetMode="External"/><Relationship Id="rId584" Type="http://schemas.openxmlformats.org/officeDocument/2006/relationships/hyperlink" Target="https://www.scopus.com/authid/detail.uri?authorId=56403093300" TargetMode="External"/><Relationship Id="rId1179" Type="http://schemas.openxmlformats.org/officeDocument/2006/relationships/hyperlink" Target="https://www.scopus.com/authid/detail.uri?authorId=57203145849&amp;amp;eid=2-s2.0-85096426029" TargetMode="External"/><Relationship Id="rId1169" Type="http://schemas.openxmlformats.org/officeDocument/2006/relationships/hyperlink" Target="https://orcid.org/0000-0002-6129-6146" TargetMode="External"/><Relationship Id="rId338" Type="http://schemas.openxmlformats.org/officeDocument/2006/relationships/hyperlink" Target="https://orcid.org/0000-0002-0152-7600" TargetMode="External"/><Relationship Id="rId337" Type="http://schemas.openxmlformats.org/officeDocument/2006/relationships/hyperlink" Target="https://www.scopus.com/authid/detail.uri?authorId=15069927500" TargetMode="External"/><Relationship Id="rId579" Type="http://schemas.openxmlformats.org/officeDocument/2006/relationships/hyperlink" Target="https://www.scopus.com/authid/detail.uri?authorId=57188560437&amp;amp;eid=2-s2.0-34250010072" TargetMode="External"/><Relationship Id="rId336" Type="http://schemas.openxmlformats.org/officeDocument/2006/relationships/hyperlink" Target="https://www.scopus.com/authid/detail.uri?authorId=57210340749" TargetMode="External"/><Relationship Id="rId578" Type="http://schemas.openxmlformats.org/officeDocument/2006/relationships/hyperlink" Target="https://orcid.org/0000-0002-3874-1192" TargetMode="External"/><Relationship Id="rId335" Type="http://schemas.openxmlformats.org/officeDocument/2006/relationships/hyperlink" Target="https://orcid.org/0000-0001-8590-8007" TargetMode="External"/><Relationship Id="rId577" Type="http://schemas.openxmlformats.org/officeDocument/2006/relationships/hyperlink" Target="https://www.scopus.com/authid/detail.uri?authorId=56485457100&amp;amp;eid=2-s2.0-84921317240" TargetMode="External"/><Relationship Id="rId339" Type="http://schemas.openxmlformats.org/officeDocument/2006/relationships/hyperlink" Target="https://www.scopus.com/authid/detail.uri?origin=resultslist&amp;authorId=57207774022&amp;zone=" TargetMode="External"/><Relationship Id="rId1160" Type="http://schemas.openxmlformats.org/officeDocument/2006/relationships/hyperlink" Target="https://www.scopus.com/authid/detail.uri?authorId=57105541700" TargetMode="External"/><Relationship Id="rId330" Type="http://schemas.openxmlformats.org/officeDocument/2006/relationships/hyperlink" Target="http://orcid.org/0000-0002-7583-7759" TargetMode="External"/><Relationship Id="rId572" Type="http://schemas.openxmlformats.org/officeDocument/2006/relationships/hyperlink" Target="https://www.scopus.com/authid/detail.uri?authorId=56486147800" TargetMode="External"/><Relationship Id="rId1161" Type="http://schemas.openxmlformats.org/officeDocument/2006/relationships/hyperlink" Target="https://orcid.org/0000-0002-6896-3095" TargetMode="External"/><Relationship Id="rId571" Type="http://schemas.openxmlformats.org/officeDocument/2006/relationships/hyperlink" Target="https://orcid.org/0000-0001-9729-4401" TargetMode="External"/><Relationship Id="rId1162" Type="http://schemas.openxmlformats.org/officeDocument/2006/relationships/hyperlink" Target="https://www.scopus.com/authid/detail.uri?authorId=57191968075" TargetMode="External"/><Relationship Id="rId570" Type="http://schemas.openxmlformats.org/officeDocument/2006/relationships/hyperlink" Target="https://www.scopus.com/authid/detail.uri?authorId=57217115805&amp;amp;eid=2-s2.0-85086314033" TargetMode="External"/><Relationship Id="rId1163" Type="http://schemas.openxmlformats.org/officeDocument/2006/relationships/hyperlink" Target="https://orcid.org/0000-0001-5931-8994" TargetMode="External"/><Relationship Id="rId1164" Type="http://schemas.openxmlformats.org/officeDocument/2006/relationships/hyperlink" Target="https://www.scopus.com/authid/detail.uri?authorId=15319567400" TargetMode="External"/><Relationship Id="rId334" Type="http://schemas.openxmlformats.org/officeDocument/2006/relationships/hyperlink" Target="https://orcid.org/0000-0002-9955-4710" TargetMode="External"/><Relationship Id="rId576" Type="http://schemas.openxmlformats.org/officeDocument/2006/relationships/hyperlink" Target="https://www.scopus.com/authid/detail.uri?authorId=57196940070" TargetMode="External"/><Relationship Id="rId1165" Type="http://schemas.openxmlformats.org/officeDocument/2006/relationships/hyperlink" Target="https://orcid.org/0000-0002-5178-519X" TargetMode="External"/><Relationship Id="rId333" Type="http://schemas.openxmlformats.org/officeDocument/2006/relationships/hyperlink" Target="https://www.scopus.com/authid/detail.uri?authorId=57197504395" TargetMode="External"/><Relationship Id="rId575" Type="http://schemas.openxmlformats.org/officeDocument/2006/relationships/hyperlink" Target="http://orcid.org/0000-0003-2349-0578" TargetMode="External"/><Relationship Id="rId1166" Type="http://schemas.openxmlformats.org/officeDocument/2006/relationships/hyperlink" Target="https://www.scopus.com/authid/detail.uri?authorId=57195530306" TargetMode="External"/><Relationship Id="rId332" Type="http://schemas.openxmlformats.org/officeDocument/2006/relationships/hyperlink" Target="https://orcid.org/0000-0001-6977-8206" TargetMode="External"/><Relationship Id="rId574" Type="http://schemas.openxmlformats.org/officeDocument/2006/relationships/hyperlink" Target="https://www.scopus.com/authid/detail.uri?authorId=6506599920" TargetMode="External"/><Relationship Id="rId1167" Type="http://schemas.openxmlformats.org/officeDocument/2006/relationships/hyperlink" Target="https://orcid.org/0000-0003-4776-7287" TargetMode="External"/><Relationship Id="rId331" Type="http://schemas.openxmlformats.org/officeDocument/2006/relationships/hyperlink" Target="https://www.scopus.com/authid/detail.uri?authorId=57211908898" TargetMode="External"/><Relationship Id="rId573" Type="http://schemas.openxmlformats.org/officeDocument/2006/relationships/hyperlink" Target="https://orcid.org/0000-0002-9175-4603" TargetMode="External"/><Relationship Id="rId1168" Type="http://schemas.openxmlformats.org/officeDocument/2006/relationships/hyperlink" Target="https://orcid.org/0000-0001-5501-2461" TargetMode="External"/><Relationship Id="rId370" Type="http://schemas.openxmlformats.org/officeDocument/2006/relationships/hyperlink" Target="https://orcid.org/0000-0002-5613-4150" TargetMode="External"/><Relationship Id="rId129" Type="http://schemas.openxmlformats.org/officeDocument/2006/relationships/hyperlink" Target="https://www.scopus.com/authid/detail.uri?authorId=56669967900" TargetMode="External"/><Relationship Id="rId128" Type="http://schemas.openxmlformats.org/officeDocument/2006/relationships/hyperlink" Target="https://orcid.org/0000-0002-5287-9833" TargetMode="External"/><Relationship Id="rId127" Type="http://schemas.openxmlformats.org/officeDocument/2006/relationships/hyperlink" Target="https://www.scopus.com/authid/detail.uri?authorId=35577652100" TargetMode="External"/><Relationship Id="rId369" Type="http://schemas.openxmlformats.org/officeDocument/2006/relationships/hyperlink" Target="https://www.scopus.com/authid/detail.uri?authorId=20433427600" TargetMode="External"/><Relationship Id="rId126" Type="http://schemas.openxmlformats.org/officeDocument/2006/relationships/hyperlink" Target="https://orcid.org/0000-0002-0197-6561" TargetMode="External"/><Relationship Id="rId368" Type="http://schemas.openxmlformats.org/officeDocument/2006/relationships/hyperlink" Target="https://orcid.org/0000-0003-3000-0469" TargetMode="External"/><Relationship Id="rId1190" Type="http://schemas.openxmlformats.org/officeDocument/2006/relationships/hyperlink" Target="https://www.scopus.com/authid/detail.uri?authorId=57217114845" TargetMode="External"/><Relationship Id="rId1191" Type="http://schemas.openxmlformats.org/officeDocument/2006/relationships/hyperlink" Target="https://www.scopus.com/authid/detail.uri?origin=resultslist&amp;authorId=6603607401&amp;zone=" TargetMode="External"/><Relationship Id="rId1192" Type="http://schemas.openxmlformats.org/officeDocument/2006/relationships/hyperlink" Target="https://www.scopus.com/authid/detail.uri?authorId=56448404000" TargetMode="External"/><Relationship Id="rId1193" Type="http://schemas.openxmlformats.org/officeDocument/2006/relationships/hyperlink" Target="https://www.scopus.com/authid/detail.uri?authorId=14018777000" TargetMode="External"/><Relationship Id="rId121" Type="http://schemas.openxmlformats.org/officeDocument/2006/relationships/hyperlink" Target="http://orcid.org/0000-0002-4043-487X" TargetMode="External"/><Relationship Id="rId363" Type="http://schemas.openxmlformats.org/officeDocument/2006/relationships/hyperlink" Target="https://orcid.org/0000-0001-6596-8512" TargetMode="External"/><Relationship Id="rId1194" Type="http://schemas.openxmlformats.org/officeDocument/2006/relationships/hyperlink" Target="https://www.scopus.com/authid/detail.uri?authorId=27867946500" TargetMode="External"/><Relationship Id="rId120" Type="http://schemas.openxmlformats.org/officeDocument/2006/relationships/hyperlink" Target="https://www.scopus.com/authid/detail.uri?authorId=36683515900" TargetMode="External"/><Relationship Id="rId362" Type="http://schemas.openxmlformats.org/officeDocument/2006/relationships/hyperlink" Target="https://www.scopus.com/authid/detail.uri?authorId=56486151800" TargetMode="External"/><Relationship Id="rId1195" Type="http://schemas.openxmlformats.org/officeDocument/2006/relationships/hyperlink" Target="https://www.scopus.com/authid/detail.uri?authorId=6506695489" TargetMode="External"/><Relationship Id="rId361" Type="http://schemas.openxmlformats.org/officeDocument/2006/relationships/hyperlink" Target="https://orcid.org/0000-0002-5331-4324" TargetMode="External"/><Relationship Id="rId1196" Type="http://schemas.openxmlformats.org/officeDocument/2006/relationships/hyperlink" Target="https://www.scopus.com/authid/detail.uri?authorId=57223030247" TargetMode="External"/><Relationship Id="rId360" Type="http://schemas.openxmlformats.org/officeDocument/2006/relationships/hyperlink" Target="https://www.scopus.com/authid/detail.uri?authorId=57192819329&amp;amp;eid=2-s2.0-85008259059" TargetMode="External"/><Relationship Id="rId1197" Type="http://schemas.openxmlformats.org/officeDocument/2006/relationships/hyperlink" Target="https://orcid.org/0000-0002-9539-8888" TargetMode="External"/><Relationship Id="rId125" Type="http://schemas.openxmlformats.org/officeDocument/2006/relationships/hyperlink" Target="https://www.scopus.com/authid/detail.uri?authorId=26423414100" TargetMode="External"/><Relationship Id="rId367" Type="http://schemas.openxmlformats.org/officeDocument/2006/relationships/hyperlink" Target="https://orcid.org/0000-0002-6482-7723" TargetMode="External"/><Relationship Id="rId1198" Type="http://schemas.openxmlformats.org/officeDocument/2006/relationships/hyperlink" Target="https://www.scopus.com/authid/detail.uri?authorId=57219533381" TargetMode="External"/><Relationship Id="rId124" Type="http://schemas.openxmlformats.org/officeDocument/2006/relationships/hyperlink" Target="https://www.scopus.com/authid/detail.uri?authorId=6505759579" TargetMode="External"/><Relationship Id="rId366" Type="http://schemas.openxmlformats.org/officeDocument/2006/relationships/hyperlink" Target="https://orcid.org/0000-0001-6181-732X" TargetMode="External"/><Relationship Id="rId1199" Type="http://schemas.openxmlformats.org/officeDocument/2006/relationships/hyperlink" Target="https://www.scopus.com/authid/detail.uri?authorId=7202624297" TargetMode="External"/><Relationship Id="rId123" Type="http://schemas.openxmlformats.org/officeDocument/2006/relationships/hyperlink" Target="https://orcid.org/0000-0003-2141-4969" TargetMode="External"/><Relationship Id="rId365" Type="http://schemas.openxmlformats.org/officeDocument/2006/relationships/hyperlink" Target="https://www.scopus.com/authid/detail.uri?authorId=56007907900" TargetMode="External"/><Relationship Id="rId122" Type="http://schemas.openxmlformats.org/officeDocument/2006/relationships/hyperlink" Target="https://www.scopus.com/authid/detail.uri?origin=resultslist&amp;authorId=57200814918" TargetMode="External"/><Relationship Id="rId364" Type="http://schemas.openxmlformats.org/officeDocument/2006/relationships/hyperlink" Target="https://www.scopus.com/authid/detail.uri?authorId=57210556014" TargetMode="External"/><Relationship Id="rId95" Type="http://schemas.openxmlformats.org/officeDocument/2006/relationships/hyperlink" Target="https://www.scopus.com/authid/detail.uri?authorId=36109791700" TargetMode="External"/><Relationship Id="rId94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7" Type="http://schemas.openxmlformats.org/officeDocument/2006/relationships/hyperlink" Target="https://orcid.org/0000-0001-9548-5634" TargetMode="External"/><Relationship Id="rId96" Type="http://schemas.openxmlformats.org/officeDocument/2006/relationships/hyperlink" Target="https://orcid.org/0000-0001-5410-8576" TargetMode="External"/><Relationship Id="rId99" Type="http://schemas.openxmlformats.org/officeDocument/2006/relationships/hyperlink" Target="https://orcid.org/0000-0001-7449-6887" TargetMode="External"/><Relationship Id="rId98" Type="http://schemas.openxmlformats.org/officeDocument/2006/relationships/hyperlink" Target="https://www.scopus.com/authid/detail.uri?authorId=57212172025" TargetMode="External"/><Relationship Id="rId91" Type="http://schemas.openxmlformats.org/officeDocument/2006/relationships/hyperlink" Target="https://www.scopus.com/authid/detail.uri?authorId=24447869600" TargetMode="External"/><Relationship Id="rId90" Type="http://schemas.openxmlformats.org/officeDocument/2006/relationships/hyperlink" Target="https://orcid.org/0000-0002-7566-2282" TargetMode="External"/><Relationship Id="rId93" Type="http://schemas.openxmlformats.org/officeDocument/2006/relationships/hyperlink" Target="https://www.scopus.com/authid/detail.uri?authorId=35606859900" TargetMode="External"/><Relationship Id="rId92" Type="http://schemas.openxmlformats.org/officeDocument/2006/relationships/hyperlink" Target="https://orcid.org/0000-0003-3907-6785" TargetMode="External"/><Relationship Id="rId118" Type="http://schemas.openxmlformats.org/officeDocument/2006/relationships/hyperlink" Target="https://www.scopus.com/authid/detail.uri?authorId=56556680000" TargetMode="External"/><Relationship Id="rId117" Type="http://schemas.openxmlformats.org/officeDocument/2006/relationships/hyperlink" Target="https://orcid.org/0000-0002-1121-6654" TargetMode="External"/><Relationship Id="rId359" Type="http://schemas.openxmlformats.org/officeDocument/2006/relationships/hyperlink" Target="https://orcid.org/0000-0003-1487-8407" TargetMode="External"/><Relationship Id="rId116" Type="http://schemas.openxmlformats.org/officeDocument/2006/relationships/hyperlink" Target="https://orcid.org/0000-0003-3250-6172" TargetMode="External"/><Relationship Id="rId358" Type="http://schemas.openxmlformats.org/officeDocument/2006/relationships/hyperlink" Target="https://www.scopus.com/authid/detail.uri?authorId=57202223262" TargetMode="External"/><Relationship Id="rId115" Type="http://schemas.openxmlformats.org/officeDocument/2006/relationships/hyperlink" Target="https://www.scopus.com/authid/detail.uri?authorId=57201895842" TargetMode="External"/><Relationship Id="rId357" Type="http://schemas.openxmlformats.org/officeDocument/2006/relationships/hyperlink" Target="https://www.scopus.com/authid/detail.uri?origin=AuthorProfile&amp;authorId=57196286863&amp;zone=" TargetMode="External"/><Relationship Id="rId599" Type="http://schemas.openxmlformats.org/officeDocument/2006/relationships/hyperlink" Target="https://www.scopus.com/authid/detail.uri?authorId=57207908277" TargetMode="External"/><Relationship Id="rId1180" Type="http://schemas.openxmlformats.org/officeDocument/2006/relationships/hyperlink" Target="https://www.scopus.com/authid/detail.uri?authorId=56736026400&amp;amp;eid=2-s2.0-85097152614" TargetMode="External"/><Relationship Id="rId1181" Type="http://schemas.openxmlformats.org/officeDocument/2006/relationships/hyperlink" Target="https://orcid.org/0000-0001-5455-5026" TargetMode="External"/><Relationship Id="rId119" Type="http://schemas.openxmlformats.org/officeDocument/2006/relationships/hyperlink" Target="https://orcid.org/0000-0002-9385-7411" TargetMode="External"/><Relationship Id="rId1182" Type="http://schemas.openxmlformats.org/officeDocument/2006/relationships/hyperlink" Target="https://www.scopus.com/authid/detail.uri?authorId=56712496800" TargetMode="External"/><Relationship Id="rId110" Type="http://schemas.openxmlformats.org/officeDocument/2006/relationships/hyperlink" Target="http://orcid.org/0000-0001-7233-9650" TargetMode="External"/><Relationship Id="rId352" Type="http://schemas.openxmlformats.org/officeDocument/2006/relationships/hyperlink" Target="https://orcid.org/0000-0001-9970-7951" TargetMode="External"/><Relationship Id="rId594" Type="http://schemas.openxmlformats.org/officeDocument/2006/relationships/hyperlink" Target="https://orcid.org/0000-0002-2895-0978" TargetMode="External"/><Relationship Id="rId1183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351" Type="http://schemas.openxmlformats.org/officeDocument/2006/relationships/hyperlink" Target="https://orcid.org/0000-0002-7936-2295" TargetMode="External"/><Relationship Id="rId593" Type="http://schemas.openxmlformats.org/officeDocument/2006/relationships/hyperlink" Target="https://orcid.org/0000-0002-2477-4524" TargetMode="External"/><Relationship Id="rId1184" Type="http://schemas.openxmlformats.org/officeDocument/2006/relationships/hyperlink" Target="https://www.scopus.com/authid/detail.uri?origin=resultslist&amp;authorId=6506130334&amp;zone=" TargetMode="External"/><Relationship Id="rId350" Type="http://schemas.openxmlformats.org/officeDocument/2006/relationships/hyperlink" Target="https://www.scopus.com/authid/detail.uri?authorId=57207774889" TargetMode="External"/><Relationship Id="rId592" Type="http://schemas.openxmlformats.org/officeDocument/2006/relationships/hyperlink" Target="https://orcid.org/0000-0001-6856-8362" TargetMode="External"/><Relationship Id="rId1185" Type="http://schemas.openxmlformats.org/officeDocument/2006/relationships/hyperlink" Target="https://www.scopus.com/authid/detail.uri?authorId=7003842489&amp;amp;eid=2-s2.0-85097721877" TargetMode="External"/><Relationship Id="rId591" Type="http://schemas.openxmlformats.org/officeDocument/2006/relationships/hyperlink" Target="https://orcid.org/0000-0002-7565-3095" TargetMode="External"/><Relationship Id="rId1186" Type="http://schemas.openxmlformats.org/officeDocument/2006/relationships/hyperlink" Target="https://www.scopus.com/authid/detail.uri?authorId=57194422728&amp;amp;eid=2-s2.0-85074949483" TargetMode="External"/><Relationship Id="rId114" Type="http://schemas.openxmlformats.org/officeDocument/2006/relationships/hyperlink" Target="http://orcid.org/0000-0001-7850-9358" TargetMode="External"/><Relationship Id="rId356" Type="http://schemas.openxmlformats.org/officeDocument/2006/relationships/hyperlink" Target="http://orcid.org/0000-0002-1928-4707" TargetMode="External"/><Relationship Id="rId598" Type="http://schemas.openxmlformats.org/officeDocument/2006/relationships/hyperlink" Target="https://orcid.org/0000-0002-3760-0523" TargetMode="External"/><Relationship Id="rId1187" Type="http://schemas.openxmlformats.org/officeDocument/2006/relationships/hyperlink" Target="https://www.scopus.com/authid/detail.uri?authorId=57219987196" TargetMode="External"/><Relationship Id="rId113" Type="http://schemas.openxmlformats.org/officeDocument/2006/relationships/hyperlink" Target="https://www.scopus.com/authid/detail.uri?authorId=57203149050" TargetMode="External"/><Relationship Id="rId355" Type="http://schemas.openxmlformats.org/officeDocument/2006/relationships/hyperlink" Target="https://www.scopus.com/authid/detail.uri?authorId=57217030807" TargetMode="External"/><Relationship Id="rId597" Type="http://schemas.openxmlformats.org/officeDocument/2006/relationships/hyperlink" Target="https://orcid.org/0000-0001-8693-2770" TargetMode="External"/><Relationship Id="rId1188" Type="http://schemas.openxmlformats.org/officeDocument/2006/relationships/hyperlink" Target="https://www.scopus.com/authid/detail.uri?authorId=57212020095" TargetMode="External"/><Relationship Id="rId112" Type="http://schemas.openxmlformats.org/officeDocument/2006/relationships/hyperlink" Target="http://orcid.org/0000-0002-9177-8787" TargetMode="External"/><Relationship Id="rId354" Type="http://schemas.openxmlformats.org/officeDocument/2006/relationships/hyperlink" Target="https://orcid.org/0000-0003-1027-5262" TargetMode="External"/><Relationship Id="rId596" Type="http://schemas.openxmlformats.org/officeDocument/2006/relationships/hyperlink" Target="https://www.scopus.com/authid/detail.uri?authorId=57216486212" TargetMode="External"/><Relationship Id="rId1189" Type="http://schemas.openxmlformats.org/officeDocument/2006/relationships/hyperlink" Target="https://www.scopus.com/authid/detail.uri?authorId=57219530621" TargetMode="External"/><Relationship Id="rId111" Type="http://schemas.openxmlformats.org/officeDocument/2006/relationships/hyperlink" Target="http://orcid.org/0000-0001-9655-6684" TargetMode="External"/><Relationship Id="rId353" Type="http://schemas.openxmlformats.org/officeDocument/2006/relationships/hyperlink" Target="https://www.scopus.com/authid/detail.uri?authorId=7201870040" TargetMode="External"/><Relationship Id="rId595" Type="http://schemas.openxmlformats.org/officeDocument/2006/relationships/hyperlink" Target="https://orcid.org/0000-0003-0439-7108" TargetMode="External"/><Relationship Id="rId1136" Type="http://schemas.openxmlformats.org/officeDocument/2006/relationships/hyperlink" Target="http://orcid.org/0000-0002-5877-0206" TargetMode="External"/><Relationship Id="rId1137" Type="http://schemas.openxmlformats.org/officeDocument/2006/relationships/hyperlink" Target="https://www.scopus.com/authid/detail.uri?authorId=55225551300" TargetMode="External"/><Relationship Id="rId1138" Type="http://schemas.openxmlformats.org/officeDocument/2006/relationships/hyperlink" Target="https://orcid.org/0000-0003-1071-3445" TargetMode="External"/><Relationship Id="rId1139" Type="http://schemas.openxmlformats.org/officeDocument/2006/relationships/hyperlink" Target="https://www.scopus.com/authid/detail.uri?authorId=6506160916" TargetMode="External"/><Relationship Id="rId305" Type="http://schemas.openxmlformats.org/officeDocument/2006/relationships/hyperlink" Target="http://orcid.org/0000-0002-5935-1505" TargetMode="External"/><Relationship Id="rId547" Type="http://schemas.openxmlformats.org/officeDocument/2006/relationships/hyperlink" Target="https://orcid.org/0000-0002-0146-3934" TargetMode="External"/><Relationship Id="rId789" Type="http://schemas.openxmlformats.org/officeDocument/2006/relationships/hyperlink" Target="https://orcid.org/0000-0001-5975-0269" TargetMode="External"/><Relationship Id="rId304" Type="http://schemas.openxmlformats.org/officeDocument/2006/relationships/hyperlink" Target="https://www.scopus.com/authid/detail.uri?authorId=57194558513" TargetMode="External"/><Relationship Id="rId546" Type="http://schemas.openxmlformats.org/officeDocument/2006/relationships/hyperlink" Target="https://www.scopus.com/authid/detail.uri?authorId=57203147366" TargetMode="External"/><Relationship Id="rId788" Type="http://schemas.openxmlformats.org/officeDocument/2006/relationships/hyperlink" Target="https://www.scopus.com/authid/detail.uri?authorId=57202210250" TargetMode="External"/><Relationship Id="rId303" Type="http://schemas.openxmlformats.org/officeDocument/2006/relationships/hyperlink" Target="https://orcid.org/0000-0002-0463-2342" TargetMode="External"/><Relationship Id="rId545" Type="http://schemas.openxmlformats.org/officeDocument/2006/relationships/hyperlink" Target="https://orcid.org/0000-0002-1741-9161" TargetMode="External"/><Relationship Id="rId787" Type="http://schemas.openxmlformats.org/officeDocument/2006/relationships/hyperlink" Target="http://orcid.org/0000-0003-1600-0905" TargetMode="External"/><Relationship Id="rId302" Type="http://schemas.openxmlformats.org/officeDocument/2006/relationships/hyperlink" Target="https://orcid.org/0000-0001-6221-7158" TargetMode="External"/><Relationship Id="rId544" Type="http://schemas.openxmlformats.org/officeDocument/2006/relationships/hyperlink" Target="https://orcid.org/0000-0001-5166-6388" TargetMode="External"/><Relationship Id="rId786" Type="http://schemas.openxmlformats.org/officeDocument/2006/relationships/hyperlink" Target="https://orcid.org/0000-0002-3500-2001" TargetMode="External"/><Relationship Id="rId309" Type="http://schemas.openxmlformats.org/officeDocument/2006/relationships/hyperlink" Target="https://www.scopus.com/authid/detail.uri?authorId=57208026716" TargetMode="External"/><Relationship Id="rId308" Type="http://schemas.openxmlformats.org/officeDocument/2006/relationships/hyperlink" Target="https://orcid.org/0000-0001-8884-5099" TargetMode="External"/><Relationship Id="rId307" Type="http://schemas.openxmlformats.org/officeDocument/2006/relationships/hyperlink" Target="https://orcid.org/0000-0002-1940-7551" TargetMode="External"/><Relationship Id="rId549" Type="http://schemas.openxmlformats.org/officeDocument/2006/relationships/hyperlink" Target="https://orcid.org/0000-0002-1550-9083" TargetMode="External"/><Relationship Id="rId306" Type="http://schemas.openxmlformats.org/officeDocument/2006/relationships/hyperlink" Target="https://www.scopus.com/authid/detail.uri?authorId=57209411081" TargetMode="External"/><Relationship Id="rId548" Type="http://schemas.openxmlformats.org/officeDocument/2006/relationships/hyperlink" Target="https://www.scopus.com/authid/detail.uri?authorId=55658561300" TargetMode="External"/><Relationship Id="rId781" Type="http://schemas.openxmlformats.org/officeDocument/2006/relationships/hyperlink" Target="https://www.scopus.com/authid/detail.uri?authorId=24484132300" TargetMode="External"/><Relationship Id="rId780" Type="http://schemas.openxmlformats.org/officeDocument/2006/relationships/hyperlink" Target="https://www.scopus.com/authid/detail.uri?authorId=56962726800" TargetMode="External"/><Relationship Id="rId1130" Type="http://schemas.openxmlformats.org/officeDocument/2006/relationships/hyperlink" Target="https://www.scopus.com/authid/detail.uri?authorId=26431566700" TargetMode="External"/><Relationship Id="rId1131" Type="http://schemas.openxmlformats.org/officeDocument/2006/relationships/hyperlink" Target="https://orcid.org/0000-0002-2947-394X" TargetMode="External"/><Relationship Id="rId301" Type="http://schemas.openxmlformats.org/officeDocument/2006/relationships/hyperlink" Target="https://www.scopus.com/authid/detail.uri?authorId=57189381444" TargetMode="External"/><Relationship Id="rId543" Type="http://schemas.openxmlformats.org/officeDocument/2006/relationships/hyperlink" Target="https://orcid.org/0000-0002-9966-0249" TargetMode="External"/><Relationship Id="rId785" Type="http://schemas.openxmlformats.org/officeDocument/2006/relationships/hyperlink" Target="https://www.scopus.com/authid/detail.uri?authorId=55976039200" TargetMode="External"/><Relationship Id="rId1132" Type="http://schemas.openxmlformats.org/officeDocument/2006/relationships/hyperlink" Target="https://www.scopus.com/authid/detail.uri?authorId=57205562053&amp;amp;eid=2-s2.0-85060522940" TargetMode="External"/><Relationship Id="rId300" Type="http://schemas.openxmlformats.org/officeDocument/2006/relationships/hyperlink" Target="https://orcid.org/0000-0002-8867-993X" TargetMode="External"/><Relationship Id="rId542" Type="http://schemas.openxmlformats.org/officeDocument/2006/relationships/hyperlink" Target="https://www.scopus.com/authid/detail.uri?authorId=6603667272" TargetMode="External"/><Relationship Id="rId784" Type="http://schemas.openxmlformats.org/officeDocument/2006/relationships/hyperlink" Target="https://orcid.org/0000-0003-2448-4436" TargetMode="External"/><Relationship Id="rId1133" Type="http://schemas.openxmlformats.org/officeDocument/2006/relationships/hyperlink" Target="https://orcid.org/0000-0002-7586-4394" TargetMode="External"/><Relationship Id="rId541" Type="http://schemas.openxmlformats.org/officeDocument/2006/relationships/hyperlink" Target="https://orcid.org/0000-0002-7687-1414" TargetMode="External"/><Relationship Id="rId783" Type="http://schemas.openxmlformats.org/officeDocument/2006/relationships/hyperlink" Target="https://www.scopus.com/authid/detail.uri?authorId=35763241000&amp;amp;eid=2-s2.0-77949965552" TargetMode="External"/><Relationship Id="rId1134" Type="http://schemas.openxmlformats.org/officeDocument/2006/relationships/hyperlink" Target="https://orcid.org/0000-0002-7472-6045" TargetMode="External"/><Relationship Id="rId540" Type="http://schemas.openxmlformats.org/officeDocument/2006/relationships/hyperlink" Target="http://orcid.org/0000-0001-7476-3746" TargetMode="External"/><Relationship Id="rId782" Type="http://schemas.openxmlformats.org/officeDocument/2006/relationships/hyperlink" Target="https://orcid.org/0000-0003-0533-2306" TargetMode="External"/><Relationship Id="rId1135" Type="http://schemas.openxmlformats.org/officeDocument/2006/relationships/hyperlink" Target="https://www.scopus.com/authid/detail.uri?authorId=57207771344" TargetMode="External"/><Relationship Id="rId1125" Type="http://schemas.openxmlformats.org/officeDocument/2006/relationships/hyperlink" Target="https://orcid.org/0000-0003-1638-4478" TargetMode="External"/><Relationship Id="rId1126" Type="http://schemas.openxmlformats.org/officeDocument/2006/relationships/hyperlink" Target="https://www.scopus.com/authid/detail.uri?authorId=57202799599" TargetMode="External"/><Relationship Id="rId1127" Type="http://schemas.openxmlformats.org/officeDocument/2006/relationships/hyperlink" Target="https://orcid.org/0000-0002-4388-8180" TargetMode="External"/><Relationship Id="rId1128" Type="http://schemas.openxmlformats.org/officeDocument/2006/relationships/hyperlink" Target="https://www.scopus.com/authid/detail.uri?authorId=57201728980" TargetMode="External"/><Relationship Id="rId1129" Type="http://schemas.openxmlformats.org/officeDocument/2006/relationships/hyperlink" Target="https://orcid.org/0000-0003-2381-7999" TargetMode="External"/><Relationship Id="rId536" Type="http://schemas.openxmlformats.org/officeDocument/2006/relationships/hyperlink" Target="https://www.scopus.com/authid/detail.uri?authorId=56115079000" TargetMode="External"/><Relationship Id="rId778" Type="http://schemas.openxmlformats.org/officeDocument/2006/relationships/hyperlink" Target="https://www.scopus.com/authid/detail.uri?authorId=55225675900" TargetMode="External"/><Relationship Id="rId535" Type="http://schemas.openxmlformats.org/officeDocument/2006/relationships/hyperlink" Target="https://orcid.org/0000-0002-9226-1309" TargetMode="External"/><Relationship Id="rId777" Type="http://schemas.openxmlformats.org/officeDocument/2006/relationships/hyperlink" Target="https://www.scopus.com/authid/detail.uri?authorId=6505621567&amp;amp;eid=2-s2.0-0017907091" TargetMode="External"/><Relationship Id="rId534" Type="http://schemas.openxmlformats.org/officeDocument/2006/relationships/hyperlink" Target="https://www.scopus.com/authid/detail.uri?authorId=25650378900" TargetMode="External"/><Relationship Id="rId776" Type="http://schemas.openxmlformats.org/officeDocument/2006/relationships/hyperlink" Target="https://www.scopus.com/authid/detail.uri?authorId=57208907089" TargetMode="External"/><Relationship Id="rId533" Type="http://schemas.openxmlformats.org/officeDocument/2006/relationships/hyperlink" Target="https://orcid.org/0000-0002-9797-5271" TargetMode="External"/><Relationship Id="rId775" Type="http://schemas.openxmlformats.org/officeDocument/2006/relationships/hyperlink" Target="https://orcid.org/0000-0001-7648-0360" TargetMode="External"/><Relationship Id="rId539" Type="http://schemas.openxmlformats.org/officeDocument/2006/relationships/hyperlink" Target="https://www.scopus.com/authid/detail.uri?authorId=56114952300" TargetMode="External"/><Relationship Id="rId538" Type="http://schemas.openxmlformats.org/officeDocument/2006/relationships/hyperlink" Target="https://www.scopus.com/authid/detail.uri?authorId=57190438040" TargetMode="External"/><Relationship Id="rId537" Type="http://schemas.openxmlformats.org/officeDocument/2006/relationships/hyperlink" Target="https://orcid.org/0000-0002-4906-3796" TargetMode="External"/><Relationship Id="rId779" Type="http://schemas.openxmlformats.org/officeDocument/2006/relationships/hyperlink" Target="https://orcid.org/0000-0003-3640-6523" TargetMode="External"/><Relationship Id="rId770" Type="http://schemas.openxmlformats.org/officeDocument/2006/relationships/hyperlink" Target="https://www.scopus.com/authid/detail.uri?authorId=55891027200" TargetMode="External"/><Relationship Id="rId1120" Type="http://schemas.openxmlformats.org/officeDocument/2006/relationships/hyperlink" Target="https://orcid.org/0000-0003-3177-5530" TargetMode="External"/><Relationship Id="rId532" Type="http://schemas.openxmlformats.org/officeDocument/2006/relationships/hyperlink" Target="https://www.scopus.com/authid/detail.uri?authorId=57218345552&amp;amp;eid=2-s2.0-85088878961" TargetMode="External"/><Relationship Id="rId774" Type="http://schemas.openxmlformats.org/officeDocument/2006/relationships/hyperlink" Target="https://www.scopus.com/authid/detail.uri?authorId=6603686093" TargetMode="External"/><Relationship Id="rId1121" Type="http://schemas.openxmlformats.org/officeDocument/2006/relationships/hyperlink" Target="https://orcid.org/0000-0002-8122-4748" TargetMode="External"/><Relationship Id="rId531" Type="http://schemas.openxmlformats.org/officeDocument/2006/relationships/hyperlink" Target="https://www.scopus.com/authid/detail.uri?authorId=57210568300&amp;amp;eid=2-s2.0-85070895837" TargetMode="External"/><Relationship Id="rId773" Type="http://schemas.openxmlformats.org/officeDocument/2006/relationships/hyperlink" Target="https://orcid.org/0000-0002-1783-1471" TargetMode="External"/><Relationship Id="rId1122" Type="http://schemas.openxmlformats.org/officeDocument/2006/relationships/hyperlink" Target="https://www.scopus.com/authid/detail.uri?authorId=57217113510" TargetMode="External"/><Relationship Id="rId530" Type="http://schemas.openxmlformats.org/officeDocument/2006/relationships/hyperlink" Target="https://orcid.org/0000-0001-5224-2221" TargetMode="External"/><Relationship Id="rId772" Type="http://schemas.openxmlformats.org/officeDocument/2006/relationships/hyperlink" Target="https://www.scopus.com/authid/detail.uri?authorId=57209317643" TargetMode="External"/><Relationship Id="rId1123" Type="http://schemas.openxmlformats.org/officeDocument/2006/relationships/hyperlink" Target="https://orcid.org/0000-0002-5770-3677" TargetMode="External"/><Relationship Id="rId771" Type="http://schemas.openxmlformats.org/officeDocument/2006/relationships/hyperlink" Target="https://orcid.org/0000-0001-6851-5340" TargetMode="External"/><Relationship Id="rId1124" Type="http://schemas.openxmlformats.org/officeDocument/2006/relationships/hyperlink" Target="https://www.scopus.com/authid/detail.uri?authorId=57210344486" TargetMode="External"/><Relationship Id="rId1158" Type="http://schemas.openxmlformats.org/officeDocument/2006/relationships/hyperlink" Target="https://www.scopus.com/authid/detail.uri?authorId=57188703184" TargetMode="External"/><Relationship Id="rId1159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27" Type="http://schemas.openxmlformats.org/officeDocument/2006/relationships/hyperlink" Target="https://www.scopus.com/authid/detail.uri?authorId=6506769484" TargetMode="External"/><Relationship Id="rId569" Type="http://schemas.openxmlformats.org/officeDocument/2006/relationships/hyperlink" Target="https://orcid.org/0000-0002-2012-7477" TargetMode="External"/><Relationship Id="rId326" Type="http://schemas.openxmlformats.org/officeDocument/2006/relationships/hyperlink" Target="https://orcid.org/0000-0002-1612-0256" TargetMode="External"/><Relationship Id="rId568" Type="http://schemas.openxmlformats.org/officeDocument/2006/relationships/hyperlink" Target="https://www.scopus.com/authid/detail.uri?authorId=57192818805&amp;amp;eid=2-s2.0-85062839999" TargetMode="External"/><Relationship Id="rId325" Type="http://schemas.openxmlformats.org/officeDocument/2006/relationships/hyperlink" Target="https://www.scopus.com/authid/detail.uri?authorId=15728942500" TargetMode="External"/><Relationship Id="rId567" Type="http://schemas.openxmlformats.org/officeDocument/2006/relationships/hyperlink" Target="https://orcid.org/0000-0003-3645-7929" TargetMode="External"/><Relationship Id="rId324" Type="http://schemas.openxmlformats.org/officeDocument/2006/relationships/hyperlink" Target="https://orcid.org/0000-0002-7831-8479" TargetMode="External"/><Relationship Id="rId566" Type="http://schemas.openxmlformats.org/officeDocument/2006/relationships/hyperlink" Target="https://www.scopus.com/authid/detail.uri?authorId=57207767364&amp;amp;eid=2-s2.0-85062839999" TargetMode="External"/><Relationship Id="rId329" Type="http://schemas.openxmlformats.org/officeDocument/2006/relationships/hyperlink" Target="https://www.scopus.com/authid/detail.uri?authorId=7202049546" TargetMode="External"/><Relationship Id="rId328" Type="http://schemas.openxmlformats.org/officeDocument/2006/relationships/hyperlink" Target="https://orcid.org/0000-0003-3852-4582" TargetMode="External"/><Relationship Id="rId561" Type="http://schemas.openxmlformats.org/officeDocument/2006/relationships/hyperlink" Target="https://www.scopus.com/authid/detail.uri?authorId=57194033682" TargetMode="External"/><Relationship Id="rId1150" Type="http://schemas.openxmlformats.org/officeDocument/2006/relationships/hyperlink" Target="http://orcid.org/0000-0001-5245-3173" TargetMode="External"/><Relationship Id="rId560" Type="http://schemas.openxmlformats.org/officeDocument/2006/relationships/hyperlink" Target="https://orcid.org/0000-0003-4364-6349" TargetMode="External"/><Relationship Id="rId1151" Type="http://schemas.openxmlformats.org/officeDocument/2006/relationships/hyperlink" Target="https://www.scopus.com/authid/detail.uri?authorId=56440113300" TargetMode="External"/><Relationship Id="rId1152" Type="http://schemas.openxmlformats.org/officeDocument/2006/relationships/hyperlink" Target="https://orcid.org/0000-0001-7926-8437" TargetMode="External"/><Relationship Id="rId1153" Type="http://schemas.openxmlformats.org/officeDocument/2006/relationships/hyperlink" Target="https://www.scopus.com/authid/detail.uri?authorId=6507966386" TargetMode="External"/><Relationship Id="rId323" Type="http://schemas.openxmlformats.org/officeDocument/2006/relationships/hyperlink" Target="https://orcid.org/0000-0001-5902-2501" TargetMode="External"/><Relationship Id="rId565" Type="http://schemas.openxmlformats.org/officeDocument/2006/relationships/hyperlink" Target="https://orcid.org/0000-0002-7410-5409" TargetMode="External"/><Relationship Id="rId1154" Type="http://schemas.openxmlformats.org/officeDocument/2006/relationships/hyperlink" Target="https://orcid.org/0000-0002-8225-5407" TargetMode="External"/><Relationship Id="rId322" Type="http://schemas.openxmlformats.org/officeDocument/2006/relationships/hyperlink" Target="https://orcid.org/0000-0003-1764-039X" TargetMode="External"/><Relationship Id="rId564" Type="http://schemas.openxmlformats.org/officeDocument/2006/relationships/hyperlink" Target="https://www.scopus.com/authid/detail.uri?authorId=57210358838" TargetMode="External"/><Relationship Id="rId1155" Type="http://schemas.openxmlformats.org/officeDocument/2006/relationships/hyperlink" Target="https://www.scopus.com/authid/detail.uri?authorId=57210410019" TargetMode="External"/><Relationship Id="rId321" Type="http://schemas.openxmlformats.org/officeDocument/2006/relationships/hyperlink" Target="https://www.scopus.com/authid/detail.uri?authorId=8313137500" TargetMode="External"/><Relationship Id="rId563" Type="http://schemas.openxmlformats.org/officeDocument/2006/relationships/hyperlink" Target="https://orcid.org/0000-0003-1464-8644" TargetMode="External"/><Relationship Id="rId1156" Type="http://schemas.openxmlformats.org/officeDocument/2006/relationships/hyperlink" Target="https://www.scopus.com/authid/detail.uri?authorId=57210205871&amp;amp;eid=2-s2.0-85069927189" TargetMode="External"/><Relationship Id="rId320" Type="http://schemas.openxmlformats.org/officeDocument/2006/relationships/hyperlink" Target="https://orcid.org/0000-0003-4936-2785" TargetMode="External"/><Relationship Id="rId562" Type="http://schemas.openxmlformats.org/officeDocument/2006/relationships/hyperlink" Target="https://orcid.org/0000-0002-4276-1188" TargetMode="External"/><Relationship Id="rId1157" Type="http://schemas.openxmlformats.org/officeDocument/2006/relationships/hyperlink" Target="https://orcid.org/0000-0002-1073-023X" TargetMode="External"/><Relationship Id="rId1147" Type="http://schemas.openxmlformats.org/officeDocument/2006/relationships/hyperlink" Target="https://www.scopus.com/authid/detail.uri?authorId=9274594000" TargetMode="External"/><Relationship Id="rId1148" Type="http://schemas.openxmlformats.org/officeDocument/2006/relationships/hyperlink" Target="https://orcid.org/0000-0002-9200-3959" TargetMode="External"/><Relationship Id="rId1149" Type="http://schemas.openxmlformats.org/officeDocument/2006/relationships/hyperlink" Target="https://www.scopus.com/authid/detail.uri?authorId=56485954400" TargetMode="External"/><Relationship Id="rId316" Type="http://schemas.openxmlformats.org/officeDocument/2006/relationships/hyperlink" Target="https://orcid.org/0000-0002-3143-5280" TargetMode="External"/><Relationship Id="rId558" Type="http://schemas.openxmlformats.org/officeDocument/2006/relationships/hyperlink" Target="https://orcid.org/0000-0003-4545-6469" TargetMode="External"/><Relationship Id="rId315" Type="http://schemas.openxmlformats.org/officeDocument/2006/relationships/hyperlink" Target="https://orcid.org/0000-0003-0693-4122" TargetMode="External"/><Relationship Id="rId557" Type="http://schemas.openxmlformats.org/officeDocument/2006/relationships/hyperlink" Target="https://www.scopus.com/authid/detail.uri?authorId=57199329065" TargetMode="External"/><Relationship Id="rId799" Type="http://schemas.openxmlformats.org/officeDocument/2006/relationships/hyperlink" Target="https://orcid.org/0000-0001-8516-6584" TargetMode="External"/><Relationship Id="rId314" Type="http://schemas.openxmlformats.org/officeDocument/2006/relationships/hyperlink" Target="https://www.scopus.com/authid/detail.uri?authorId=56784340900" TargetMode="External"/><Relationship Id="rId556" Type="http://schemas.openxmlformats.org/officeDocument/2006/relationships/hyperlink" Target="https://orcid.org/0000-0002-1375-9337" TargetMode="External"/><Relationship Id="rId798" Type="http://schemas.openxmlformats.org/officeDocument/2006/relationships/hyperlink" Target="https://www.scopus.com/authid/detail.uri?authorId=27867781600" TargetMode="External"/><Relationship Id="rId313" Type="http://schemas.openxmlformats.org/officeDocument/2006/relationships/hyperlink" Target="http://orcid.org/0000-0002-6888-8953" TargetMode="External"/><Relationship Id="rId555" Type="http://schemas.openxmlformats.org/officeDocument/2006/relationships/hyperlink" Target="https://www.scopus.com/authid/detail.uri?authorId=16686992800" TargetMode="External"/><Relationship Id="rId797" Type="http://schemas.openxmlformats.org/officeDocument/2006/relationships/hyperlink" Target="http://orcid.org/0000-0002-6652-1840" TargetMode="External"/><Relationship Id="rId319" Type="http://schemas.openxmlformats.org/officeDocument/2006/relationships/hyperlink" Target="https://www.scopus.com/authid/detail.uri?authorId=57204184222" TargetMode="External"/><Relationship Id="rId318" Type="http://schemas.openxmlformats.org/officeDocument/2006/relationships/hyperlink" Target="https://www.scopus.com/authid/detail.uri?authorId=57216490102" TargetMode="External"/><Relationship Id="rId317" Type="http://schemas.openxmlformats.org/officeDocument/2006/relationships/hyperlink" Target="https://www.scopus.com/authid/detail.uri?authorId=24759544600" TargetMode="External"/><Relationship Id="rId559" Type="http://schemas.openxmlformats.org/officeDocument/2006/relationships/hyperlink" Target="https://www.scopus.com/authid/detail.uri?authorId=57194039729" TargetMode="External"/><Relationship Id="rId550" Type="http://schemas.openxmlformats.org/officeDocument/2006/relationships/hyperlink" Target="https://www.scopus.com/authid/detail.uri?authorId=57191953930" TargetMode="External"/><Relationship Id="rId792" Type="http://schemas.openxmlformats.org/officeDocument/2006/relationships/hyperlink" Target="https://www.scopus.com/authid/detail.uri?authorId=57189376280" TargetMode="External"/><Relationship Id="rId791" Type="http://schemas.openxmlformats.org/officeDocument/2006/relationships/hyperlink" Target="https://orcid.org/0000-0001-5782-1932" TargetMode="External"/><Relationship Id="rId1140" Type="http://schemas.openxmlformats.org/officeDocument/2006/relationships/hyperlink" Target="https://orcid.org/0000-0002-2426-900X" TargetMode="External"/><Relationship Id="rId790" Type="http://schemas.openxmlformats.org/officeDocument/2006/relationships/hyperlink" Target="https://www.scopus.com/authid/detail.uri?authorId=24484091300" TargetMode="External"/><Relationship Id="rId1141" Type="http://schemas.openxmlformats.org/officeDocument/2006/relationships/hyperlink" Target="https://www.scopus.com/authid/detail.uri?authorId=6602623478" TargetMode="External"/><Relationship Id="rId1142" Type="http://schemas.openxmlformats.org/officeDocument/2006/relationships/hyperlink" Target="https://orcid.org/0000-0001-8565-4473" TargetMode="External"/><Relationship Id="rId312" Type="http://schemas.openxmlformats.org/officeDocument/2006/relationships/hyperlink" Target="https://orcid.org/0000-0002-9045-3243" TargetMode="External"/><Relationship Id="rId554" Type="http://schemas.openxmlformats.org/officeDocument/2006/relationships/hyperlink" Target="https://orcid.org/0000-0002-8126-9997" TargetMode="External"/><Relationship Id="rId796" Type="http://schemas.openxmlformats.org/officeDocument/2006/relationships/hyperlink" Target="https://www.scopus.com/authid/detail.uri?authorId=6602413184" TargetMode="External"/><Relationship Id="rId1143" Type="http://schemas.openxmlformats.org/officeDocument/2006/relationships/hyperlink" Target="https://www.scopus.com/authid/detail.uri?authorId=57216335450" TargetMode="External"/><Relationship Id="rId311" Type="http://schemas.openxmlformats.org/officeDocument/2006/relationships/hyperlink" Target="https://www.scopus.com/authid/detail.uri?authorId=57202212660" TargetMode="External"/><Relationship Id="rId553" Type="http://schemas.openxmlformats.org/officeDocument/2006/relationships/hyperlink" Target="https://orcid.org/0000-0003-3715-3476" TargetMode="External"/><Relationship Id="rId795" Type="http://schemas.openxmlformats.org/officeDocument/2006/relationships/hyperlink" Target="https://orcid.org/0000-0002-9773-7695" TargetMode="External"/><Relationship Id="rId1144" Type="http://schemas.openxmlformats.org/officeDocument/2006/relationships/hyperlink" Target="https://orcid.org/0000-0002-3051-0488" TargetMode="External"/><Relationship Id="rId310" Type="http://schemas.openxmlformats.org/officeDocument/2006/relationships/hyperlink" Target="https://orcid.org/0000-0002-2154-4766" TargetMode="External"/><Relationship Id="rId552" Type="http://schemas.openxmlformats.org/officeDocument/2006/relationships/hyperlink" Target="https://www.scopus.com/authid/detail.uri?authorId=6507659355" TargetMode="External"/><Relationship Id="rId794" Type="http://schemas.openxmlformats.org/officeDocument/2006/relationships/hyperlink" Target="https://www.scopus.com/authid/detail.uri?authorId=24461662400" TargetMode="External"/><Relationship Id="rId1145" Type="http://schemas.openxmlformats.org/officeDocument/2006/relationships/hyperlink" Target="https://www.scopus.com/authid/detail.uri?authorId=57195590211" TargetMode="External"/><Relationship Id="rId551" Type="http://schemas.openxmlformats.org/officeDocument/2006/relationships/hyperlink" Target="https://orcid.org/0000-0002-3216-1330" TargetMode="External"/><Relationship Id="rId793" Type="http://schemas.openxmlformats.org/officeDocument/2006/relationships/hyperlink" Target="https://orcid.org/0000-0001-7426-3805" TargetMode="External"/><Relationship Id="rId1146" Type="http://schemas.openxmlformats.org/officeDocument/2006/relationships/hyperlink" Target="https://orcid.org/0000-0002-5612-3080" TargetMode="External"/><Relationship Id="rId297" Type="http://schemas.openxmlformats.org/officeDocument/2006/relationships/hyperlink" Target="https://orcid.org/0000-0001-5362-6558" TargetMode="External"/><Relationship Id="rId296" Type="http://schemas.openxmlformats.org/officeDocument/2006/relationships/hyperlink" Target="https://orcid.org/0000-0002-6061-6830" TargetMode="External"/><Relationship Id="rId295" Type="http://schemas.openxmlformats.org/officeDocument/2006/relationships/hyperlink" Target="http://orcid.org/0000-0002-5242-0096" TargetMode="External"/><Relationship Id="rId294" Type="http://schemas.openxmlformats.org/officeDocument/2006/relationships/hyperlink" Target="https://www.scopus.com/authid/detail.uri?authorId=56979094000" TargetMode="External"/><Relationship Id="rId299" Type="http://schemas.openxmlformats.org/officeDocument/2006/relationships/hyperlink" Target="https://www.scopus.com/authid/detail.uri?authorId=56825892200" TargetMode="External"/><Relationship Id="rId298" Type="http://schemas.openxmlformats.org/officeDocument/2006/relationships/hyperlink" Target="https://orcid.org/0000-0003-3721-8188" TargetMode="External"/><Relationship Id="rId271" Type="http://schemas.openxmlformats.org/officeDocument/2006/relationships/hyperlink" Target="https://orcid.org/0000-0001-5777-8014" TargetMode="External"/><Relationship Id="rId270" Type="http://schemas.openxmlformats.org/officeDocument/2006/relationships/hyperlink" Target="https://www.scopus.com/authid/detail.uri?authorId=57196287026&amp;eid=2-s2.0-85032572683" TargetMode="External"/><Relationship Id="rId269" Type="http://schemas.openxmlformats.org/officeDocument/2006/relationships/hyperlink" Target="https://orcid.org/0000-0002-2438-0904" TargetMode="External"/><Relationship Id="rId264" Type="http://schemas.openxmlformats.org/officeDocument/2006/relationships/hyperlink" Target="https://orcid.org/0000-0001-8910-2609" TargetMode="External"/><Relationship Id="rId263" Type="http://schemas.openxmlformats.org/officeDocument/2006/relationships/hyperlink" Target="https://www.scopus.com/authid/detail.uri?authorId=57205547513&amp;amp;eid=2-s2.0-85060482029" TargetMode="External"/><Relationship Id="rId262" Type="http://schemas.openxmlformats.org/officeDocument/2006/relationships/hyperlink" Target="https://orcid.org/0000-0002-5555-8429" TargetMode="External"/><Relationship Id="rId261" Type="http://schemas.openxmlformats.org/officeDocument/2006/relationships/hyperlink" Target="https://www.scopus.com/authid/detail.uri?authorId=6603636403" TargetMode="External"/><Relationship Id="rId268" Type="http://schemas.openxmlformats.org/officeDocument/2006/relationships/hyperlink" Target="https://www.scopus.com/authid/detail.uri?authorId=7004105880" TargetMode="External"/><Relationship Id="rId267" Type="http://schemas.openxmlformats.org/officeDocument/2006/relationships/hyperlink" Target="https://www.scopus.com/authid/detail.uri?authorId=55183924600" TargetMode="External"/><Relationship Id="rId266" Type="http://schemas.openxmlformats.org/officeDocument/2006/relationships/hyperlink" Target="https://orcid.org/0000-0002-7057-2982" TargetMode="External"/><Relationship Id="rId265" Type="http://schemas.openxmlformats.org/officeDocument/2006/relationships/hyperlink" Target="https://www.scopus.com/authid/detail.uri?origin=AuthorProfile&amp;authorId=57207768136" TargetMode="External"/><Relationship Id="rId260" Type="http://schemas.openxmlformats.org/officeDocument/2006/relationships/hyperlink" Target="https://orcid.org/0000-0003-2208-1166" TargetMode="External"/><Relationship Id="rId259" Type="http://schemas.openxmlformats.org/officeDocument/2006/relationships/hyperlink" Target="https://orcid.org/0000-0003-1825-399X" TargetMode="External"/><Relationship Id="rId258" Type="http://schemas.openxmlformats.org/officeDocument/2006/relationships/hyperlink" Target="https://orcid.org/0000-0003-1036-5436" TargetMode="External"/><Relationship Id="rId253" Type="http://schemas.openxmlformats.org/officeDocument/2006/relationships/hyperlink" Target="https://orcid.org/0000-0001-6747-9130" TargetMode="External"/><Relationship Id="rId495" Type="http://schemas.openxmlformats.org/officeDocument/2006/relationships/hyperlink" Target="https://orcid.org/0000-0002-4326-1601" TargetMode="External"/><Relationship Id="rId252" Type="http://schemas.openxmlformats.org/officeDocument/2006/relationships/hyperlink" Target="https://www.scopus.com/authid/detail.uri?authorId=56940612600" TargetMode="External"/><Relationship Id="rId494" Type="http://schemas.openxmlformats.org/officeDocument/2006/relationships/hyperlink" Target="https://orcid.org/0000-0002-4504-4301" TargetMode="External"/><Relationship Id="rId251" Type="http://schemas.openxmlformats.org/officeDocument/2006/relationships/hyperlink" Target="https://orcid.org/0000-0002-3279-3135" TargetMode="External"/><Relationship Id="rId493" Type="http://schemas.openxmlformats.org/officeDocument/2006/relationships/hyperlink" Target="https://www.scopus.com/authid/detail.uri?authorId=57057781300" TargetMode="External"/><Relationship Id="rId250" Type="http://schemas.openxmlformats.org/officeDocument/2006/relationships/hyperlink" Target="https://www.scopus.com/authid/detail.uri?authorId=56652460600" TargetMode="External"/><Relationship Id="rId492" Type="http://schemas.openxmlformats.org/officeDocument/2006/relationships/hyperlink" Target="https://orcid.org/0000-0002-2862-438X" TargetMode="External"/><Relationship Id="rId257" Type="http://schemas.openxmlformats.org/officeDocument/2006/relationships/hyperlink" Target="https://www.scopus.com/authid/detail.uri?authorId=57193449011" TargetMode="External"/><Relationship Id="rId499" Type="http://schemas.openxmlformats.org/officeDocument/2006/relationships/hyperlink" Target="https://www.scopus.com/authid/detail.uri?authorId=57201779203" TargetMode="External"/><Relationship Id="rId256" Type="http://schemas.openxmlformats.org/officeDocument/2006/relationships/hyperlink" Target="https://orcid.org/0000-0002-9931-9964" TargetMode="External"/><Relationship Id="rId498" Type="http://schemas.openxmlformats.org/officeDocument/2006/relationships/hyperlink" Target="https://www.scopus.com/authid/detail.uri?authorId=57188749876" TargetMode="External"/><Relationship Id="rId255" Type="http://schemas.openxmlformats.org/officeDocument/2006/relationships/hyperlink" Target="https://orcid.org/0000-0001-8855-7556" TargetMode="External"/><Relationship Id="rId497" Type="http://schemas.openxmlformats.org/officeDocument/2006/relationships/hyperlink" Target="https://orcid.org/0000-0003-4906-4323" TargetMode="External"/><Relationship Id="rId254" Type="http://schemas.openxmlformats.org/officeDocument/2006/relationships/hyperlink" Target="https://www.scopus.com/authid/detail.uri?authorId=57199330199" TargetMode="External"/><Relationship Id="rId496" Type="http://schemas.openxmlformats.org/officeDocument/2006/relationships/hyperlink" Target="https://www.scopus.com/authid/detail.uri?authorId=57194415994&amp;amp;eid=2-s2.0-85020027868" TargetMode="External"/><Relationship Id="rId293" Type="http://schemas.openxmlformats.org/officeDocument/2006/relationships/hyperlink" Target="https://orcid.org/0000-0002-8528-6428" TargetMode="External"/><Relationship Id="rId292" Type="http://schemas.openxmlformats.org/officeDocument/2006/relationships/hyperlink" Target="https://orcid.org/0000-0003-1164-9510" TargetMode="External"/><Relationship Id="rId291" Type="http://schemas.openxmlformats.org/officeDocument/2006/relationships/hyperlink" Target="https://www.scopus.com/authid/detail.uri?authorId=57190568855" TargetMode="External"/><Relationship Id="rId290" Type="http://schemas.openxmlformats.org/officeDocument/2006/relationships/hyperlink" Target="https://orcid.org/0000-0002-2590-7085" TargetMode="External"/><Relationship Id="rId286" Type="http://schemas.openxmlformats.org/officeDocument/2006/relationships/hyperlink" Target="https://orcid.org/0000-0002-7391-3068" TargetMode="External"/><Relationship Id="rId285" Type="http://schemas.openxmlformats.org/officeDocument/2006/relationships/hyperlink" Target="https://www.scopus.com/authid/detail.uri?authorId=57207260441" TargetMode="External"/><Relationship Id="rId284" Type="http://schemas.openxmlformats.org/officeDocument/2006/relationships/hyperlink" Target="http://orcid.org/0000-0003-2725-8784" TargetMode="External"/><Relationship Id="rId283" Type="http://schemas.openxmlformats.org/officeDocument/2006/relationships/hyperlink" Target="https://www.scopus.com/authid/detail.uri?authorId=57207766737" TargetMode="External"/><Relationship Id="rId289" Type="http://schemas.openxmlformats.org/officeDocument/2006/relationships/hyperlink" Target="https://www.scopus.com/authid/detail.uri?authorId=57163424300" TargetMode="External"/><Relationship Id="rId288" Type="http://schemas.openxmlformats.org/officeDocument/2006/relationships/hyperlink" Target="https://orcid.org/0000-0002-6703-5166" TargetMode="External"/><Relationship Id="rId287" Type="http://schemas.openxmlformats.org/officeDocument/2006/relationships/hyperlink" Target="https://www.scopus.com/authid/detail.uri?authorId=57188752496" TargetMode="External"/><Relationship Id="rId282" Type="http://schemas.openxmlformats.org/officeDocument/2006/relationships/hyperlink" Target="https://orcid.org/0000-0002-5106-5846" TargetMode="External"/><Relationship Id="rId281" Type="http://schemas.openxmlformats.org/officeDocument/2006/relationships/hyperlink" Target="https://www.scopus.com/authid/detail.uri?authorId=56964213400" TargetMode="External"/><Relationship Id="rId280" Type="http://schemas.openxmlformats.org/officeDocument/2006/relationships/hyperlink" Target="https://www.scopus.com/authid/detail.uri?authorId=6506991522" TargetMode="External"/><Relationship Id="rId275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274" Type="http://schemas.openxmlformats.org/officeDocument/2006/relationships/hyperlink" Target="http://orcid.org/0000-0002-6246-042X" TargetMode="External"/><Relationship Id="rId273" Type="http://schemas.openxmlformats.org/officeDocument/2006/relationships/hyperlink" Target="https://orcid.org/0000-0002-0364-988X" TargetMode="External"/><Relationship Id="rId272" Type="http://schemas.openxmlformats.org/officeDocument/2006/relationships/hyperlink" Target="https://www.scopus.com/authid/detail.uri?authorId=9636886100" TargetMode="External"/><Relationship Id="rId279" Type="http://schemas.openxmlformats.org/officeDocument/2006/relationships/hyperlink" Target="https://orcid.org/0000-0001-5728-9253" TargetMode="External"/><Relationship Id="rId278" Type="http://schemas.openxmlformats.org/officeDocument/2006/relationships/hyperlink" Target="https://orcid.org/0000-0001-8390-1098" TargetMode="External"/><Relationship Id="rId277" Type="http://schemas.openxmlformats.org/officeDocument/2006/relationships/hyperlink" Target="https://orcid.org/0000-0002-9848-8360" TargetMode="External"/><Relationship Id="rId276" Type="http://schemas.openxmlformats.org/officeDocument/2006/relationships/hyperlink" Target="https://www.scopus.com/authid/detail.uri?authorId=7102624682" TargetMode="External"/><Relationship Id="rId907" Type="http://schemas.openxmlformats.org/officeDocument/2006/relationships/hyperlink" Target="http://orcid.org/0000-0002-6316-7102" TargetMode="External"/><Relationship Id="rId906" Type="http://schemas.openxmlformats.org/officeDocument/2006/relationships/hyperlink" Target="https://www.scopus.com/authid/detail.uri?authorId=24759512700" TargetMode="External"/><Relationship Id="rId905" Type="http://schemas.openxmlformats.org/officeDocument/2006/relationships/hyperlink" Target="https://orcid.org/0000-0002-5239-5695" TargetMode="External"/><Relationship Id="rId904" Type="http://schemas.openxmlformats.org/officeDocument/2006/relationships/hyperlink" Target="https://www.scopus.com/authid/detail.uri?authorId=55816409100" TargetMode="External"/><Relationship Id="rId909" Type="http://schemas.openxmlformats.org/officeDocument/2006/relationships/hyperlink" Target="https://orcid.org/0000-0001-8106-1523" TargetMode="External"/><Relationship Id="rId908" Type="http://schemas.openxmlformats.org/officeDocument/2006/relationships/hyperlink" Target="https://www.scopus.com/authid/detail.uri?authorId=57207588760" TargetMode="External"/><Relationship Id="rId903" Type="http://schemas.openxmlformats.org/officeDocument/2006/relationships/hyperlink" Target="http://orcid.org/0000-0003-1355-7978" TargetMode="External"/><Relationship Id="rId902" Type="http://schemas.openxmlformats.org/officeDocument/2006/relationships/hyperlink" Target="https://orcid.org/0000-0003-1869-9537" TargetMode="External"/><Relationship Id="rId901" Type="http://schemas.openxmlformats.org/officeDocument/2006/relationships/hyperlink" Target="https://www.scopus.com/authid/detail.uri?authorId=24527617600" TargetMode="External"/><Relationship Id="rId900" Type="http://schemas.openxmlformats.org/officeDocument/2006/relationships/hyperlink" Target="http://orcid.org/0000-0002-5791-2479" TargetMode="External"/><Relationship Id="rId929" Type="http://schemas.openxmlformats.org/officeDocument/2006/relationships/hyperlink" Target="https://www.scopus.com/authid/detail.uri?authorId=57205541384" TargetMode="External"/><Relationship Id="rId928" Type="http://schemas.openxmlformats.org/officeDocument/2006/relationships/hyperlink" Target="http://orcid.org/0000-0003-1674-9350" TargetMode="External"/><Relationship Id="rId927" Type="http://schemas.openxmlformats.org/officeDocument/2006/relationships/hyperlink" Target="https://www.scopus.com/authid/detail.uri?authorId=56728175800" TargetMode="External"/><Relationship Id="rId926" Type="http://schemas.openxmlformats.org/officeDocument/2006/relationships/hyperlink" Target="https://orcid.org/0000-0002-7609-2955" TargetMode="External"/><Relationship Id="rId921" Type="http://schemas.openxmlformats.org/officeDocument/2006/relationships/hyperlink" Target="https://orcid.org/0000-0002-8579-6276" TargetMode="External"/><Relationship Id="rId920" Type="http://schemas.openxmlformats.org/officeDocument/2006/relationships/hyperlink" Target="https://orcid.org/0000-0001-7856-5771" TargetMode="External"/><Relationship Id="rId925" Type="http://schemas.openxmlformats.org/officeDocument/2006/relationships/hyperlink" Target="https://www.scopus.com/authid/detail.uri?authorId=55263234200" TargetMode="External"/><Relationship Id="rId924" Type="http://schemas.openxmlformats.org/officeDocument/2006/relationships/hyperlink" Target="https://orcid.org/0000-0001-6470-0717" TargetMode="External"/><Relationship Id="rId923" Type="http://schemas.openxmlformats.org/officeDocument/2006/relationships/hyperlink" Target="https://www.scopus.com/authid/detail.uri?origin=AuthorProfile&amp;authorId=57191968506&amp;zone=" TargetMode="External"/><Relationship Id="rId922" Type="http://schemas.openxmlformats.org/officeDocument/2006/relationships/hyperlink" Target="https://orcid.org/0000-0003-4530-0253" TargetMode="External"/><Relationship Id="rId918" Type="http://schemas.openxmlformats.org/officeDocument/2006/relationships/hyperlink" Target="https://orcid.org/0000-0003-3196-6855" TargetMode="External"/><Relationship Id="rId917" Type="http://schemas.openxmlformats.org/officeDocument/2006/relationships/hyperlink" Target="https://www.scopus.com/authid/detail.uri?authorId=16403395000" TargetMode="External"/><Relationship Id="rId916" Type="http://schemas.openxmlformats.org/officeDocument/2006/relationships/hyperlink" Target="http://orcid.org/0000-0002-6952-6380" TargetMode="External"/><Relationship Id="rId915" Type="http://schemas.openxmlformats.org/officeDocument/2006/relationships/hyperlink" Target="https://www.scopus.com/authid/detail.uri?authorId=57193453410" TargetMode="External"/><Relationship Id="rId919" Type="http://schemas.openxmlformats.org/officeDocument/2006/relationships/hyperlink" Target="http://orcid.org/0000-0002-3229-1442" TargetMode="External"/><Relationship Id="rId910" Type="http://schemas.openxmlformats.org/officeDocument/2006/relationships/hyperlink" Target="https://www.scopus.com/authid/detail.uri?authorId=57211228551" TargetMode="External"/><Relationship Id="rId914" Type="http://schemas.openxmlformats.org/officeDocument/2006/relationships/hyperlink" Target="https://orcid.org/0000-0002-6035-2388" TargetMode="External"/><Relationship Id="rId913" Type="http://schemas.openxmlformats.org/officeDocument/2006/relationships/hyperlink" Target="https://www.scopus.com/authid/detail.uri?authorId=55574520100" TargetMode="External"/><Relationship Id="rId912" Type="http://schemas.openxmlformats.org/officeDocument/2006/relationships/hyperlink" Target="https://orcid.org/0000-0002-2095-7331" TargetMode="External"/><Relationship Id="rId911" Type="http://schemas.openxmlformats.org/officeDocument/2006/relationships/hyperlink" Target="https://orcid.org/0000-0002-5852-7214" TargetMode="External"/><Relationship Id="rId1213" Type="http://schemas.openxmlformats.org/officeDocument/2006/relationships/hyperlink" Target="https://www.scopus.com/authid/detail.uri?authorId=56439217100" TargetMode="External"/><Relationship Id="rId1214" Type="http://schemas.openxmlformats.org/officeDocument/2006/relationships/hyperlink" Target="https://www.scopus.com/authid/detail.uri?authorId=57193611042" TargetMode="External"/><Relationship Id="rId1215" Type="http://schemas.openxmlformats.org/officeDocument/2006/relationships/hyperlink" Target="https://www.scopus.com/authid/detail.uri?authorId=57191573314" TargetMode="External"/><Relationship Id="rId1216" Type="http://schemas.openxmlformats.org/officeDocument/2006/relationships/hyperlink" Target="https://www.scopus.com/authid/detail.uri?authorId=57217115734" TargetMode="External"/><Relationship Id="rId1217" Type="http://schemas.openxmlformats.org/officeDocument/2006/relationships/hyperlink" Target="https://www.scopus.com/authid/detail.uri?authorId=57225020433" TargetMode="External"/><Relationship Id="rId1218" Type="http://schemas.openxmlformats.org/officeDocument/2006/relationships/hyperlink" Target="https://www.scopus.com/authid/detail.uri?authorId=6602890228" TargetMode="External"/><Relationship Id="rId1219" Type="http://schemas.openxmlformats.org/officeDocument/2006/relationships/hyperlink" Target="https://www.scopus.com/authid/detail.uri?authorId=16304074400" TargetMode="External"/><Relationship Id="rId629" Type="http://schemas.openxmlformats.org/officeDocument/2006/relationships/hyperlink" Target="https://www.scopus.com/authid/detail.uri?authorId=57188758923" TargetMode="External"/><Relationship Id="rId624" Type="http://schemas.openxmlformats.org/officeDocument/2006/relationships/hyperlink" Target="https://www.scopus.com/authid/detail.uri?authorId=57201729490" TargetMode="External"/><Relationship Id="rId866" Type="http://schemas.openxmlformats.org/officeDocument/2006/relationships/hyperlink" Target="https://orcid.org/0000-0002-9628-1163" TargetMode="External"/><Relationship Id="rId623" Type="http://schemas.openxmlformats.org/officeDocument/2006/relationships/hyperlink" Target="https://orcid.org/0000-0002-1412-2696" TargetMode="External"/><Relationship Id="rId865" Type="http://schemas.openxmlformats.org/officeDocument/2006/relationships/hyperlink" Target="https://www.scopus.com/authid/detail.uri?authorId=57191737209" TargetMode="External"/><Relationship Id="rId622" Type="http://schemas.openxmlformats.org/officeDocument/2006/relationships/hyperlink" Target="https://www.scopus.com/authid/detail.uri?authorId=56866413200" TargetMode="External"/><Relationship Id="rId864" Type="http://schemas.openxmlformats.org/officeDocument/2006/relationships/hyperlink" Target="https://orcid.org/0000-0003-1002-0761" TargetMode="External"/><Relationship Id="rId621" Type="http://schemas.openxmlformats.org/officeDocument/2006/relationships/hyperlink" Target="https://orcid.org/0000-0002-1352-700X" TargetMode="External"/><Relationship Id="rId863" Type="http://schemas.openxmlformats.org/officeDocument/2006/relationships/hyperlink" Target="https://www.scopus.com/authid/detail.uri?authorId=20434500500" TargetMode="External"/><Relationship Id="rId628" Type="http://schemas.openxmlformats.org/officeDocument/2006/relationships/hyperlink" Target="https://orcid.org/0000-0003-1726-1250" TargetMode="External"/><Relationship Id="rId627" Type="http://schemas.openxmlformats.org/officeDocument/2006/relationships/hyperlink" Target="https://orcid.org/0000-0001-5317-1813" TargetMode="External"/><Relationship Id="rId869" Type="http://schemas.openxmlformats.org/officeDocument/2006/relationships/hyperlink" Target="https://orcid.org/0000-0001-8962-2452" TargetMode="External"/><Relationship Id="rId626" Type="http://schemas.openxmlformats.org/officeDocument/2006/relationships/hyperlink" Target="https://www.scopus.com/authid/detail.uri?authorId=57209097471" TargetMode="External"/><Relationship Id="rId868" Type="http://schemas.openxmlformats.org/officeDocument/2006/relationships/hyperlink" Target="https://www.scopus.com/authid/detail.uri?authorId=25929592700" TargetMode="External"/><Relationship Id="rId625" Type="http://schemas.openxmlformats.org/officeDocument/2006/relationships/hyperlink" Target="https://orcid.org/0000-0002-7082-4115" TargetMode="External"/><Relationship Id="rId867" Type="http://schemas.openxmlformats.org/officeDocument/2006/relationships/hyperlink" Target="https://orcid.org/0000-0001-8969-2143" TargetMode="External"/><Relationship Id="rId620" Type="http://schemas.openxmlformats.org/officeDocument/2006/relationships/hyperlink" Target="https://www.scopus.com/authid/detail.uri?authorId=55226675100" TargetMode="External"/><Relationship Id="rId862" Type="http://schemas.openxmlformats.org/officeDocument/2006/relationships/hyperlink" Target="https://www.scopus.com/authid/detail.uri?authorId=15519673800" TargetMode="External"/><Relationship Id="rId861" Type="http://schemas.openxmlformats.org/officeDocument/2006/relationships/hyperlink" Target="https://orcid.org/0000-0002-9396-7434" TargetMode="External"/><Relationship Id="rId1210" Type="http://schemas.openxmlformats.org/officeDocument/2006/relationships/hyperlink" Target="https://www.scopus.com/authid/detail.uri?authorId=57204557798" TargetMode="External"/><Relationship Id="rId860" Type="http://schemas.openxmlformats.org/officeDocument/2006/relationships/hyperlink" Target="https://orcid.org/0000-0003-0128-5848" TargetMode="External"/><Relationship Id="rId1211" Type="http://schemas.openxmlformats.org/officeDocument/2006/relationships/hyperlink" Target="https://www.scopus.com/authid/detail.uri?authorId=57217114486" TargetMode="External"/><Relationship Id="rId1212" Type="http://schemas.openxmlformats.org/officeDocument/2006/relationships/hyperlink" Target="https://www.scopus.com/authid/detail.uri?authorId=57201726253" TargetMode="External"/><Relationship Id="rId1202" Type="http://schemas.openxmlformats.org/officeDocument/2006/relationships/hyperlink" Target="https://www.scopus.com/authid/detail.uri?authorId=57202231147" TargetMode="External"/><Relationship Id="rId1203" Type="http://schemas.openxmlformats.org/officeDocument/2006/relationships/hyperlink" Target="https://www.scopus.com/authid/detail.uri?origin=resultslist&amp;authorId=55208752700&amp;zone=" TargetMode="External"/><Relationship Id="rId1204" Type="http://schemas.openxmlformats.org/officeDocument/2006/relationships/hyperlink" Target="https://www.scopus.com/authid/detail.uri?authorId=57202957182" TargetMode="External"/><Relationship Id="rId1205" Type="http://schemas.openxmlformats.org/officeDocument/2006/relationships/hyperlink" Target="https://www.scopus.com/authid/detail.uri?authorId=57202418877" TargetMode="External"/><Relationship Id="rId1206" Type="http://schemas.openxmlformats.org/officeDocument/2006/relationships/hyperlink" Target="https://www.scopus.com/authid/detail.uri?authorId=57215835371" TargetMode="External"/><Relationship Id="rId1207" Type="http://schemas.openxmlformats.org/officeDocument/2006/relationships/hyperlink" Target="https://www.scopus.com/authid/detail.uri?authorId=57207757448" TargetMode="External"/><Relationship Id="rId1208" Type="http://schemas.openxmlformats.org/officeDocument/2006/relationships/hyperlink" Target="https://www.scopus.com/authid/detail.uri?authorId=57212031694" TargetMode="External"/><Relationship Id="rId1209" Type="http://schemas.openxmlformats.org/officeDocument/2006/relationships/hyperlink" Target="https://www.scopus.com/authid/detail.uri?authorId=57217113461" TargetMode="External"/><Relationship Id="rId619" Type="http://schemas.openxmlformats.org/officeDocument/2006/relationships/hyperlink" Target="https://orcid.org/0000-0003-0563-9076" TargetMode="External"/><Relationship Id="rId618" Type="http://schemas.openxmlformats.org/officeDocument/2006/relationships/hyperlink" Target="https://www.scopus.com/authid/detail.uri?authorId=57203885630&amp;amp;eid=2-s2.0-85053395927" TargetMode="External"/><Relationship Id="rId613" Type="http://schemas.openxmlformats.org/officeDocument/2006/relationships/hyperlink" Target="https://orcid.org/0000-0002-9940-8553" TargetMode="External"/><Relationship Id="rId855" Type="http://schemas.openxmlformats.org/officeDocument/2006/relationships/hyperlink" Target="https://www.scopus.com/authid/detail.uri?authorId=9637928200" TargetMode="External"/><Relationship Id="rId612" Type="http://schemas.openxmlformats.org/officeDocument/2006/relationships/hyperlink" Target="https://www.scopus.com/authid/detail.uri?authorId=6506562747" TargetMode="External"/><Relationship Id="rId854" Type="http://schemas.openxmlformats.org/officeDocument/2006/relationships/hyperlink" Target="https://orcid.org/0000-0003-1275-6481" TargetMode="External"/><Relationship Id="rId611" Type="http://schemas.openxmlformats.org/officeDocument/2006/relationships/hyperlink" Target="http://orcid.org/0000-0002-5977-3177" TargetMode="External"/><Relationship Id="rId853" Type="http://schemas.openxmlformats.org/officeDocument/2006/relationships/hyperlink" Target="http://orcid.org/0000-0003-2041-1942" TargetMode="External"/><Relationship Id="rId610" Type="http://schemas.openxmlformats.org/officeDocument/2006/relationships/hyperlink" Target="https://www.scopus.com/authid/detail.uri?authorId=36089205300" TargetMode="External"/><Relationship Id="rId852" Type="http://schemas.openxmlformats.org/officeDocument/2006/relationships/hyperlink" Target="https://orcid.org/0000-0002-4788-4144" TargetMode="External"/><Relationship Id="rId617" Type="http://schemas.openxmlformats.org/officeDocument/2006/relationships/hyperlink" Target="https://orcid.org/0000-0002-5334-1808" TargetMode="External"/><Relationship Id="rId859" Type="http://schemas.openxmlformats.org/officeDocument/2006/relationships/hyperlink" Target="https://www.scopus.com/authid/detail.uri?authorId=9633922200" TargetMode="External"/><Relationship Id="rId616" Type="http://schemas.openxmlformats.org/officeDocument/2006/relationships/hyperlink" Target="https://www.scopus.com/authid/detail.uri?authorId=57192542611" TargetMode="External"/><Relationship Id="rId858" Type="http://schemas.openxmlformats.org/officeDocument/2006/relationships/hyperlink" Target="https://www.scopus.com/authid/detail.uri?authorId=57203148553" TargetMode="External"/><Relationship Id="rId615" Type="http://schemas.openxmlformats.org/officeDocument/2006/relationships/hyperlink" Target="https://orcid.org/0000-0001-9877-4298" TargetMode="External"/><Relationship Id="rId857" Type="http://schemas.openxmlformats.org/officeDocument/2006/relationships/hyperlink" Target="https://www.scopus.com/authid/detail.uri?authorId=23974032700" TargetMode="External"/><Relationship Id="rId614" Type="http://schemas.openxmlformats.org/officeDocument/2006/relationships/hyperlink" Target="https://www.scopus.com/authid/detail.uri?authorId=57208083453" TargetMode="External"/><Relationship Id="rId856" Type="http://schemas.openxmlformats.org/officeDocument/2006/relationships/hyperlink" Target="http://orcid.org/0000-0002-4635-6542" TargetMode="External"/><Relationship Id="rId851" Type="http://schemas.openxmlformats.org/officeDocument/2006/relationships/hyperlink" Target="https://www.scopus.com/authid/detail.uri?authorId=15770281300" TargetMode="External"/><Relationship Id="rId850" Type="http://schemas.openxmlformats.org/officeDocument/2006/relationships/hyperlink" Target="http://orcid.org/0000-0002-7178-3028" TargetMode="External"/><Relationship Id="rId1200" Type="http://schemas.openxmlformats.org/officeDocument/2006/relationships/hyperlink" Target="https://www.scopus.com/authid/detail.uri?authorId=57219532386" TargetMode="External"/><Relationship Id="rId1201" Type="http://schemas.openxmlformats.org/officeDocument/2006/relationships/hyperlink" Target="https://www.scopus.com/authid/detail.uri?origin=resultslist&amp;authorId=57219538448&amp;zone=" TargetMode="External"/><Relationship Id="rId1235" Type="http://schemas.openxmlformats.org/officeDocument/2006/relationships/hyperlink" Target="https://www.scopus.com/authid/detail.uri?authorId=57260210400" TargetMode="External"/><Relationship Id="rId1236" Type="http://schemas.openxmlformats.org/officeDocument/2006/relationships/hyperlink" Target="https://www.scopus.com/authid/detail.uri?authorId=24479847300" TargetMode="External"/><Relationship Id="rId1237" Type="http://schemas.openxmlformats.org/officeDocument/2006/relationships/hyperlink" Target="https://www.scopus.com/authid/detail.uri?authorId=57201779205" TargetMode="External"/><Relationship Id="rId1238" Type="http://schemas.openxmlformats.org/officeDocument/2006/relationships/hyperlink" Target="https://www.scopus.com/authid/detail.uri?authorId=57189324397" TargetMode="External"/><Relationship Id="rId1239" Type="http://schemas.openxmlformats.org/officeDocument/2006/relationships/hyperlink" Target="https://www.scopus.com/authid/detail.uri?authorId=57222750603" TargetMode="External"/><Relationship Id="rId409" Type="http://schemas.openxmlformats.org/officeDocument/2006/relationships/hyperlink" Target="https://orcid.org/0000-0001-5782-5124" TargetMode="External"/><Relationship Id="rId404" Type="http://schemas.openxmlformats.org/officeDocument/2006/relationships/hyperlink" Target="https://orcid.org/0000-0003-2882-5082" TargetMode="External"/><Relationship Id="rId646" Type="http://schemas.openxmlformats.org/officeDocument/2006/relationships/hyperlink" Target="https://orcid.org/0000-0001-6150-5924" TargetMode="External"/><Relationship Id="rId888" Type="http://schemas.openxmlformats.org/officeDocument/2006/relationships/hyperlink" Target="https://www.scopus.com/authid/detail.uri?authorId=16647283500" TargetMode="External"/><Relationship Id="rId403" Type="http://schemas.openxmlformats.org/officeDocument/2006/relationships/hyperlink" Target="https://www.scopus.com/authid/detail.uri?authorId=56423229200" TargetMode="External"/><Relationship Id="rId645" Type="http://schemas.openxmlformats.org/officeDocument/2006/relationships/hyperlink" Target="https://orcid.org/0000-0001-5259-1111" TargetMode="External"/><Relationship Id="rId887" Type="http://schemas.openxmlformats.org/officeDocument/2006/relationships/hyperlink" Target="https://orcid.org/0000-0002-0651-557X" TargetMode="External"/><Relationship Id="rId402" Type="http://schemas.openxmlformats.org/officeDocument/2006/relationships/hyperlink" Target="https://orcid.org/0000-0002-2817-9036" TargetMode="External"/><Relationship Id="rId644" Type="http://schemas.openxmlformats.org/officeDocument/2006/relationships/hyperlink" Target="https://www.scopus.com/authid/detail.uri?authorId=8658187200&amp;amp;eid=2-s2.0-23944490230" TargetMode="External"/><Relationship Id="rId886" Type="http://schemas.openxmlformats.org/officeDocument/2006/relationships/hyperlink" Target="https://www.scopus.com/authid/detail.uri?authorId=6507396215" TargetMode="External"/><Relationship Id="rId401" Type="http://schemas.openxmlformats.org/officeDocument/2006/relationships/hyperlink" Target="https://orcid.org/0000-0002-0914-5156" TargetMode="External"/><Relationship Id="rId643" Type="http://schemas.openxmlformats.org/officeDocument/2006/relationships/hyperlink" Target="https://orcid.org/0000-0001-8682-5000" TargetMode="External"/><Relationship Id="rId885" Type="http://schemas.openxmlformats.org/officeDocument/2006/relationships/hyperlink" Target="https://orcid.org/0000-0002-6688-4641" TargetMode="External"/><Relationship Id="rId408" Type="http://schemas.openxmlformats.org/officeDocument/2006/relationships/hyperlink" Target="https://orcid.org/0000-0002-0627-1229" TargetMode="External"/><Relationship Id="rId407" Type="http://schemas.openxmlformats.org/officeDocument/2006/relationships/hyperlink" Target="https://www.scopus.com/authid/detail.uri?authorId=56735573900" TargetMode="External"/><Relationship Id="rId649" Type="http://schemas.openxmlformats.org/officeDocument/2006/relationships/hyperlink" Target="https://www.scopus.com/authid/detail.uri?authorId=57216434058" TargetMode="External"/><Relationship Id="rId406" Type="http://schemas.openxmlformats.org/officeDocument/2006/relationships/hyperlink" Target="https://orcid.org/0000-0002-0008-3278" TargetMode="External"/><Relationship Id="rId648" Type="http://schemas.openxmlformats.org/officeDocument/2006/relationships/hyperlink" Target="http://orcid.org/0000-0002-9837-2309" TargetMode="External"/><Relationship Id="rId405" Type="http://schemas.openxmlformats.org/officeDocument/2006/relationships/hyperlink" Target="https://www.scopus.com/authid/detail.uri?authorId=57203149875" TargetMode="External"/><Relationship Id="rId647" Type="http://schemas.openxmlformats.org/officeDocument/2006/relationships/hyperlink" Target="https://www.scopus.com/authid/detail.uri?authorId=56485978800" TargetMode="External"/><Relationship Id="rId889" Type="http://schemas.openxmlformats.org/officeDocument/2006/relationships/hyperlink" Target="http://orcid.org/0000-0002-1072-8770" TargetMode="External"/><Relationship Id="rId880" Type="http://schemas.openxmlformats.org/officeDocument/2006/relationships/hyperlink" Target="https://orcid.org/0000-0001-9886-4234" TargetMode="External"/><Relationship Id="rId1230" Type="http://schemas.openxmlformats.org/officeDocument/2006/relationships/hyperlink" Target="https://www.scopus.com/authid/detail.uri?authorId=57209021391" TargetMode="External"/><Relationship Id="rId400" Type="http://schemas.openxmlformats.org/officeDocument/2006/relationships/hyperlink" Target="https://www.scopus.com/authid/detail.uri?authorId=56845919400" TargetMode="External"/><Relationship Id="rId642" Type="http://schemas.openxmlformats.org/officeDocument/2006/relationships/hyperlink" Target="https://www.scopus.com/authid/detail.uri?authorId=7101884027" TargetMode="External"/><Relationship Id="rId884" Type="http://schemas.openxmlformats.org/officeDocument/2006/relationships/hyperlink" Target="https://www.scopus.com/authid/detail.uri?authorId=16302534800" TargetMode="External"/><Relationship Id="rId1231" Type="http://schemas.openxmlformats.org/officeDocument/2006/relationships/hyperlink" Target="https://www.scopus.com/authid/detail.uri?authorId=57249733200" TargetMode="External"/><Relationship Id="rId641" Type="http://schemas.openxmlformats.org/officeDocument/2006/relationships/hyperlink" Target="https://orcid.org/0000-0001-5942-3188" TargetMode="External"/><Relationship Id="rId883" Type="http://schemas.openxmlformats.org/officeDocument/2006/relationships/hyperlink" Target="https://orcid.org/0000-0003-1240-7900" TargetMode="External"/><Relationship Id="rId1232" Type="http://schemas.openxmlformats.org/officeDocument/2006/relationships/hyperlink" Target="https://www.scopus.com/authid/detail.uri?authorId=57194044700" TargetMode="External"/><Relationship Id="rId640" Type="http://schemas.openxmlformats.org/officeDocument/2006/relationships/hyperlink" Target="https://www.scopus.com/authid/detail.uri?origin=resultslist&amp;authorId=57194714030" TargetMode="External"/><Relationship Id="rId882" Type="http://schemas.openxmlformats.org/officeDocument/2006/relationships/hyperlink" Target="https://www.scopus.com/authid/detail.uri?authorId=6602782210" TargetMode="External"/><Relationship Id="rId1233" Type="http://schemas.openxmlformats.org/officeDocument/2006/relationships/hyperlink" Target="https://www.scopus.com/authid/detail.uri?authorId=54977325400" TargetMode="External"/><Relationship Id="rId881" Type="http://schemas.openxmlformats.org/officeDocument/2006/relationships/hyperlink" Target="http://orcid.org/0000-0002-9652-9771" TargetMode="External"/><Relationship Id="rId1234" Type="http://schemas.openxmlformats.org/officeDocument/2006/relationships/hyperlink" Target="https://www.scopus.com/authid/detail.uri?authorId=57202214918" TargetMode="External"/><Relationship Id="rId1224" Type="http://schemas.openxmlformats.org/officeDocument/2006/relationships/hyperlink" Target="https://www.scopus.com/authid/detail.uri?authorId=9534102000" TargetMode="External"/><Relationship Id="rId1225" Type="http://schemas.openxmlformats.org/officeDocument/2006/relationships/hyperlink" Target="https://www.scopus.com/authid/detail.uri?authorId=20433427600" TargetMode="External"/><Relationship Id="rId1226" Type="http://schemas.openxmlformats.org/officeDocument/2006/relationships/hyperlink" Target="https://www.scopus.com/authid/detail.uri?authorId=57218347417" TargetMode="External"/><Relationship Id="rId1227" Type="http://schemas.openxmlformats.org/officeDocument/2006/relationships/hyperlink" Target="https://www.scopus.com/authid/detail.uri?authorId=57249217500" TargetMode="External"/><Relationship Id="rId1228" Type="http://schemas.openxmlformats.org/officeDocument/2006/relationships/hyperlink" Target="https://www.scopus.com/authid/detail.uri?authorId=57191954688" TargetMode="External"/><Relationship Id="rId1229" Type="http://schemas.openxmlformats.org/officeDocument/2006/relationships/hyperlink" Target="https://www.scopus.com/authid/detail.uri?authorId=57211294639" TargetMode="External"/><Relationship Id="rId635" Type="http://schemas.openxmlformats.org/officeDocument/2006/relationships/hyperlink" Target="https://orcid.org/0000-0003-2179-1828" TargetMode="External"/><Relationship Id="rId877" Type="http://schemas.openxmlformats.org/officeDocument/2006/relationships/hyperlink" Target="http://orcid.org/0000-0002-6327-6405" TargetMode="External"/><Relationship Id="rId634" Type="http://schemas.openxmlformats.org/officeDocument/2006/relationships/hyperlink" Target="https://www.scopus.com/authid/detail.uri?authorId=57216296346" TargetMode="External"/><Relationship Id="rId876" Type="http://schemas.openxmlformats.org/officeDocument/2006/relationships/hyperlink" Target="https://orcid.org/0000-0003-3579-0092" TargetMode="External"/><Relationship Id="rId633" Type="http://schemas.openxmlformats.org/officeDocument/2006/relationships/hyperlink" Target="https://orcid.org/0000-0001-6304-8325" TargetMode="External"/><Relationship Id="rId875" Type="http://schemas.openxmlformats.org/officeDocument/2006/relationships/hyperlink" Target="https://orcid.org/0000-0002-1802-2174" TargetMode="External"/><Relationship Id="rId632" Type="http://schemas.openxmlformats.org/officeDocument/2006/relationships/hyperlink" Target="https://www.scopus.com/authid/detail.uri?authorId=24399259200" TargetMode="External"/><Relationship Id="rId874" Type="http://schemas.openxmlformats.org/officeDocument/2006/relationships/hyperlink" Target="https://www.scopus.com/authid/detail.uri?authorId=57215429760" TargetMode="External"/><Relationship Id="rId639" Type="http://schemas.openxmlformats.org/officeDocument/2006/relationships/hyperlink" Target="https://orcid.org/0000-0002-0442-5570" TargetMode="External"/><Relationship Id="rId638" Type="http://schemas.openxmlformats.org/officeDocument/2006/relationships/hyperlink" Target="https://www.scopus.com/authid/detail.uri?authorId=57208036711&amp;amp;eid=2-s2.0-85063626374" TargetMode="External"/><Relationship Id="rId637" Type="http://schemas.openxmlformats.org/officeDocument/2006/relationships/hyperlink" Target="https://orcid.org/0000-0003-0882-0487" TargetMode="External"/><Relationship Id="rId879" Type="http://schemas.openxmlformats.org/officeDocument/2006/relationships/hyperlink" Target="https://www.scopus.com/authid/detail.uri?authorId=57205124595" TargetMode="External"/><Relationship Id="rId636" Type="http://schemas.openxmlformats.org/officeDocument/2006/relationships/hyperlink" Target="https://www.scopus.com/authid/detail.uri?authorId=57219142421" TargetMode="External"/><Relationship Id="rId878" Type="http://schemas.openxmlformats.org/officeDocument/2006/relationships/hyperlink" Target="https://orcid.org/0000-0001-8022-866X" TargetMode="External"/><Relationship Id="rId631" Type="http://schemas.openxmlformats.org/officeDocument/2006/relationships/hyperlink" Target="https://orcid.org/0000-0002-3029-2919" TargetMode="External"/><Relationship Id="rId873" Type="http://schemas.openxmlformats.org/officeDocument/2006/relationships/hyperlink" Target="https://orcid.org/0000-0002-0107-4365" TargetMode="External"/><Relationship Id="rId1220" Type="http://schemas.openxmlformats.org/officeDocument/2006/relationships/hyperlink" Target="https://www.scopus.com/authid/detail.uri?origin=resultslist&amp;authorId=57216897253&amp;zone=" TargetMode="External"/><Relationship Id="rId630" Type="http://schemas.openxmlformats.org/officeDocument/2006/relationships/hyperlink" Target="https://www.scopus.com/authid/detail.uri?authorId=57189311514&amp;amp;eid=2-s2.0-84968884413" TargetMode="External"/><Relationship Id="rId872" Type="http://schemas.openxmlformats.org/officeDocument/2006/relationships/hyperlink" Target="https://orcid.org/0000-0002-4654-9248" TargetMode="External"/><Relationship Id="rId1221" Type="http://schemas.openxmlformats.org/officeDocument/2006/relationships/hyperlink" Target="https://www.scopus.com/authid/detail.uri?authorId=57196296954" TargetMode="External"/><Relationship Id="rId871" Type="http://schemas.openxmlformats.org/officeDocument/2006/relationships/hyperlink" Target="https://www.scopus.com/authid/detail.uri?authorId=57214469857" TargetMode="External"/><Relationship Id="rId1222" Type="http://schemas.openxmlformats.org/officeDocument/2006/relationships/hyperlink" Target="https://www.scopus.com/authid/detail.uri?authorId=57219986510" TargetMode="External"/><Relationship Id="rId870" Type="http://schemas.openxmlformats.org/officeDocument/2006/relationships/hyperlink" Target="https://orcid.org/0000-0001-5906-6811" TargetMode="External"/><Relationship Id="rId1223" Type="http://schemas.openxmlformats.org/officeDocument/2006/relationships/hyperlink" Target="https://www.scopus.com/authid/detail.uri?origin=resultslist&amp;authorId=57219777391&amp;zone=" TargetMode="External"/><Relationship Id="rId829" Type="http://schemas.openxmlformats.org/officeDocument/2006/relationships/hyperlink" Target="https://orcid.org/0000-0002-1007-6530" TargetMode="External"/><Relationship Id="rId828" Type="http://schemas.openxmlformats.org/officeDocument/2006/relationships/hyperlink" Target="https://www.scopus.com/authid/detail.uri?authorId=7005837246" TargetMode="External"/><Relationship Id="rId827" Type="http://schemas.openxmlformats.org/officeDocument/2006/relationships/hyperlink" Target="http://orcid.org/0000-0003-0859-2015" TargetMode="External"/><Relationship Id="rId822" Type="http://schemas.openxmlformats.org/officeDocument/2006/relationships/hyperlink" Target="https://www.scopus.com/authid/detail.uri?authorId=57207769187" TargetMode="External"/><Relationship Id="rId821" Type="http://schemas.openxmlformats.org/officeDocument/2006/relationships/hyperlink" Target="https://orcid.org/0000-0003-3423-8896" TargetMode="External"/><Relationship Id="rId820" Type="http://schemas.openxmlformats.org/officeDocument/2006/relationships/hyperlink" Target="https://www.scopus.com/authid/detail.uri?authorId=57203139749" TargetMode="External"/><Relationship Id="rId826" Type="http://schemas.openxmlformats.org/officeDocument/2006/relationships/hyperlink" Target="https://www.scopus.com/authid/detail.uri?authorId=56439484500" TargetMode="External"/><Relationship Id="rId825" Type="http://schemas.openxmlformats.org/officeDocument/2006/relationships/hyperlink" Target="https://orcid.org/0000-0002-1792-5080" TargetMode="External"/><Relationship Id="rId824" Type="http://schemas.openxmlformats.org/officeDocument/2006/relationships/hyperlink" Target="https://www.scopus.com/authid/detail.uri?authorId=7004018101" TargetMode="External"/><Relationship Id="rId823" Type="http://schemas.openxmlformats.org/officeDocument/2006/relationships/hyperlink" Target="https://orcid.org/0000-0002-4738-3286" TargetMode="External"/><Relationship Id="rId819" Type="http://schemas.openxmlformats.org/officeDocument/2006/relationships/hyperlink" Target="https://orcid.org/0000-0002-0725-392X" TargetMode="External"/><Relationship Id="rId818" Type="http://schemas.openxmlformats.org/officeDocument/2006/relationships/hyperlink" Target="https://www.scopus.com/authid/detail.uri?authorId=6507247411" TargetMode="External"/><Relationship Id="rId817" Type="http://schemas.openxmlformats.org/officeDocument/2006/relationships/hyperlink" Target="https://orcid.org/0000-0002-9472-8021" TargetMode="External"/><Relationship Id="rId816" Type="http://schemas.openxmlformats.org/officeDocument/2006/relationships/hyperlink" Target="https://www.scopus.com/authid/detail.uri?authorId=8912359000" TargetMode="External"/><Relationship Id="rId811" Type="http://schemas.openxmlformats.org/officeDocument/2006/relationships/hyperlink" Target="https://orcid.org/0000-0003-4128-839X" TargetMode="External"/><Relationship Id="rId810" Type="http://schemas.openxmlformats.org/officeDocument/2006/relationships/hyperlink" Target="https://www.scopus.com/authid/detail.uri?authorId=35763451400" TargetMode="External"/><Relationship Id="rId815" Type="http://schemas.openxmlformats.org/officeDocument/2006/relationships/hyperlink" Target="https://orcid.org/0000-0002-8618-4917" TargetMode="External"/><Relationship Id="rId814" Type="http://schemas.openxmlformats.org/officeDocument/2006/relationships/hyperlink" Target="https://www.scopus.com/authid/detail.uri?authorId=57207762874" TargetMode="External"/><Relationship Id="rId813" Type="http://schemas.openxmlformats.org/officeDocument/2006/relationships/hyperlink" Target="https://www.scopus.com/authid/detail.uri?authorId=57189377960" TargetMode="External"/><Relationship Id="rId812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609" Type="http://schemas.openxmlformats.org/officeDocument/2006/relationships/hyperlink" Target="http://orcid.org/0000-0002-9314-3750" TargetMode="External"/><Relationship Id="rId608" Type="http://schemas.openxmlformats.org/officeDocument/2006/relationships/hyperlink" Target="http://orcid.org/0000-0002-3398-2982" TargetMode="External"/><Relationship Id="rId607" Type="http://schemas.openxmlformats.org/officeDocument/2006/relationships/hyperlink" Target="https://www.scopus.com/authid/detail.uri?authorId=9434092100" TargetMode="External"/><Relationship Id="rId849" Type="http://schemas.openxmlformats.org/officeDocument/2006/relationships/hyperlink" Target="https://orcid.org/0000-0002-3515-3619" TargetMode="External"/><Relationship Id="rId602" Type="http://schemas.openxmlformats.org/officeDocument/2006/relationships/hyperlink" Target="https://orcid.org/0000-0001-8718-5471" TargetMode="External"/><Relationship Id="rId844" Type="http://schemas.openxmlformats.org/officeDocument/2006/relationships/hyperlink" Target="https://www.scopus.com/authid/detail.uri?authorId=15838132300" TargetMode="External"/><Relationship Id="rId601" Type="http://schemas.openxmlformats.org/officeDocument/2006/relationships/hyperlink" Target="https://www.scopus.com/authid/detail.uri?authorId=57211287503" TargetMode="External"/><Relationship Id="rId843" Type="http://schemas.openxmlformats.org/officeDocument/2006/relationships/hyperlink" Target="http://orcid.org/0000-0002-1329-4621" TargetMode="External"/><Relationship Id="rId600" Type="http://schemas.openxmlformats.org/officeDocument/2006/relationships/hyperlink" Target="https://orcid.org/0000-0003-1604-8837" TargetMode="External"/><Relationship Id="rId842" Type="http://schemas.openxmlformats.org/officeDocument/2006/relationships/hyperlink" Target="https://www.scopus.com/authid/detail.uri?authorId=56486141900" TargetMode="External"/><Relationship Id="rId841" Type="http://schemas.openxmlformats.org/officeDocument/2006/relationships/hyperlink" Target="https://orcid.org/0000-0003-2214-2440" TargetMode="External"/><Relationship Id="rId606" Type="http://schemas.openxmlformats.org/officeDocument/2006/relationships/hyperlink" Target="http://orcid.org/0000-0001-7559-8850" TargetMode="External"/><Relationship Id="rId848" Type="http://schemas.openxmlformats.org/officeDocument/2006/relationships/hyperlink" Target="https://www.scopus.com/authid/detail.uri?authorId=57210371663" TargetMode="External"/><Relationship Id="rId605" Type="http://schemas.openxmlformats.org/officeDocument/2006/relationships/hyperlink" Target="https://www.scopus.com/authid/detail.uri?authorId=8889499100" TargetMode="External"/><Relationship Id="rId847" Type="http://schemas.openxmlformats.org/officeDocument/2006/relationships/hyperlink" Target="http://orcid.org/0000-0002-4139-7732" TargetMode="External"/><Relationship Id="rId604" Type="http://schemas.openxmlformats.org/officeDocument/2006/relationships/hyperlink" Target="https://orcid.org/0000-0003-3464-8318" TargetMode="External"/><Relationship Id="rId846" Type="http://schemas.openxmlformats.org/officeDocument/2006/relationships/hyperlink" Target="https://www.scopus.com/authid/detail.uri?authorId=36182104500" TargetMode="External"/><Relationship Id="rId603" Type="http://schemas.openxmlformats.org/officeDocument/2006/relationships/hyperlink" Target="https://www.scopus.com/authid/detail.uri?authorId=57194431824" TargetMode="External"/><Relationship Id="rId845" Type="http://schemas.openxmlformats.org/officeDocument/2006/relationships/hyperlink" Target="https://orcid.org/0000-0002-1596-9629" TargetMode="External"/><Relationship Id="rId840" Type="http://schemas.openxmlformats.org/officeDocument/2006/relationships/hyperlink" Target="https://www.scopus.com/authid/detail.uri?authorId=57224189646&amp;origin=recordpage" TargetMode="External"/><Relationship Id="rId839" Type="http://schemas.openxmlformats.org/officeDocument/2006/relationships/hyperlink" Target="https://orcid.org/0000-0002-3608-6163" TargetMode="External"/><Relationship Id="rId838" Type="http://schemas.openxmlformats.org/officeDocument/2006/relationships/hyperlink" Target="https://www.scopus.com/authid/detail.uri?authorId=6507534086" TargetMode="External"/><Relationship Id="rId833" Type="http://schemas.openxmlformats.org/officeDocument/2006/relationships/hyperlink" Target="http://orcid.org/0000-0003-4009-3937" TargetMode="External"/><Relationship Id="rId832" Type="http://schemas.openxmlformats.org/officeDocument/2006/relationships/hyperlink" Target="https://www.scopus.com/authid/detail.uri?authorId=16426533400" TargetMode="External"/><Relationship Id="rId831" Type="http://schemas.openxmlformats.org/officeDocument/2006/relationships/hyperlink" Target="http://orcid.org/0000-0003-3023-4927" TargetMode="External"/><Relationship Id="rId830" Type="http://schemas.openxmlformats.org/officeDocument/2006/relationships/hyperlink" Target="https://www.scopus.com/authid/detail.uri?authorId=36069743200" TargetMode="External"/><Relationship Id="rId837" Type="http://schemas.openxmlformats.org/officeDocument/2006/relationships/hyperlink" Target="http://orcid.org/0000-0002-6304-6837" TargetMode="External"/><Relationship Id="rId836" Type="http://schemas.openxmlformats.org/officeDocument/2006/relationships/hyperlink" Target="https://www.scopus.com/authid/detail.uri?authorId=57225331260" TargetMode="External"/><Relationship Id="rId835" Type="http://schemas.openxmlformats.org/officeDocument/2006/relationships/hyperlink" Target="https://orcid.org/0000-0001-6991-9582" TargetMode="External"/><Relationship Id="rId834" Type="http://schemas.openxmlformats.org/officeDocument/2006/relationships/hyperlink" Target="https://www.scopus.com/authid/detail.uri?authorId=6507141222" TargetMode="External"/><Relationship Id="rId1059" Type="http://schemas.openxmlformats.org/officeDocument/2006/relationships/hyperlink" Target="https://www.scopus.com/authid/detail.uri?authorId=57193698953" TargetMode="External"/><Relationship Id="rId228" Type="http://schemas.openxmlformats.org/officeDocument/2006/relationships/hyperlink" Target="https://www.scopus.com/authid/detail.uri?authorId=57218436238&amp;amp;eid=2-s2.0-85089171492" TargetMode="External"/><Relationship Id="rId227" Type="http://schemas.openxmlformats.org/officeDocument/2006/relationships/hyperlink" Target="https://www.scopus.com/authid/detail.uri?authorId=57190444905" TargetMode="External"/><Relationship Id="rId469" Type="http://schemas.openxmlformats.org/officeDocument/2006/relationships/hyperlink" Target="https://orcid.org/0000-0002-9831-0925" TargetMode="External"/><Relationship Id="rId226" Type="http://schemas.openxmlformats.org/officeDocument/2006/relationships/hyperlink" Target="https://www.scopus.com/authid/detail.uri?authorId=23994785200" TargetMode="External"/><Relationship Id="rId468" Type="http://schemas.openxmlformats.org/officeDocument/2006/relationships/hyperlink" Target="https://www.scopus.com/authid/detail.uri?authorId=24483379300" TargetMode="External"/><Relationship Id="rId225" Type="http://schemas.openxmlformats.org/officeDocument/2006/relationships/hyperlink" Target="https://orcid.org/0000-0001-6494-9184" TargetMode="External"/><Relationship Id="rId467" Type="http://schemas.openxmlformats.org/officeDocument/2006/relationships/hyperlink" Target="https://orcid.org/0000-0002-6143-5628" TargetMode="External"/><Relationship Id="rId229" Type="http://schemas.openxmlformats.org/officeDocument/2006/relationships/hyperlink" Target="https://orcid.org/0000-0002-4399-2367" TargetMode="External"/><Relationship Id="rId1050" Type="http://schemas.openxmlformats.org/officeDocument/2006/relationships/hyperlink" Target="https://www.scopus.com/authid/detail.uri?authorId=57196074877" TargetMode="External"/><Relationship Id="rId220" Type="http://schemas.openxmlformats.org/officeDocument/2006/relationships/hyperlink" Target="https://www.scopus.com/authid/detail.uri?authorId=6602929972" TargetMode="External"/><Relationship Id="rId462" Type="http://schemas.openxmlformats.org/officeDocument/2006/relationships/hyperlink" Target="https://www.scopus.com/authid/detail.uri?authorId=57188732146" TargetMode="External"/><Relationship Id="rId1051" Type="http://schemas.openxmlformats.org/officeDocument/2006/relationships/hyperlink" Target="http://orcid.org/0000-0002-5142-8571" TargetMode="External"/><Relationship Id="rId461" Type="http://schemas.openxmlformats.org/officeDocument/2006/relationships/hyperlink" Target="http://orcid.org/0000-0003-2263-9991" TargetMode="External"/><Relationship Id="rId1052" Type="http://schemas.openxmlformats.org/officeDocument/2006/relationships/hyperlink" Target="https://orcid.org/0000-0001-6644-9968" TargetMode="External"/><Relationship Id="rId460" Type="http://schemas.openxmlformats.org/officeDocument/2006/relationships/hyperlink" Target="https://www.scopus.com/authid/detail.uri?authorId=5682532230" TargetMode="External"/><Relationship Id="rId1053" Type="http://schemas.openxmlformats.org/officeDocument/2006/relationships/hyperlink" Target="https://www.scopus.com/authid/detail.uri?authorId=57210364205" TargetMode="External"/><Relationship Id="rId1054" Type="http://schemas.openxmlformats.org/officeDocument/2006/relationships/hyperlink" Target="https://orcid.org/0000-0002-4239-4357" TargetMode="External"/><Relationship Id="rId224" Type="http://schemas.openxmlformats.org/officeDocument/2006/relationships/hyperlink" Target="https://www.scopus.com/authid/detail.uri?authorId=57201579375" TargetMode="External"/><Relationship Id="rId466" Type="http://schemas.openxmlformats.org/officeDocument/2006/relationships/hyperlink" Target="https://www.scopus.com/authid/detail.uri?authorId=24341069100" TargetMode="External"/><Relationship Id="rId1055" Type="http://schemas.openxmlformats.org/officeDocument/2006/relationships/hyperlink" Target="https://www.scopus.com/authid/detail.uri?authorId=15519479600" TargetMode="External"/><Relationship Id="rId223" Type="http://schemas.openxmlformats.org/officeDocument/2006/relationships/hyperlink" Target="https://orcid.org/0000-0001-7286-413X" TargetMode="External"/><Relationship Id="rId465" Type="http://schemas.openxmlformats.org/officeDocument/2006/relationships/hyperlink" Target="https://orcid.org/0000-0001-6504-1370" TargetMode="External"/><Relationship Id="rId1056" Type="http://schemas.openxmlformats.org/officeDocument/2006/relationships/hyperlink" Target="https://orcid.org/0000-0002-0687-5153" TargetMode="External"/><Relationship Id="rId222" Type="http://schemas.openxmlformats.org/officeDocument/2006/relationships/hyperlink" Target="https://www.scopus.com/authid/detail.uri?authorId=57189384721" TargetMode="External"/><Relationship Id="rId464" Type="http://schemas.openxmlformats.org/officeDocument/2006/relationships/hyperlink" Target="https://www.scopus.com/authid/detail.uri?authorId=56337811900" TargetMode="External"/><Relationship Id="rId1057" Type="http://schemas.openxmlformats.org/officeDocument/2006/relationships/hyperlink" Target="https://www.scopus.com/authid/detail.uri?authorId=57202455354" TargetMode="External"/><Relationship Id="rId221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463" Type="http://schemas.openxmlformats.org/officeDocument/2006/relationships/hyperlink" Target="https://orcid.org/0000-0002-1269-1449" TargetMode="External"/><Relationship Id="rId1058" Type="http://schemas.openxmlformats.org/officeDocument/2006/relationships/hyperlink" Target="https://orcid.org/0000-0002-7365-2355" TargetMode="External"/><Relationship Id="rId1048" Type="http://schemas.openxmlformats.org/officeDocument/2006/relationships/hyperlink" Target="https://www.scopus.com/authid/detail.uri?authorId=55943172400" TargetMode="External"/><Relationship Id="rId1049" Type="http://schemas.openxmlformats.org/officeDocument/2006/relationships/hyperlink" Target="http://orcid.org/0000-0002-8405-6698" TargetMode="External"/><Relationship Id="rId217" Type="http://schemas.openxmlformats.org/officeDocument/2006/relationships/hyperlink" Target="https://www.scopus.com/authid/detail.uri?authorId=57211745256" TargetMode="External"/><Relationship Id="rId459" Type="http://schemas.openxmlformats.org/officeDocument/2006/relationships/hyperlink" Target="https://orcid.org/0000-0002-1269-1449" TargetMode="External"/><Relationship Id="rId216" Type="http://schemas.openxmlformats.org/officeDocument/2006/relationships/hyperlink" Target="https://orcid.org/0000-0002-5759-8897" TargetMode="External"/><Relationship Id="rId458" Type="http://schemas.openxmlformats.org/officeDocument/2006/relationships/hyperlink" Target="https://www.scopus.com/authid/detail.uri?authorId=35762738600" TargetMode="External"/><Relationship Id="rId215" Type="http://schemas.openxmlformats.org/officeDocument/2006/relationships/hyperlink" Target="https://orcid.org/0000-0001-6467-7983" TargetMode="External"/><Relationship Id="rId457" Type="http://schemas.openxmlformats.org/officeDocument/2006/relationships/hyperlink" Target="https://orcid.org/0000-0003-3434-0815" TargetMode="External"/><Relationship Id="rId699" Type="http://schemas.openxmlformats.org/officeDocument/2006/relationships/hyperlink" Target="https://orcid.org/0000-0002-2887-9083" TargetMode="External"/><Relationship Id="rId214" Type="http://schemas.openxmlformats.org/officeDocument/2006/relationships/hyperlink" Target="https://www.scopus.com/authid/detail.uri?authorId=24479367300" TargetMode="External"/><Relationship Id="rId456" Type="http://schemas.openxmlformats.org/officeDocument/2006/relationships/hyperlink" Target="https://www.scopus.com/authid/detail.uri?authorId=16503537100" TargetMode="External"/><Relationship Id="rId698" Type="http://schemas.openxmlformats.org/officeDocument/2006/relationships/hyperlink" Target="https://www.scopus.com/authid/detail.uri?authorId=55659255500" TargetMode="External"/><Relationship Id="rId219" Type="http://schemas.openxmlformats.org/officeDocument/2006/relationships/hyperlink" Target="https://orcid.org/0000-0002-2258-4006" TargetMode="External"/><Relationship Id="rId218" Type="http://schemas.openxmlformats.org/officeDocument/2006/relationships/hyperlink" Target="https://www.scopus.com/authid/detail.uri?authorId=56440231900" TargetMode="External"/><Relationship Id="rId451" Type="http://schemas.openxmlformats.org/officeDocument/2006/relationships/hyperlink" Target="https://www.scopus.com/authid/detail.uri?authorId=57190443921" TargetMode="External"/><Relationship Id="rId693" Type="http://schemas.openxmlformats.org/officeDocument/2006/relationships/hyperlink" Target="https://orcid.org/0000-0002-7734-3963" TargetMode="External"/><Relationship Id="rId1040" Type="http://schemas.openxmlformats.org/officeDocument/2006/relationships/hyperlink" Target="https://www.scopus.com/authid/detail.uri?authorId=7003868775" TargetMode="External"/><Relationship Id="rId450" Type="http://schemas.openxmlformats.org/officeDocument/2006/relationships/hyperlink" Target="https://orcid.org/0000-0002-4905-8508" TargetMode="External"/><Relationship Id="rId692" Type="http://schemas.openxmlformats.org/officeDocument/2006/relationships/hyperlink" Target="http://orcid.org/0000-0002-7762-6541" TargetMode="External"/><Relationship Id="rId1041" Type="http://schemas.openxmlformats.org/officeDocument/2006/relationships/hyperlink" Target="https://orcid.org/0000-0001-5312-5841" TargetMode="External"/><Relationship Id="rId691" Type="http://schemas.openxmlformats.org/officeDocument/2006/relationships/hyperlink" Target="https://www.scopus.com/authid/detail.uri?authorId=57218951658" TargetMode="External"/><Relationship Id="rId1042" Type="http://schemas.openxmlformats.org/officeDocument/2006/relationships/hyperlink" Target="https://www.scopus.com/authid/detail.uri?authorId=7801667873" TargetMode="External"/><Relationship Id="rId690" Type="http://schemas.openxmlformats.org/officeDocument/2006/relationships/hyperlink" Target="https://orcid.org/0000-0002-8021-0467" TargetMode="External"/><Relationship Id="rId1043" Type="http://schemas.openxmlformats.org/officeDocument/2006/relationships/hyperlink" Target="http://orcid.org/0000-0002-1318-7973" TargetMode="External"/><Relationship Id="rId213" Type="http://schemas.openxmlformats.org/officeDocument/2006/relationships/hyperlink" Target="https://orcid.org/0000-0002-2645-7872" TargetMode="External"/><Relationship Id="rId455" Type="http://schemas.openxmlformats.org/officeDocument/2006/relationships/hyperlink" Target="https://orcid.org/0000-0002-1823-5110" TargetMode="External"/><Relationship Id="rId697" Type="http://schemas.openxmlformats.org/officeDocument/2006/relationships/hyperlink" Target="https://orcid.org/0000-0003-4842-4972" TargetMode="External"/><Relationship Id="rId1044" Type="http://schemas.openxmlformats.org/officeDocument/2006/relationships/hyperlink" Target="https://www.scopus.com/authid/detail.uri?authorId=8326375900" TargetMode="External"/><Relationship Id="rId212" Type="http://schemas.openxmlformats.org/officeDocument/2006/relationships/hyperlink" Target="https://www.scopus.com/authid/detail.uri?authorId=14632007700" TargetMode="External"/><Relationship Id="rId454" Type="http://schemas.openxmlformats.org/officeDocument/2006/relationships/hyperlink" Target="https://orcid.org/0000-0001-7522-1965" TargetMode="External"/><Relationship Id="rId696" Type="http://schemas.openxmlformats.org/officeDocument/2006/relationships/hyperlink" Target="https://www.scopus.com/authid/detail.uri?authorId=36104503000" TargetMode="External"/><Relationship Id="rId1045" Type="http://schemas.openxmlformats.org/officeDocument/2006/relationships/hyperlink" Target="https://orcid.org/0000-0002-8319-0430" TargetMode="External"/><Relationship Id="rId211" Type="http://schemas.openxmlformats.org/officeDocument/2006/relationships/hyperlink" Target="https://orcid.org/0000-0003-4486-8648" TargetMode="External"/><Relationship Id="rId453" Type="http://schemas.openxmlformats.org/officeDocument/2006/relationships/hyperlink" Target="https://www.scopus.com/authid/detail.uri?authorId=57196219605" TargetMode="External"/><Relationship Id="rId695" Type="http://schemas.openxmlformats.org/officeDocument/2006/relationships/hyperlink" Target="https://orcid.org/0000-0002-3494-0493" TargetMode="External"/><Relationship Id="rId1046" Type="http://schemas.openxmlformats.org/officeDocument/2006/relationships/hyperlink" Target="https://www.scopus.com/authid/detail.uri?authorId=24479469700" TargetMode="External"/><Relationship Id="rId210" Type="http://schemas.openxmlformats.org/officeDocument/2006/relationships/hyperlink" Target="https://www.scopus.com/authid/detail.uri?authorId=20433339500" TargetMode="External"/><Relationship Id="rId452" Type="http://schemas.openxmlformats.org/officeDocument/2006/relationships/hyperlink" Target="https://orcid.org/0000-0002-5942-3150" TargetMode="External"/><Relationship Id="rId694" Type="http://schemas.openxmlformats.org/officeDocument/2006/relationships/hyperlink" Target="https://orcid.org/0000-0002-6769-2844" TargetMode="External"/><Relationship Id="rId1047" Type="http://schemas.openxmlformats.org/officeDocument/2006/relationships/hyperlink" Target="https://www.scopus.com/authid/detail.uri?authorId=57200820629&amp;amp;eid=2-s2.0-85042483005" TargetMode="External"/><Relationship Id="rId491" Type="http://schemas.openxmlformats.org/officeDocument/2006/relationships/hyperlink" Target="https://www.scopus.com/authid/detail.uri?authorId=57205163256" TargetMode="External"/><Relationship Id="rId490" Type="http://schemas.openxmlformats.org/officeDocument/2006/relationships/hyperlink" Target="https://orcid.org/0000-0002-5636-8723" TargetMode="External"/><Relationship Id="rId249" Type="http://schemas.openxmlformats.org/officeDocument/2006/relationships/hyperlink" Target="https://orcid.org/0000-0002-3187-1621" TargetMode="External"/><Relationship Id="rId248" Type="http://schemas.openxmlformats.org/officeDocument/2006/relationships/hyperlink" Target="https://orcid.org/0000-0002-8865-0838" TargetMode="External"/><Relationship Id="rId247" Type="http://schemas.openxmlformats.org/officeDocument/2006/relationships/hyperlink" Target="https://www.scopus.com/authid/detail.uri?authorId=57209023773" TargetMode="External"/><Relationship Id="rId489" Type="http://schemas.openxmlformats.org/officeDocument/2006/relationships/hyperlink" Target="https://www.scopus.com/authid/detail.uri?authorId=56568556700" TargetMode="External"/><Relationship Id="rId1070" Type="http://schemas.openxmlformats.org/officeDocument/2006/relationships/hyperlink" Target="https://www.scopus.com/authid/detail.uri?authorId=24722940900" TargetMode="External"/><Relationship Id="rId1071" Type="http://schemas.openxmlformats.org/officeDocument/2006/relationships/hyperlink" Target="https://orcid.org/0000-0002-9549-7034" TargetMode="External"/><Relationship Id="rId1072" Type="http://schemas.openxmlformats.org/officeDocument/2006/relationships/hyperlink" Target="https://orcid.org/0000-0002-9890-4790" TargetMode="External"/><Relationship Id="rId242" Type="http://schemas.openxmlformats.org/officeDocument/2006/relationships/hyperlink" Target="https://www.scopus.com/authid/detail.uri?authorId=57194703502" TargetMode="External"/><Relationship Id="rId484" Type="http://schemas.openxmlformats.org/officeDocument/2006/relationships/hyperlink" Target="https://orcid.org/0000-0001-6541-7913" TargetMode="External"/><Relationship Id="rId1073" Type="http://schemas.openxmlformats.org/officeDocument/2006/relationships/hyperlink" Target="https://www.scopus.com/authid/detail.uri?authorId=57194214849" TargetMode="External"/><Relationship Id="rId241" Type="http://schemas.openxmlformats.org/officeDocument/2006/relationships/hyperlink" Target="https://orcid.org/0000-0002-7884-8613" TargetMode="External"/><Relationship Id="rId483" Type="http://schemas.openxmlformats.org/officeDocument/2006/relationships/hyperlink" Target="https://www.scopus.com/authid/detail.uri?authorId=25625157400" TargetMode="External"/><Relationship Id="rId1074" Type="http://schemas.openxmlformats.org/officeDocument/2006/relationships/hyperlink" Target="https://orcid.org/0000-0001-8265-2480" TargetMode="External"/><Relationship Id="rId240" Type="http://schemas.openxmlformats.org/officeDocument/2006/relationships/hyperlink" Target="https://www.scopus.com/authid/detail.uri?authorId=57194704318" TargetMode="External"/><Relationship Id="rId482" Type="http://schemas.openxmlformats.org/officeDocument/2006/relationships/hyperlink" Target="https://orcid.org/0000-0003-1142-4100" TargetMode="External"/><Relationship Id="rId1075" Type="http://schemas.openxmlformats.org/officeDocument/2006/relationships/hyperlink" Target="https://www.scopus.com/authid/detail.uri?authorId=57211128568" TargetMode="External"/><Relationship Id="rId481" Type="http://schemas.openxmlformats.org/officeDocument/2006/relationships/hyperlink" Target="https://www.scopus.com/authid/detail.uri?authorId=57200259280" TargetMode="External"/><Relationship Id="rId1076" Type="http://schemas.openxmlformats.org/officeDocument/2006/relationships/hyperlink" Target="https://orcid.org/0000-0003-2454-3774" TargetMode="External"/><Relationship Id="rId246" Type="http://schemas.openxmlformats.org/officeDocument/2006/relationships/hyperlink" Target="https://orcid.org/0000-0003-4489-3819" TargetMode="External"/><Relationship Id="rId488" Type="http://schemas.openxmlformats.org/officeDocument/2006/relationships/hyperlink" Target="https://orcid.org/0000-0002-1333-2931" TargetMode="External"/><Relationship Id="rId1077" Type="http://schemas.openxmlformats.org/officeDocument/2006/relationships/hyperlink" Target="https://www.scopus.com/authid/detail.uri?authorId=57211027250" TargetMode="External"/><Relationship Id="rId245" Type="http://schemas.openxmlformats.org/officeDocument/2006/relationships/hyperlink" Target="https://orcid.org/0000-0003-4020-8052" TargetMode="External"/><Relationship Id="rId487" Type="http://schemas.openxmlformats.org/officeDocument/2006/relationships/hyperlink" Target="https://www.scopus.com/authid/detail.uri?authorId=57221953157" TargetMode="External"/><Relationship Id="rId1078" Type="http://schemas.openxmlformats.org/officeDocument/2006/relationships/hyperlink" Target="https://orcid.org/0000-0002-9982-9091" TargetMode="External"/><Relationship Id="rId244" Type="http://schemas.openxmlformats.org/officeDocument/2006/relationships/hyperlink" Target="https://www.scopus.com/authid/detail.uri?authorId=57196298121" TargetMode="External"/><Relationship Id="rId486" Type="http://schemas.openxmlformats.org/officeDocument/2006/relationships/hyperlink" Target="https://orcid.org/0000-0002-2127-230X" TargetMode="External"/><Relationship Id="rId1079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orcid.org/0000-0002-0194-0315" TargetMode="External"/><Relationship Id="rId485" Type="http://schemas.openxmlformats.org/officeDocument/2006/relationships/hyperlink" Target="https://www.scopus.com/authid/detail.uri?authorId=57216484832" TargetMode="External"/><Relationship Id="rId480" Type="http://schemas.openxmlformats.org/officeDocument/2006/relationships/hyperlink" Target="https://orcid.org/0000-0002-8441-5187" TargetMode="External"/><Relationship Id="rId239" Type="http://schemas.openxmlformats.org/officeDocument/2006/relationships/hyperlink" Target="https://orcid.org/0000-0001-9271-5043" TargetMode="External"/><Relationship Id="rId238" Type="http://schemas.openxmlformats.org/officeDocument/2006/relationships/hyperlink" Target="https://www.scopus.com/authid/detail.uri?authorId=57210360203&amp;amp;eid=2-s2.0-85070465777" TargetMode="External"/><Relationship Id="rId237" Type="http://schemas.openxmlformats.org/officeDocument/2006/relationships/hyperlink" Target="https://orcid.org/0000-0002-1421-0864" TargetMode="External"/><Relationship Id="rId479" Type="http://schemas.openxmlformats.org/officeDocument/2006/relationships/hyperlink" Target="https://www.scopus.com/authid/detail.uri?authorId=6507740585" TargetMode="External"/><Relationship Id="rId236" Type="http://schemas.openxmlformats.org/officeDocument/2006/relationships/hyperlink" Target="https://www.scopus.com/authid/detail.uri?authorId=57209640958&amp;amp;eid=2-s2.0-85068314441" TargetMode="External"/><Relationship Id="rId478" Type="http://schemas.openxmlformats.org/officeDocument/2006/relationships/hyperlink" Target="https://orcid.org/0000-0003-4287-8949" TargetMode="External"/><Relationship Id="rId1060" Type="http://schemas.openxmlformats.org/officeDocument/2006/relationships/hyperlink" Target="https://orcid.org/0000-0003-4730-3327" TargetMode="External"/><Relationship Id="rId1061" Type="http://schemas.openxmlformats.org/officeDocument/2006/relationships/hyperlink" Target="https://www.scopus.com/authid/detail.uri?authorId=57208645175" TargetMode="External"/><Relationship Id="rId231" Type="http://schemas.openxmlformats.org/officeDocument/2006/relationships/hyperlink" Target="http://orcid.org/0000-0002-5762-9884" TargetMode="External"/><Relationship Id="rId473" Type="http://schemas.openxmlformats.org/officeDocument/2006/relationships/hyperlink" Target="https://www.scopus.com/authid/detail.uri?authorId=57198208023" TargetMode="External"/><Relationship Id="rId1062" Type="http://schemas.openxmlformats.org/officeDocument/2006/relationships/hyperlink" Target="http://orcid.org/0000-0003-0655-9924" TargetMode="External"/><Relationship Id="rId230" Type="http://schemas.openxmlformats.org/officeDocument/2006/relationships/hyperlink" Target="https://www.scopus.com/authid/detail.uri?authorId=57207779367" TargetMode="External"/><Relationship Id="rId472" Type="http://schemas.openxmlformats.org/officeDocument/2006/relationships/hyperlink" Target="https://orcid.org/0000-0002-8390-5440" TargetMode="External"/><Relationship Id="rId1063" Type="http://schemas.openxmlformats.org/officeDocument/2006/relationships/hyperlink" Target="https://www.scopus.com/authid/detail.uri?authorId=57195976978" TargetMode="External"/><Relationship Id="rId471" Type="http://schemas.openxmlformats.org/officeDocument/2006/relationships/hyperlink" Target="https://www.scopus.com/authid/detail.uri?authorId=57207765829" TargetMode="External"/><Relationship Id="rId1064" Type="http://schemas.openxmlformats.org/officeDocument/2006/relationships/hyperlink" Target="https://orcid.org/0000-0003-3628-3658" TargetMode="External"/><Relationship Id="rId470" Type="http://schemas.openxmlformats.org/officeDocument/2006/relationships/hyperlink" Target="https://orcid.org/0000-0003-0524-5528" TargetMode="External"/><Relationship Id="rId1065" Type="http://schemas.openxmlformats.org/officeDocument/2006/relationships/hyperlink" Target="https://www.scopus.com/authid/detail.uri?authorId=15072342500" TargetMode="External"/><Relationship Id="rId235" Type="http://schemas.openxmlformats.org/officeDocument/2006/relationships/hyperlink" Target="https://orcid.org/0000-0002-2272-5227" TargetMode="External"/><Relationship Id="rId477" Type="http://schemas.openxmlformats.org/officeDocument/2006/relationships/hyperlink" Target="https://www.scopus.com/authid/detail.uri?authorId=56557056500" TargetMode="External"/><Relationship Id="rId1066" Type="http://schemas.openxmlformats.org/officeDocument/2006/relationships/hyperlink" Target="https://orcid.org/0000-0003-2272-3501" TargetMode="External"/><Relationship Id="rId234" Type="http://schemas.openxmlformats.org/officeDocument/2006/relationships/hyperlink" Target="https://orcid.org/0000-0003-1850-1930" TargetMode="External"/><Relationship Id="rId476" Type="http://schemas.openxmlformats.org/officeDocument/2006/relationships/hyperlink" Target="https://orcid.org/0000-0003-1519-9676" TargetMode="External"/><Relationship Id="rId1067" Type="http://schemas.openxmlformats.org/officeDocument/2006/relationships/hyperlink" Target="https://orcid.org/0000-0002-4947-7446" TargetMode="External"/><Relationship Id="rId233" Type="http://schemas.openxmlformats.org/officeDocument/2006/relationships/hyperlink" Target="https://www.scopus.com/authid/detail.uri?authorId=57210336548&amp;amp;eid=2-s2.0-85070392992" TargetMode="External"/><Relationship Id="rId475" Type="http://schemas.openxmlformats.org/officeDocument/2006/relationships/hyperlink" Target="https://www.scopus.com/authid/detail.uri?authorId=35867981700" TargetMode="External"/><Relationship Id="rId1068" Type="http://schemas.openxmlformats.org/officeDocument/2006/relationships/hyperlink" Target="https://www.scopus.com/authid/detail.uri?authorId=36021627200" TargetMode="External"/><Relationship Id="rId232" Type="http://schemas.openxmlformats.org/officeDocument/2006/relationships/hyperlink" Target="https://orcid.org/0000-0001-8564-8487" TargetMode="External"/><Relationship Id="rId474" Type="http://schemas.openxmlformats.org/officeDocument/2006/relationships/hyperlink" Target="https://orcid.org/0000-0001-6917-4234" TargetMode="External"/><Relationship Id="rId1069" Type="http://schemas.openxmlformats.org/officeDocument/2006/relationships/hyperlink" Target="https://orcid.org/0000-0002-4881-5343" TargetMode="External"/><Relationship Id="rId1015" Type="http://schemas.openxmlformats.org/officeDocument/2006/relationships/hyperlink" Target="https://www.scopus.com/authid/detail.uri?authorId=6603262903" TargetMode="External"/><Relationship Id="rId1257" Type="http://schemas.openxmlformats.org/officeDocument/2006/relationships/hyperlink" Target="https://www.scopus.com/authid/detail.uri?authorId=57705710200" TargetMode="External"/><Relationship Id="rId1016" Type="http://schemas.openxmlformats.org/officeDocument/2006/relationships/hyperlink" Target="http://orcid.org/0000-0002-3718-2077" TargetMode="External"/><Relationship Id="rId1258" Type="http://schemas.openxmlformats.org/officeDocument/2006/relationships/hyperlink" Target="https://www.scopus.com/authid/detail.uri?authorId=57705289000" TargetMode="External"/><Relationship Id="rId1017" Type="http://schemas.openxmlformats.org/officeDocument/2006/relationships/hyperlink" Target="https://www.scopus.com/authid/detail.uri?authorId=56911938100" TargetMode="External"/><Relationship Id="rId1259" Type="http://schemas.openxmlformats.org/officeDocument/2006/relationships/hyperlink" Target="https://www.scopus.com/authid/detail.uri?authorId=57748914900" TargetMode="External"/><Relationship Id="rId1018" Type="http://schemas.openxmlformats.org/officeDocument/2006/relationships/hyperlink" Target="http://orcid.org/0000-0002-4380-504X" TargetMode="External"/><Relationship Id="rId1019" Type="http://schemas.openxmlformats.org/officeDocument/2006/relationships/hyperlink" Target="https://www.scopus.com/authid/detail.uri?authorId=57190949991" TargetMode="External"/><Relationship Id="rId426" Type="http://schemas.openxmlformats.org/officeDocument/2006/relationships/hyperlink" Target="https://www.scopus.com/authid/detail.uri?authorId=57207768042" TargetMode="External"/><Relationship Id="rId668" Type="http://schemas.openxmlformats.org/officeDocument/2006/relationships/hyperlink" Target="https://orcid.org/0000-0002-4171-1875" TargetMode="External"/><Relationship Id="rId425" Type="http://schemas.openxmlformats.org/officeDocument/2006/relationships/hyperlink" Target="https://orcid.org/0000-0002-4901-6869" TargetMode="External"/><Relationship Id="rId667" Type="http://schemas.openxmlformats.org/officeDocument/2006/relationships/hyperlink" Target="https://orcid.org/0000-0002-0590-5584" TargetMode="External"/><Relationship Id="rId424" Type="http://schemas.openxmlformats.org/officeDocument/2006/relationships/hyperlink" Target="https://www.scopus.com/authid/detail.uri?authorId=57192820253" TargetMode="External"/><Relationship Id="rId666" Type="http://schemas.openxmlformats.org/officeDocument/2006/relationships/hyperlink" Target="https://orcid.org/0000-0002-7077-1260" TargetMode="External"/><Relationship Id="rId423" Type="http://schemas.openxmlformats.org/officeDocument/2006/relationships/hyperlink" Target="https://orcid.org/0000-0003-4417-7759" TargetMode="External"/><Relationship Id="rId665" Type="http://schemas.openxmlformats.org/officeDocument/2006/relationships/hyperlink" Target="https://www.scopus.com/authid/detail.uri?authorId=57201604404" TargetMode="External"/><Relationship Id="rId429" Type="http://schemas.openxmlformats.org/officeDocument/2006/relationships/hyperlink" Target="https://orcid.org/0000-0002-1075-9470" TargetMode="External"/><Relationship Id="rId428" Type="http://schemas.openxmlformats.org/officeDocument/2006/relationships/hyperlink" Target="https://www.scopus.com/authid/detail.uri?authorId=57190372355" TargetMode="External"/><Relationship Id="rId427" Type="http://schemas.openxmlformats.org/officeDocument/2006/relationships/hyperlink" Target="https://orcid.org/0000-0002-0571-5895" TargetMode="External"/><Relationship Id="rId669" Type="http://schemas.openxmlformats.org/officeDocument/2006/relationships/hyperlink" Target="https://www.scopus.com/authid/detail.uri?authorId=16550619500&amp;amp;eid=2-s2.0-34250677696" TargetMode="External"/><Relationship Id="rId660" Type="http://schemas.openxmlformats.org/officeDocument/2006/relationships/hyperlink" Target="https://orcid.org/0000-0002-1082-5247" TargetMode="External"/><Relationship Id="rId1250" Type="http://schemas.openxmlformats.org/officeDocument/2006/relationships/hyperlink" Target="https://www.scopus.com/authid/detail.uri?authorId=36676028500" TargetMode="External"/><Relationship Id="rId1251" Type="http://schemas.openxmlformats.org/officeDocument/2006/relationships/hyperlink" Target="https://www.scopus.com/authid/detail.uri?authorId=57226786264" TargetMode="External"/><Relationship Id="rId1010" Type="http://schemas.openxmlformats.org/officeDocument/2006/relationships/hyperlink" Target="https://www.scopus.com/authid/detail.uri?authorId=56981705200" TargetMode="External"/><Relationship Id="rId1252" Type="http://schemas.openxmlformats.org/officeDocument/2006/relationships/hyperlink" Target="https://orcid.org/0000-0003-1081-1088" TargetMode="External"/><Relationship Id="rId422" Type="http://schemas.openxmlformats.org/officeDocument/2006/relationships/hyperlink" Target="https://www.scopus.com/authid/detail.uri?authorId=57205887139" TargetMode="External"/><Relationship Id="rId664" Type="http://schemas.openxmlformats.org/officeDocument/2006/relationships/hyperlink" Target="https://orcid.org/0000-0002-3190-0592" TargetMode="External"/><Relationship Id="rId1011" Type="http://schemas.openxmlformats.org/officeDocument/2006/relationships/hyperlink" Target="https://orcid.org/0000-0001-7359-1460" TargetMode="External"/><Relationship Id="rId1253" Type="http://schemas.openxmlformats.org/officeDocument/2006/relationships/hyperlink" Target="https://www.scopus.com/authid/detail.uri?authorId=57365140000" TargetMode="External"/><Relationship Id="rId421" Type="http://schemas.openxmlformats.org/officeDocument/2006/relationships/hyperlink" Target="https://orcid.org/0000-0002-1261-3424" TargetMode="External"/><Relationship Id="rId663" Type="http://schemas.openxmlformats.org/officeDocument/2006/relationships/hyperlink" Target="https://orcid.org/0000-0003-1910-3256" TargetMode="External"/><Relationship Id="rId1012" Type="http://schemas.openxmlformats.org/officeDocument/2006/relationships/hyperlink" Target="http://orcid.org/0000-0002-3600-405X" TargetMode="External"/><Relationship Id="rId1254" Type="http://schemas.openxmlformats.org/officeDocument/2006/relationships/hyperlink" Target="https://www.scopus.com/authid/detail.uri?authorId=57566406800" TargetMode="External"/><Relationship Id="rId420" Type="http://schemas.openxmlformats.org/officeDocument/2006/relationships/hyperlink" Target="https://orcid.org/0000-0002-5915-8262" TargetMode="External"/><Relationship Id="rId662" Type="http://schemas.openxmlformats.org/officeDocument/2006/relationships/hyperlink" Target="https://orcid.org/0000-0003-2774-8476" TargetMode="External"/><Relationship Id="rId1013" Type="http://schemas.openxmlformats.org/officeDocument/2006/relationships/hyperlink" Target="https://www.scopus.com/authid/detail.uri?authorId=14063224700&amp;amp;eid=2-s2.0-33747074572" TargetMode="External"/><Relationship Id="rId1255" Type="http://schemas.openxmlformats.org/officeDocument/2006/relationships/hyperlink" Target="https://www.scopus.com/authid/detail.uri?authorId=57565826300" TargetMode="External"/><Relationship Id="rId661" Type="http://schemas.openxmlformats.org/officeDocument/2006/relationships/hyperlink" Target="https://www.scopus.com/authid/detail.uri?authorId=6603023430" TargetMode="External"/><Relationship Id="rId1014" Type="http://schemas.openxmlformats.org/officeDocument/2006/relationships/hyperlink" Target="https://orcid.org/0000-0002-3886-9057" TargetMode="External"/><Relationship Id="rId1256" Type="http://schemas.openxmlformats.org/officeDocument/2006/relationships/hyperlink" Target="https://orcid.org/0000-0003-0597-1589" TargetMode="External"/><Relationship Id="rId1004" Type="http://schemas.openxmlformats.org/officeDocument/2006/relationships/hyperlink" Target="https://www.scopus.com/authid/detail.uri?authorId=57211750103" TargetMode="External"/><Relationship Id="rId1246" Type="http://schemas.openxmlformats.org/officeDocument/2006/relationships/hyperlink" Target="https://www.scopus.com/authid/detail.uri?authorId=57217114845" TargetMode="External"/><Relationship Id="rId1005" Type="http://schemas.openxmlformats.org/officeDocument/2006/relationships/hyperlink" Target="https://orcid.org/0000-0001-9795-6954" TargetMode="External"/><Relationship Id="rId1247" Type="http://schemas.openxmlformats.org/officeDocument/2006/relationships/hyperlink" Target="https://orcid.org/0000-0001-8840-8278" TargetMode="External"/><Relationship Id="rId1006" Type="http://schemas.openxmlformats.org/officeDocument/2006/relationships/hyperlink" Target="https://www.scopus.com/authid/detail.uri?authorId=57201483350" TargetMode="External"/><Relationship Id="rId1248" Type="http://schemas.openxmlformats.org/officeDocument/2006/relationships/hyperlink" Target="https://www.scopus.com/authid/detail.uri?authorId=56486038400" TargetMode="External"/><Relationship Id="rId1007" Type="http://schemas.openxmlformats.org/officeDocument/2006/relationships/hyperlink" Target="http://orcid.org/0000-0002-3515-4849" TargetMode="External"/><Relationship Id="rId1249" Type="http://schemas.openxmlformats.org/officeDocument/2006/relationships/hyperlink" Target="https://orcid.org/0000-0002-0814-3909" TargetMode="External"/><Relationship Id="rId1008" Type="http://schemas.openxmlformats.org/officeDocument/2006/relationships/hyperlink" Target="https://www.scopus.com/authid/detail.uri?authorId=57215832929" TargetMode="External"/><Relationship Id="rId1009" Type="http://schemas.openxmlformats.org/officeDocument/2006/relationships/hyperlink" Target="http://orcid.org/0000-0002-3489-6285" TargetMode="External"/><Relationship Id="rId415" Type="http://schemas.openxmlformats.org/officeDocument/2006/relationships/hyperlink" Target="https://www.scopus.com/authid/detail.uri?authorId=55938668500" TargetMode="External"/><Relationship Id="rId657" Type="http://schemas.openxmlformats.org/officeDocument/2006/relationships/hyperlink" Target="https://www.scopus.com/authid/detail.uri?authorId=57216488818&amp;amp;eid=2-s2.0-85083640391" TargetMode="External"/><Relationship Id="rId899" Type="http://schemas.openxmlformats.org/officeDocument/2006/relationships/hyperlink" Target="https://www.scopus.com/authid/detail.uri?authorId=57203149663" TargetMode="External"/><Relationship Id="rId414" Type="http://schemas.openxmlformats.org/officeDocument/2006/relationships/hyperlink" Target="https://orcid.org/0000-0001-9968-8674" TargetMode="External"/><Relationship Id="rId656" Type="http://schemas.openxmlformats.org/officeDocument/2006/relationships/hyperlink" Target="https://www.scopus.com/authid/detail.uri?authorId=7003848906" TargetMode="External"/><Relationship Id="rId898" Type="http://schemas.openxmlformats.org/officeDocument/2006/relationships/hyperlink" Target="https://orcid.org/0000-0001-9938-5489" TargetMode="External"/><Relationship Id="rId413" Type="http://schemas.openxmlformats.org/officeDocument/2006/relationships/hyperlink" Target="https://orcid.org/0000-0001-7762-7328" TargetMode="External"/><Relationship Id="rId655" Type="http://schemas.openxmlformats.org/officeDocument/2006/relationships/hyperlink" Target="https://orcid.org/0000-0003-0934-2237" TargetMode="External"/><Relationship Id="rId897" Type="http://schemas.openxmlformats.org/officeDocument/2006/relationships/hyperlink" Target="https://www.scopus.com/authid/detail.uri?authorId=57207770012" TargetMode="External"/><Relationship Id="rId412" Type="http://schemas.openxmlformats.org/officeDocument/2006/relationships/hyperlink" Target="https://www.scopus.com/authid/detail.uri?authorId=55975606900" TargetMode="External"/><Relationship Id="rId654" Type="http://schemas.openxmlformats.org/officeDocument/2006/relationships/hyperlink" Target="https://www.scopus.com/authid/detail.uri?authorId=57207762383" TargetMode="External"/><Relationship Id="rId896" Type="http://schemas.openxmlformats.org/officeDocument/2006/relationships/hyperlink" Target="https://www.scopus.com/authid/detail.uri?authorId=36070041200" TargetMode="External"/><Relationship Id="rId419" Type="http://schemas.openxmlformats.org/officeDocument/2006/relationships/hyperlink" Target="https://www.scopus.com/authid/detail.uri?authorId=6603247602" TargetMode="External"/><Relationship Id="rId418" Type="http://schemas.openxmlformats.org/officeDocument/2006/relationships/hyperlink" Target="https://orcid.org/0000-0002-7162-027X" TargetMode="External"/><Relationship Id="rId417" Type="http://schemas.openxmlformats.org/officeDocument/2006/relationships/hyperlink" Target="https://orcid.org/0000-0002-6165-4978" TargetMode="External"/><Relationship Id="rId659" Type="http://schemas.openxmlformats.org/officeDocument/2006/relationships/hyperlink" Target="https://www.scopus.com/authid/detail.uri?authorId=57189386760" TargetMode="External"/><Relationship Id="rId416" Type="http://schemas.openxmlformats.org/officeDocument/2006/relationships/hyperlink" Target="https://orcid.org/0000-0001-9276-9877" TargetMode="External"/><Relationship Id="rId658" Type="http://schemas.openxmlformats.org/officeDocument/2006/relationships/hyperlink" Target="https://orcid.org/0000-0002-4501-7426" TargetMode="External"/><Relationship Id="rId891" Type="http://schemas.openxmlformats.org/officeDocument/2006/relationships/hyperlink" Target="https://orcid.org/0000-0003-0205-7572" TargetMode="External"/><Relationship Id="rId890" Type="http://schemas.openxmlformats.org/officeDocument/2006/relationships/hyperlink" Target="https://www.scopus.com/authid/detail.uri?authorId=15838097700" TargetMode="External"/><Relationship Id="rId1240" Type="http://schemas.openxmlformats.org/officeDocument/2006/relationships/hyperlink" Target="https://orcid.org/0000-0002-7603-1247" TargetMode="External"/><Relationship Id="rId1241" Type="http://schemas.openxmlformats.org/officeDocument/2006/relationships/hyperlink" Target="https://www.scopus.com/authid/detail.uri?authorId=57211128569" TargetMode="External"/><Relationship Id="rId411" Type="http://schemas.openxmlformats.org/officeDocument/2006/relationships/hyperlink" Target="https://orcid.org/0000-0001-5928-9476" TargetMode="External"/><Relationship Id="rId653" Type="http://schemas.openxmlformats.org/officeDocument/2006/relationships/hyperlink" Target="https://orcid.org/0000-0003-2201-3120" TargetMode="External"/><Relationship Id="rId895" Type="http://schemas.openxmlformats.org/officeDocument/2006/relationships/hyperlink" Target="https://orcid.org/0000-0003-1729-1003" TargetMode="External"/><Relationship Id="rId1000" Type="http://schemas.openxmlformats.org/officeDocument/2006/relationships/hyperlink" Target="https://www.scopus.com/authid/detail.uri?authorId=57201780269" TargetMode="External"/><Relationship Id="rId1242" Type="http://schemas.openxmlformats.org/officeDocument/2006/relationships/hyperlink" Target="https://www.scopus.com/authid/detail.uri?authorId=57419193700&amp;origin=recordpage" TargetMode="External"/><Relationship Id="rId410" Type="http://schemas.openxmlformats.org/officeDocument/2006/relationships/hyperlink" Target="https://www.scopus.com/authid/detail.uri?authorId=7102777798" TargetMode="External"/><Relationship Id="rId652" Type="http://schemas.openxmlformats.org/officeDocument/2006/relationships/hyperlink" Target="http://orcid.org/0000-0003-0557-0945" TargetMode="External"/><Relationship Id="rId894" Type="http://schemas.openxmlformats.org/officeDocument/2006/relationships/hyperlink" Target="https://www.scopus.com/authid/detail.uri?authorId=57208908545" TargetMode="External"/><Relationship Id="rId1001" Type="http://schemas.openxmlformats.org/officeDocument/2006/relationships/hyperlink" Target="https://orcid.org/0000-0002-5842-6536" TargetMode="External"/><Relationship Id="rId1243" Type="http://schemas.openxmlformats.org/officeDocument/2006/relationships/hyperlink" Target="https://www.scopus.com/authid/detail.uri?authorId=57249318000" TargetMode="External"/><Relationship Id="rId651" Type="http://schemas.openxmlformats.org/officeDocument/2006/relationships/hyperlink" Target="https://www.scopus.com/authid/detail.uri?authorId=57216439548" TargetMode="External"/><Relationship Id="rId893" Type="http://schemas.openxmlformats.org/officeDocument/2006/relationships/hyperlink" Target="https://orcid.org/0000-0003-0436-4197" TargetMode="External"/><Relationship Id="rId1002" Type="http://schemas.openxmlformats.org/officeDocument/2006/relationships/hyperlink" Target="https://www.scopus.com/authid/detail.uri?authorId=57188701728" TargetMode="External"/><Relationship Id="rId1244" Type="http://schemas.openxmlformats.org/officeDocument/2006/relationships/hyperlink" Target="https://www.scopus.com/authid/detail.uri?authorId=57418642600&amp;origin=recordpage" TargetMode="External"/><Relationship Id="rId650" Type="http://schemas.openxmlformats.org/officeDocument/2006/relationships/hyperlink" Target="http://orcid.org/0000-0002-1158-5089" TargetMode="External"/><Relationship Id="rId892" Type="http://schemas.openxmlformats.org/officeDocument/2006/relationships/hyperlink" Target="https://orcid.org/0000-0002-1493-7262" TargetMode="External"/><Relationship Id="rId1003" Type="http://schemas.openxmlformats.org/officeDocument/2006/relationships/hyperlink" Target="https://orcid.org/0000-0002-6675-1363" TargetMode="External"/><Relationship Id="rId1245" Type="http://schemas.openxmlformats.org/officeDocument/2006/relationships/hyperlink" Target="https://orcid.org/0000-0002-3846-1668" TargetMode="External"/><Relationship Id="rId1037" Type="http://schemas.openxmlformats.org/officeDocument/2006/relationships/hyperlink" Target="https://orcid.org/0000-0002-7199-0895" TargetMode="External"/><Relationship Id="rId1038" Type="http://schemas.openxmlformats.org/officeDocument/2006/relationships/hyperlink" Target="https://www.scopus.com/authid/detail.uri?authorId=55976111400" TargetMode="External"/><Relationship Id="rId1039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206" Type="http://schemas.openxmlformats.org/officeDocument/2006/relationships/hyperlink" Target="https://orcid.org/0000-0002-7839-6223" TargetMode="External"/><Relationship Id="rId448" Type="http://schemas.openxmlformats.org/officeDocument/2006/relationships/hyperlink" Target="https://www.scopus.com/authid/detail.uri?authorId=57202800058" TargetMode="External"/><Relationship Id="rId205" Type="http://schemas.openxmlformats.org/officeDocument/2006/relationships/hyperlink" Target="https://www.scopus.com/authid/detail.uri?authorId=15069519100&amp;amp;eid=2-s2.0-33751200355" TargetMode="External"/><Relationship Id="rId447" Type="http://schemas.openxmlformats.org/officeDocument/2006/relationships/hyperlink" Target="https://orcid.org/0000-0003-1857-5534" TargetMode="External"/><Relationship Id="rId689" Type="http://schemas.openxmlformats.org/officeDocument/2006/relationships/hyperlink" Target="https://www.scopus.com/authid/detail.uri?authorId=7006546248" TargetMode="External"/><Relationship Id="rId204" Type="http://schemas.openxmlformats.org/officeDocument/2006/relationships/hyperlink" Target="https://orcid.org/0000-0001-9058-1344" TargetMode="External"/><Relationship Id="rId446" Type="http://schemas.openxmlformats.org/officeDocument/2006/relationships/hyperlink" Target="https://www.scopus.com/authid/detail.uri?authorId=43061153900" TargetMode="External"/><Relationship Id="rId688" Type="http://schemas.openxmlformats.org/officeDocument/2006/relationships/hyperlink" Target="https://orcid.org/0000-0001-8252-9685" TargetMode="External"/><Relationship Id="rId203" Type="http://schemas.openxmlformats.org/officeDocument/2006/relationships/hyperlink" Target="https://www.scopus.com/authid/detail.uri?authorId=16401507200" TargetMode="External"/><Relationship Id="rId445" Type="http://schemas.openxmlformats.org/officeDocument/2006/relationships/hyperlink" Target="https://orcid.org/0000-0002-8931-4350" TargetMode="External"/><Relationship Id="rId687" Type="http://schemas.openxmlformats.org/officeDocument/2006/relationships/hyperlink" Target="https://www.scopus.com/authid/detail.uri?authorId=57008903400" TargetMode="External"/><Relationship Id="rId209" Type="http://schemas.openxmlformats.org/officeDocument/2006/relationships/hyperlink" Target="https://orcid.org/0000-0003-3716-9638" TargetMode="External"/><Relationship Id="rId208" Type="http://schemas.openxmlformats.org/officeDocument/2006/relationships/hyperlink" Target="https://orcid.org/0000-0001-6331-1322" TargetMode="External"/><Relationship Id="rId207" Type="http://schemas.openxmlformats.org/officeDocument/2006/relationships/hyperlink" Target="https://www.scopus.com/authid/detail.uri?authorId=6506997369" TargetMode="External"/><Relationship Id="rId449" Type="http://schemas.openxmlformats.org/officeDocument/2006/relationships/hyperlink" Target="https://orcid.org/0000-0001-6002-7983" TargetMode="External"/><Relationship Id="rId1270" Type="http://schemas.openxmlformats.org/officeDocument/2006/relationships/hyperlink" Target="https://orcid.org/0000-0001-9434-1081" TargetMode="External"/><Relationship Id="rId440" Type="http://schemas.openxmlformats.org/officeDocument/2006/relationships/hyperlink" Target="https://orcid.org/0000-0002-7707-0969" TargetMode="External"/><Relationship Id="rId682" Type="http://schemas.openxmlformats.org/officeDocument/2006/relationships/hyperlink" Target="https://orcid.org/0000-0002-4458-8833" TargetMode="External"/><Relationship Id="rId1271" Type="http://schemas.openxmlformats.org/officeDocument/2006/relationships/hyperlink" Target="https://www.scopus.com/authid/detail.uri?authorId=56866386100" TargetMode="External"/><Relationship Id="rId681" Type="http://schemas.openxmlformats.org/officeDocument/2006/relationships/hyperlink" Target="https://www.scopus.com/authid/detail.uri?authorId=55940519400" TargetMode="External"/><Relationship Id="rId1030" Type="http://schemas.openxmlformats.org/officeDocument/2006/relationships/hyperlink" Target="https://www.scopus.com/authid/detail.uri?authorId=57202452099" TargetMode="External"/><Relationship Id="rId1272" Type="http://schemas.openxmlformats.org/officeDocument/2006/relationships/drawing" Target="../drawings/drawing1.xml"/><Relationship Id="rId680" Type="http://schemas.openxmlformats.org/officeDocument/2006/relationships/hyperlink" Target="https://orcid.org/0000-0001-7656-0440" TargetMode="External"/><Relationship Id="rId1031" Type="http://schemas.openxmlformats.org/officeDocument/2006/relationships/hyperlink" Target="https://orcid.org/0000-0002-4340-7615" TargetMode="External"/><Relationship Id="rId1273" Type="http://schemas.openxmlformats.org/officeDocument/2006/relationships/vmlDrawing" Target="../drawings/vmlDrawing1.vml"/><Relationship Id="rId1032" Type="http://schemas.openxmlformats.org/officeDocument/2006/relationships/hyperlink" Target="https://www.scopus.com/authid/detail.uri?authorId=36897443300" TargetMode="External"/><Relationship Id="rId202" Type="http://schemas.openxmlformats.org/officeDocument/2006/relationships/hyperlink" Target="https://orcid.org/0000-0002-0845-8070" TargetMode="External"/><Relationship Id="rId444" Type="http://schemas.openxmlformats.org/officeDocument/2006/relationships/hyperlink" Target="https://www.scopus.com/authid/detail.uri?authorId=15769610200" TargetMode="External"/><Relationship Id="rId686" Type="http://schemas.openxmlformats.org/officeDocument/2006/relationships/hyperlink" Target="http://orcid.org/0000-0002-5601-7018" TargetMode="External"/><Relationship Id="rId1033" Type="http://schemas.openxmlformats.org/officeDocument/2006/relationships/hyperlink" Target="https://orcid.org/0000-0002-2054-9186" TargetMode="External"/><Relationship Id="rId201" Type="http://schemas.openxmlformats.org/officeDocument/2006/relationships/hyperlink" Target="https://www.scopus.com/authid/detail.uri?authorId=6701855238" TargetMode="External"/><Relationship Id="rId443" Type="http://schemas.openxmlformats.org/officeDocument/2006/relationships/hyperlink" Target="https://orcid.org/0000-0002-7163-8904" TargetMode="External"/><Relationship Id="rId685" Type="http://schemas.openxmlformats.org/officeDocument/2006/relationships/hyperlink" Target="https://www.scopus.com/authid/detail.uri?authorId=9535153800" TargetMode="External"/><Relationship Id="rId1034" Type="http://schemas.openxmlformats.org/officeDocument/2006/relationships/hyperlink" Target="https://www.scopus.com/authid/detail.uri?authorId=57208632312" TargetMode="External"/><Relationship Id="rId200" Type="http://schemas.openxmlformats.org/officeDocument/2006/relationships/hyperlink" Target="https://orcid.org/0000-0002-3263-5268" TargetMode="External"/><Relationship Id="rId442" Type="http://schemas.openxmlformats.org/officeDocument/2006/relationships/hyperlink" Target="https://orcid.org/0000-0002-1514-1792" TargetMode="External"/><Relationship Id="rId684" Type="http://schemas.openxmlformats.org/officeDocument/2006/relationships/hyperlink" Target="http://orcid.org/0000-0001-7197-9760" TargetMode="External"/><Relationship Id="rId1035" Type="http://schemas.openxmlformats.org/officeDocument/2006/relationships/hyperlink" Target="https://orcid.org/0000-0001-7224-589X" TargetMode="External"/><Relationship Id="rId441" Type="http://schemas.openxmlformats.org/officeDocument/2006/relationships/hyperlink" Target="https://www.scopus.com/authid/detail.uri?authorId=57218268816" TargetMode="External"/><Relationship Id="rId683" Type="http://schemas.openxmlformats.org/officeDocument/2006/relationships/hyperlink" Target="https://www.scopus.com/authid/detail.uri?authorId=6603248549" TargetMode="External"/><Relationship Id="rId1036" Type="http://schemas.openxmlformats.org/officeDocument/2006/relationships/hyperlink" Target="https://www.scopus.com/authid/detail.uri?authorId=57216485518&amp;amp;eid=2-s2.0-85083647740" TargetMode="External"/><Relationship Id="rId1026" Type="http://schemas.openxmlformats.org/officeDocument/2006/relationships/hyperlink" Target="https://www.scopus.com/authid/detail.uri?authorId=57193455909" TargetMode="External"/><Relationship Id="rId1268" Type="http://schemas.openxmlformats.org/officeDocument/2006/relationships/hyperlink" Target="https://orcid.org/0000-0002-7751-4814" TargetMode="External"/><Relationship Id="rId1027" Type="http://schemas.openxmlformats.org/officeDocument/2006/relationships/hyperlink" Target="https://orcid.org/0000-0003-3788-5714" TargetMode="External"/><Relationship Id="rId1269" Type="http://schemas.openxmlformats.org/officeDocument/2006/relationships/hyperlink" Target="https://www.scopus.com/authid/detail.uri?authorId=37059004500" TargetMode="External"/><Relationship Id="rId1028" Type="http://schemas.openxmlformats.org/officeDocument/2006/relationships/hyperlink" Target="https://www.scopus.com/authid/detail.uri?authorId=16401149500" TargetMode="External"/><Relationship Id="rId1029" Type="http://schemas.openxmlformats.org/officeDocument/2006/relationships/hyperlink" Target="https://orcid.org/0000-0002-5176-9384" TargetMode="External"/><Relationship Id="rId437" Type="http://schemas.openxmlformats.org/officeDocument/2006/relationships/hyperlink" Target="https://www.scopus.com/authid/detail.uri?authorId=57170510300" TargetMode="External"/><Relationship Id="rId679" Type="http://schemas.openxmlformats.org/officeDocument/2006/relationships/hyperlink" Target="https://www.scopus.com/authid/detail.uri?authorId=6506997466" TargetMode="External"/><Relationship Id="rId436" Type="http://schemas.openxmlformats.org/officeDocument/2006/relationships/hyperlink" Target="https://orcid.org/0000-0003-2680-9978" TargetMode="External"/><Relationship Id="rId678" Type="http://schemas.openxmlformats.org/officeDocument/2006/relationships/hyperlink" Target="http://orcid.org/0000-0001-9489-2107" TargetMode="External"/><Relationship Id="rId435" Type="http://schemas.openxmlformats.org/officeDocument/2006/relationships/hyperlink" Target="https://www.scopus.com/authid/detail.uri?authorId=16520547500" TargetMode="External"/><Relationship Id="rId677" Type="http://schemas.openxmlformats.org/officeDocument/2006/relationships/hyperlink" Target="http://orcid.org/0000-0002-0522-1799" TargetMode="External"/><Relationship Id="rId434" Type="http://schemas.openxmlformats.org/officeDocument/2006/relationships/hyperlink" Target="https://orcid.org/0000-0003-2157-4479" TargetMode="External"/><Relationship Id="rId676" Type="http://schemas.openxmlformats.org/officeDocument/2006/relationships/hyperlink" Target="https://www.scopus.com/authid/detail.uri?authorId=9533618500" TargetMode="External"/><Relationship Id="rId439" Type="http://schemas.openxmlformats.org/officeDocument/2006/relationships/hyperlink" Target="https://www.scopus.com/authid/detail.uri?authorId=9274738700" TargetMode="External"/><Relationship Id="rId438" Type="http://schemas.openxmlformats.org/officeDocument/2006/relationships/hyperlink" Target="https://orcid.org/0000-0002-0247-2736" TargetMode="External"/><Relationship Id="rId671" Type="http://schemas.openxmlformats.org/officeDocument/2006/relationships/hyperlink" Target="https://www.scopus.com/authid/detail.uri?authorId=57208026679" TargetMode="External"/><Relationship Id="rId1260" Type="http://schemas.openxmlformats.org/officeDocument/2006/relationships/hyperlink" Target="https://orcid.org/0000-0002-4497-0012" TargetMode="External"/><Relationship Id="rId670" Type="http://schemas.openxmlformats.org/officeDocument/2006/relationships/hyperlink" Target="https://orcid.org/0000-0003-4442-8001" TargetMode="External"/><Relationship Id="rId1261" Type="http://schemas.openxmlformats.org/officeDocument/2006/relationships/hyperlink" Target="https://www.scopus.com/authid/detail.uri?authorId=8369745000" TargetMode="External"/><Relationship Id="rId1020" Type="http://schemas.openxmlformats.org/officeDocument/2006/relationships/hyperlink" Target="http://orcid.org/0000-0002-3584-2107" TargetMode="External"/><Relationship Id="rId1262" Type="http://schemas.openxmlformats.org/officeDocument/2006/relationships/hyperlink" Target="https://orcid.org/0000-0002-0583-3752" TargetMode="External"/><Relationship Id="rId1021" Type="http://schemas.openxmlformats.org/officeDocument/2006/relationships/hyperlink" Target="https://www.scopus.com/authid/detail.uri?authorId=24483080100" TargetMode="External"/><Relationship Id="rId1263" Type="http://schemas.openxmlformats.org/officeDocument/2006/relationships/hyperlink" Target="https://www.scopus.com/authid/detail.uri?authorId=57208627767" TargetMode="External"/><Relationship Id="rId433" Type="http://schemas.openxmlformats.org/officeDocument/2006/relationships/hyperlink" Target="https://www.scopus.com/authid/detail.uri?authorId=57194029246" TargetMode="External"/><Relationship Id="rId675" Type="http://schemas.openxmlformats.org/officeDocument/2006/relationships/hyperlink" Target="https://www.scopus.com/authid/detail.uri?authorId=6602185126" TargetMode="External"/><Relationship Id="rId1022" Type="http://schemas.openxmlformats.org/officeDocument/2006/relationships/hyperlink" Target="http://orcid.org/0000-0003-4616-250X" TargetMode="External"/><Relationship Id="rId1264" Type="http://schemas.openxmlformats.org/officeDocument/2006/relationships/hyperlink" Target="https://orcid.org/0000-0001-6383-5222" TargetMode="External"/><Relationship Id="rId432" Type="http://schemas.openxmlformats.org/officeDocument/2006/relationships/hyperlink" Target="https://www.scopus.com/authid/detail.uri?authorId=57207764576" TargetMode="External"/><Relationship Id="rId674" Type="http://schemas.openxmlformats.org/officeDocument/2006/relationships/hyperlink" Target="https://orcid.org/0000-0002-9898-0937" TargetMode="External"/><Relationship Id="rId1023" Type="http://schemas.openxmlformats.org/officeDocument/2006/relationships/hyperlink" Target="https://www.scopus.com/authid/detail.uri?authorId=57194036787" TargetMode="External"/><Relationship Id="rId1265" Type="http://schemas.openxmlformats.org/officeDocument/2006/relationships/hyperlink" Target="https://www.scopus.com/authid/detail.uri?authorId=57208898156" TargetMode="External"/><Relationship Id="rId431" Type="http://schemas.openxmlformats.org/officeDocument/2006/relationships/hyperlink" Target="https://orcid.org/0000-0002-8911-5933" TargetMode="External"/><Relationship Id="rId673" Type="http://schemas.openxmlformats.org/officeDocument/2006/relationships/hyperlink" Target="https://www.scopus.com/authid/detail.uri?authorId=57105743600" TargetMode="External"/><Relationship Id="rId1024" Type="http://schemas.openxmlformats.org/officeDocument/2006/relationships/hyperlink" Target="https://www.scopus.com/authid/detail.uri?authorId=57219773778&amp;amp;eid=2-s2.0-85095455886" TargetMode="External"/><Relationship Id="rId1266" Type="http://schemas.openxmlformats.org/officeDocument/2006/relationships/hyperlink" Target="https://orcid.org/0000-0002-7183-6345" TargetMode="External"/><Relationship Id="rId430" Type="http://schemas.openxmlformats.org/officeDocument/2006/relationships/hyperlink" Target="https://www.scopus.com/authid/detail.uri?authorId=57217200781" TargetMode="External"/><Relationship Id="rId672" Type="http://schemas.openxmlformats.org/officeDocument/2006/relationships/hyperlink" Target="https://orcid.org/0000-0003-4310-5833" TargetMode="External"/><Relationship Id="rId1025" Type="http://schemas.openxmlformats.org/officeDocument/2006/relationships/hyperlink" Target="https://orcid.org/0000-0001-7335-0712" TargetMode="External"/><Relationship Id="rId1267" Type="http://schemas.openxmlformats.org/officeDocument/2006/relationships/hyperlink" Target="https://www.scopus.com/authid/detail.uri?authorId=57226357638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34.29" outlineLevel="1"/>
    <col customWidth="1" min="4" max="4" width="23.86"/>
    <col customWidth="1" min="5" max="5" width="9.43" outlineLevel="1"/>
    <col customWidth="1" min="6" max="6" width="10.71" outlineLevel="1"/>
    <col customWidth="1" min="7" max="7" width="9.29" outlineLevel="1"/>
    <col customWidth="1" min="8" max="8" width="9.14" outlineLevel="1"/>
    <col customWidth="1" min="9" max="9" width="10.0" outlineLevel="1"/>
    <col customWidth="1" min="10" max="10" width="9.57" outlineLevel="1"/>
    <col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 ht="30.0" customHeight="1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 ht="105.0" customHeight="1">
      <c r="A3" s="22">
        <v>1907.0</v>
      </c>
      <c r="B3" s="23" t="s">
        <v>18</v>
      </c>
      <c r="C3" s="24" t="s">
        <v>19</v>
      </c>
      <c r="D3" s="25" t="s">
        <v>20</v>
      </c>
      <c r="E3" s="26">
        <v>4.0</v>
      </c>
      <c r="F3" s="26">
        <v>2.0</v>
      </c>
      <c r="G3" s="26">
        <v>1.0</v>
      </c>
      <c r="H3" s="27">
        <v>1.0</v>
      </c>
      <c r="I3" s="27">
        <v>0.0</v>
      </c>
      <c r="J3" s="27">
        <v>0.0</v>
      </c>
      <c r="K3" s="28">
        <v>65.0</v>
      </c>
      <c r="L3" s="29" t="s">
        <v>21</v>
      </c>
      <c r="M3" s="30" t="s">
        <v>22</v>
      </c>
      <c r="N3" s="31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2">
        <v>76.0</v>
      </c>
      <c r="P3" s="32">
        <v>5.0</v>
      </c>
      <c r="Q3" s="33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 ht="90.0" customHeight="1">
      <c r="A4" s="34">
        <v>7402.0</v>
      </c>
      <c r="B4" s="23" t="s">
        <v>24</v>
      </c>
      <c r="C4" s="35" t="s">
        <v>25</v>
      </c>
      <c r="D4" s="36" t="s">
        <v>26</v>
      </c>
      <c r="E4" s="26">
        <v>122.0</v>
      </c>
      <c r="F4" s="26">
        <v>1093.0</v>
      </c>
      <c r="G4" s="26">
        <v>20.0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 ht="90.0" customHeight="1">
      <c r="A5" s="22">
        <v>1697.0</v>
      </c>
      <c r="B5" s="23" t="s">
        <v>29</v>
      </c>
      <c r="C5" s="24" t="s">
        <v>30</v>
      </c>
      <c r="D5" s="42" t="s">
        <v>31</v>
      </c>
      <c r="E5" s="26">
        <v>76.0</v>
      </c>
      <c r="F5" s="26">
        <v>380.0</v>
      </c>
      <c r="G5" s="26">
        <v>11.0</v>
      </c>
      <c r="H5" s="27">
        <v>26.0</v>
      </c>
      <c r="I5" s="27">
        <v>40.0</v>
      </c>
      <c r="J5" s="27">
        <v>4.0</v>
      </c>
      <c r="K5" s="28">
        <v>396.0</v>
      </c>
      <c r="L5" s="29" t="s">
        <v>21</v>
      </c>
      <c r="M5" s="30" t="s">
        <v>22</v>
      </c>
      <c r="N5" s="33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30">
        <v>1732.0</v>
      </c>
      <c r="P5" s="30">
        <v>25.0</v>
      </c>
      <c r="Q5" s="33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 ht="90.0" customHeight="1">
      <c r="A6" s="22">
        <v>1725.0</v>
      </c>
      <c r="B6" s="23" t="s">
        <v>33</v>
      </c>
      <c r="C6" s="24" t="s">
        <v>34</v>
      </c>
      <c r="D6" s="42" t="s">
        <v>35</v>
      </c>
      <c r="E6" s="26">
        <v>66.0</v>
      </c>
      <c r="F6" s="26">
        <v>828.0</v>
      </c>
      <c r="G6" s="26">
        <v>18.0</v>
      </c>
      <c r="H6" s="27">
        <v>19.0</v>
      </c>
      <c r="I6" s="27">
        <v>61.0</v>
      </c>
      <c r="J6" s="27">
        <v>5.0</v>
      </c>
      <c r="K6" s="28">
        <v>33.0</v>
      </c>
      <c r="L6" s="29" t="s">
        <v>36</v>
      </c>
      <c r="M6" s="30" t="s">
        <v>22</v>
      </c>
      <c r="N6" s="33" t="str">
        <f>HYPERLINK("https://scholar.google.com.ua/citations?user=iNpvqTUAAAAJ","https://scholar.google.com.ua/citations?user=iNpvqTUAAAAJ")</f>
        <v>https://scholar.google.com.ua/citations?user=iNpvqTUAAAAJ</v>
      </c>
      <c r="O6" s="30">
        <v>706.0</v>
      </c>
      <c r="P6" s="30">
        <v>16.0</v>
      </c>
      <c r="Q6" s="33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 ht="105.0" customHeight="1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7">
        <v>1.0</v>
      </c>
      <c r="I7" s="27">
        <v>0.0</v>
      </c>
      <c r="J7" s="27">
        <v>0.0</v>
      </c>
      <c r="K7" s="28">
        <v>0.0</v>
      </c>
      <c r="L7" s="44" t="s">
        <v>41</v>
      </c>
      <c r="M7" s="30" t="s">
        <v>22</v>
      </c>
      <c r="N7" s="33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30">
        <v>52.0</v>
      </c>
      <c r="P7" s="30">
        <v>3.0</v>
      </c>
      <c r="Q7" s="33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 ht="90.0" customHeight="1">
      <c r="A8" s="22">
        <v>5690.0</v>
      </c>
      <c r="B8" s="23" t="s">
        <v>43</v>
      </c>
      <c r="C8" s="24" t="s">
        <v>44</v>
      </c>
      <c r="D8" s="42" t="s">
        <v>45</v>
      </c>
      <c r="E8" s="26">
        <v>15.0</v>
      </c>
      <c r="F8" s="26">
        <v>48.0</v>
      </c>
      <c r="G8" s="26">
        <v>4.0</v>
      </c>
      <c r="H8" s="27">
        <v>8.0</v>
      </c>
      <c r="I8" s="27">
        <v>11.0</v>
      </c>
      <c r="J8" s="27">
        <v>2.0</v>
      </c>
      <c r="K8" s="28">
        <v>13.0</v>
      </c>
      <c r="L8" s="45" t="s">
        <v>46</v>
      </c>
      <c r="M8" s="30" t="s">
        <v>22</v>
      </c>
      <c r="N8" s="33" t="str">
        <f>HYPERLINK(" https://scholar.google.com.ua/citations?user=7WzWS64AAAAJ"," https://scholar.google.com.ua/citations?user=7WzWS64AAAAJ")</f>
        <v> https://scholar.google.com.ua/citations?user=7WzWS64AAAAJ</v>
      </c>
      <c r="O8" s="30">
        <v>82.0</v>
      </c>
      <c r="P8" s="30">
        <v>5.0</v>
      </c>
      <c r="Q8" s="33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 ht="90.0" customHeight="1">
      <c r="A9" s="22">
        <v>263.0</v>
      </c>
      <c r="B9" s="23" t="s">
        <v>48</v>
      </c>
      <c r="C9" s="24" t="s">
        <v>49</v>
      </c>
      <c r="D9" s="42" t="s">
        <v>50</v>
      </c>
      <c r="E9" s="26">
        <v>15.0</v>
      </c>
      <c r="F9" s="26">
        <v>28.0</v>
      </c>
      <c r="G9" s="26">
        <v>3.0</v>
      </c>
      <c r="H9" s="27">
        <v>3.0</v>
      </c>
      <c r="I9" s="27">
        <v>1.0</v>
      </c>
      <c r="J9" s="27">
        <v>1.0</v>
      </c>
      <c r="K9" s="28">
        <v>12.0</v>
      </c>
      <c r="L9" s="44" t="s">
        <v>51</v>
      </c>
      <c r="M9" s="30" t="s">
        <v>22</v>
      </c>
      <c r="N9" s="33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30">
        <v>69.0</v>
      </c>
      <c r="P9" s="30">
        <v>4.0</v>
      </c>
      <c r="Q9" s="33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 ht="90.0" customHeight="1">
      <c r="A10" s="22">
        <v>7879.0</v>
      </c>
      <c r="B10" s="23" t="s">
        <v>53</v>
      </c>
      <c r="C10" s="46" t="s">
        <v>54</v>
      </c>
      <c r="D10" s="42" t="s">
        <v>55</v>
      </c>
      <c r="E10" s="26">
        <v>7.0</v>
      </c>
      <c r="F10" s="26">
        <v>30.0</v>
      </c>
      <c r="G10" s="26">
        <v>3.0</v>
      </c>
      <c r="H10" s="27">
        <v>5.0</v>
      </c>
      <c r="I10" s="27">
        <v>12.0</v>
      </c>
      <c r="J10" s="27">
        <v>2.0</v>
      </c>
      <c r="K10" s="28">
        <v>0.0</v>
      </c>
      <c r="L10" s="29" t="s">
        <v>36</v>
      </c>
      <c r="M10" s="30" t="s">
        <v>22</v>
      </c>
      <c r="N10" s="33"/>
      <c r="O10" s="30"/>
      <c r="P10" s="30"/>
      <c r="Q10" s="30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 ht="90.0" customHeight="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8">
        <v>5.0</v>
      </c>
      <c r="L11" s="44" t="s">
        <v>60</v>
      </c>
      <c r="M11" s="30" t="s">
        <v>22</v>
      </c>
      <c r="N11" s="33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30">
        <v>3.0</v>
      </c>
      <c r="P11" s="30">
        <v>1.0</v>
      </c>
      <c r="Q11" s="33" t="str">
        <f>HYPERLINK("https://nure.ua/staff/rauf-yusif-ogli-allahveranov","https://nure.ua/staff/rauf-yusif-ogli-allahveranov")</f>
        <v>https://nure.ua/staff/rauf-yusif-ogli-allahveranov</v>
      </c>
      <c r="R11" s="12"/>
      <c r="S11" s="13"/>
      <c r="T11" s="13"/>
      <c r="U11" s="13"/>
      <c r="V11" s="13"/>
      <c r="W11" s="13"/>
      <c r="X11" s="13"/>
      <c r="Y11" s="13"/>
      <c r="Z11" s="13"/>
    </row>
    <row r="12" ht="90.0" customHeight="1">
      <c r="A12" s="22">
        <v>226.0</v>
      </c>
      <c r="B12" s="23" t="s">
        <v>61</v>
      </c>
      <c r="C12" s="24" t="s">
        <v>62</v>
      </c>
      <c r="D12" s="42" t="s">
        <v>63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8">
        <v>14.0</v>
      </c>
      <c r="L12" s="44" t="s">
        <v>64</v>
      </c>
      <c r="M12" s="30" t="s">
        <v>22</v>
      </c>
      <c r="N12" s="33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30">
        <v>3.0</v>
      </c>
      <c r="P12" s="30">
        <v>1.0</v>
      </c>
      <c r="Q12" s="33" t="str">
        <f>HYPERLINK("https://nure.ua/staff/mikola-yevgenovich-alforov","https://nure.ua/staff/mikola-yevgenovich-alforov")</f>
        <v>https://nure.ua/staff/mikola-yevgenovich-alforov</v>
      </c>
      <c r="R12" s="12" t="s">
        <v>65</v>
      </c>
      <c r="S12" s="13"/>
      <c r="T12" s="13"/>
      <c r="U12" s="13"/>
      <c r="V12" s="13"/>
      <c r="W12" s="13"/>
      <c r="X12" s="13"/>
      <c r="Y12" s="13"/>
      <c r="Z12" s="13"/>
    </row>
    <row r="13" ht="150.0" customHeight="1">
      <c r="A13" s="22">
        <v>4119.0</v>
      </c>
      <c r="B13" s="23" t="s">
        <v>66</v>
      </c>
      <c r="C13" s="24" t="s">
        <v>67</v>
      </c>
      <c r="D13" s="42" t="s">
        <v>68</v>
      </c>
      <c r="E13" s="26">
        <v>2.0</v>
      </c>
      <c r="F13" s="26">
        <v>4.0</v>
      </c>
      <c r="G13" s="26">
        <v>1.0</v>
      </c>
      <c r="H13" s="47">
        <v>0.0</v>
      </c>
      <c r="I13" s="47">
        <v>0.0</v>
      </c>
      <c r="J13" s="47">
        <v>0.0</v>
      </c>
      <c r="K13" s="28">
        <v>18.0</v>
      </c>
      <c r="L13" s="39" t="s">
        <v>60</v>
      </c>
      <c r="M13" s="30" t="s">
        <v>22</v>
      </c>
      <c r="N13" s="33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30">
        <v>145.0</v>
      </c>
      <c r="P13" s="30">
        <v>5.0</v>
      </c>
      <c r="Q13" s="33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69</v>
      </c>
      <c r="S13" s="13"/>
      <c r="T13" s="13"/>
      <c r="U13" s="13"/>
      <c r="V13" s="13"/>
      <c r="W13" s="13"/>
      <c r="X13" s="13"/>
      <c r="Y13" s="13"/>
      <c r="Z13" s="13"/>
    </row>
    <row r="14" ht="25.5" customHeight="1">
      <c r="A14" s="22"/>
      <c r="B14" s="23" t="s">
        <v>70</v>
      </c>
      <c r="C14" s="24"/>
      <c r="D14" s="42"/>
      <c r="E14" s="48">
        <v>0.0</v>
      </c>
      <c r="F14" s="48">
        <v>0.0</v>
      </c>
      <c r="G14" s="48">
        <v>0.0</v>
      </c>
      <c r="H14" s="47"/>
      <c r="I14" s="47"/>
      <c r="J14" s="47"/>
      <c r="K14" s="28"/>
      <c r="L14" s="29" t="s">
        <v>71</v>
      </c>
      <c r="M14" s="30" t="s">
        <v>22</v>
      </c>
      <c r="N14" s="33"/>
      <c r="O14" s="30"/>
      <c r="P14" s="30"/>
      <c r="Q14" s="30"/>
      <c r="R14" s="12"/>
      <c r="S14" s="13"/>
      <c r="T14" s="13"/>
      <c r="U14" s="13"/>
      <c r="V14" s="13"/>
      <c r="W14" s="13"/>
      <c r="X14" s="13"/>
      <c r="Y14" s="13"/>
      <c r="Z14" s="13"/>
    </row>
    <row r="15" ht="90.0" customHeight="1">
      <c r="A15" s="22">
        <v>74.0</v>
      </c>
      <c r="B15" s="23" t="s">
        <v>72</v>
      </c>
      <c r="C15" s="24" t="s">
        <v>73</v>
      </c>
      <c r="D15" s="42" t="s">
        <v>74</v>
      </c>
      <c r="E15" s="26">
        <v>15.0</v>
      </c>
      <c r="F15" s="26">
        <v>1.0</v>
      </c>
      <c r="G15" s="26">
        <v>1.0</v>
      </c>
      <c r="H15" s="27">
        <v>8.0</v>
      </c>
      <c r="I15" s="27">
        <v>0.0</v>
      </c>
      <c r="J15" s="27">
        <v>0.0</v>
      </c>
      <c r="K15" s="28">
        <v>18.0</v>
      </c>
      <c r="L15" s="44" t="s">
        <v>75</v>
      </c>
      <c r="M15" s="30" t="s">
        <v>22</v>
      </c>
      <c r="N15" s="33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30">
        <v>88.0</v>
      </c>
      <c r="P15" s="30">
        <v>6.0</v>
      </c>
      <c r="Q15" s="33" t="str">
        <f>HYPERLINK("https://nure.ua/staff/antipov-ivan-yevgeniyovich","https://nure.ua/staff/antipov-ivan-yevgeniyovich")</f>
        <v>https://nure.ua/staff/antipov-ivan-yevgeniyovich</v>
      </c>
      <c r="R15" s="12" t="s">
        <v>76</v>
      </c>
      <c r="S15" s="13"/>
      <c r="T15" s="13"/>
      <c r="U15" s="13"/>
      <c r="V15" s="13"/>
      <c r="W15" s="13"/>
      <c r="X15" s="13"/>
      <c r="Y15" s="13"/>
      <c r="Z15" s="13"/>
    </row>
    <row r="16" ht="25.5" customHeight="1">
      <c r="A16" s="34">
        <v>5503.0</v>
      </c>
      <c r="B16" s="49" t="s">
        <v>77</v>
      </c>
      <c r="C16" s="35"/>
      <c r="D16" s="36"/>
      <c r="E16" s="50"/>
      <c r="F16" s="50"/>
      <c r="G16" s="50"/>
      <c r="H16" s="51"/>
      <c r="I16" s="51"/>
      <c r="J16" s="51"/>
      <c r="K16" s="38">
        <v>0.0</v>
      </c>
      <c r="L16" s="40" t="s">
        <v>78</v>
      </c>
      <c r="M16" s="40" t="s">
        <v>79</v>
      </c>
      <c r="N16" s="41"/>
      <c r="O16" s="40"/>
      <c r="P16" s="40"/>
      <c r="Q16" s="40"/>
      <c r="R16" s="52"/>
      <c r="S16" s="53"/>
      <c r="T16" s="53"/>
      <c r="U16" s="53"/>
      <c r="V16" s="53"/>
      <c r="W16" s="53"/>
      <c r="X16" s="53"/>
      <c r="Y16" s="53"/>
      <c r="Z16" s="53"/>
    </row>
    <row r="17" ht="30.0" customHeight="1">
      <c r="A17" s="22">
        <v>7869.0</v>
      </c>
      <c r="B17" s="23" t="s">
        <v>80</v>
      </c>
      <c r="C17" s="24"/>
      <c r="D17" s="42"/>
      <c r="E17" s="50"/>
      <c r="F17" s="50"/>
      <c r="G17" s="50"/>
      <c r="H17" s="47"/>
      <c r="I17" s="47"/>
      <c r="J17" s="47"/>
      <c r="K17" s="28">
        <v>0.0</v>
      </c>
      <c r="L17" s="39"/>
      <c r="M17" s="30" t="s">
        <v>22</v>
      </c>
      <c r="N17" s="33"/>
      <c r="O17" s="30"/>
      <c r="P17" s="30"/>
      <c r="Q17" s="33" t="str">
        <f>HYPERLINK("https://nure.ua/staff/olena-juriivna-artem-ieva","https://nure.ua/staff/olena-juriivna-artem-ieva")</f>
        <v>https://nure.ua/staff/olena-juriivna-artem-ieva</v>
      </c>
      <c r="R17" s="12"/>
      <c r="S17" s="13"/>
      <c r="T17" s="13"/>
      <c r="U17" s="13"/>
      <c r="V17" s="13"/>
      <c r="W17" s="13"/>
      <c r="X17" s="13"/>
      <c r="Y17" s="13"/>
      <c r="Z17" s="13"/>
    </row>
    <row r="18" ht="90.0" customHeight="1">
      <c r="A18" s="34">
        <v>5720.0</v>
      </c>
      <c r="B18" s="49" t="s">
        <v>81</v>
      </c>
      <c r="C18" s="35" t="s">
        <v>82</v>
      </c>
      <c r="D18" s="54" t="s">
        <v>83</v>
      </c>
      <c r="E18" s="26">
        <v>1.0</v>
      </c>
      <c r="F18" s="26">
        <v>0.0</v>
      </c>
      <c r="G18" s="26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79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2" t="s">
        <v>84</v>
      </c>
      <c r="S18" s="53"/>
      <c r="T18" s="53"/>
      <c r="U18" s="53"/>
      <c r="V18" s="53"/>
      <c r="W18" s="53"/>
      <c r="X18" s="53"/>
      <c r="Y18" s="53"/>
      <c r="Z18" s="53"/>
    </row>
    <row r="19" ht="90.0" customHeight="1">
      <c r="A19" s="22">
        <v>7470.0</v>
      </c>
      <c r="B19" s="23" t="s">
        <v>85</v>
      </c>
      <c r="C19" s="24" t="s">
        <v>86</v>
      </c>
      <c r="D19" s="55" t="s">
        <v>87</v>
      </c>
      <c r="E19" s="26">
        <v>4.0</v>
      </c>
      <c r="F19" s="26">
        <v>29.0</v>
      </c>
      <c r="G19" s="26">
        <v>3.0</v>
      </c>
      <c r="H19" s="27">
        <v>0.0</v>
      </c>
      <c r="I19" s="27">
        <v>0.0</v>
      </c>
      <c r="J19" s="27">
        <v>0.0</v>
      </c>
      <c r="K19" s="28">
        <v>4.0</v>
      </c>
      <c r="L19" s="39"/>
      <c r="M19" s="30" t="s">
        <v>22</v>
      </c>
      <c r="N19" s="33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30">
        <v>47.0</v>
      </c>
      <c r="P19" s="30">
        <v>4.0</v>
      </c>
      <c r="Q19" s="33" t="str">
        <f>HYPERLINK("https://nure.ua/staff/roman-volodimirovich-artyuh","https://nure.ua/staff/roman-volodimirovich-artyuh")</f>
        <v>https://nure.ua/staff/roman-volodimirovich-artyuh</v>
      </c>
      <c r="R19" s="12" t="s">
        <v>88</v>
      </c>
      <c r="S19" s="13"/>
      <c r="T19" s="13"/>
      <c r="U19" s="13"/>
      <c r="V19" s="13"/>
      <c r="W19" s="13"/>
      <c r="X19" s="13"/>
      <c r="Y19" s="13"/>
      <c r="Z19" s="13"/>
    </row>
    <row r="20" ht="45.0" customHeight="1">
      <c r="A20" s="22">
        <v>7189.0</v>
      </c>
      <c r="B20" s="23" t="s">
        <v>89</v>
      </c>
      <c r="C20" s="24" t="s">
        <v>90</v>
      </c>
      <c r="D20" s="42"/>
      <c r="E20" s="48"/>
      <c r="F20" s="48"/>
      <c r="G20" s="48"/>
      <c r="H20" s="47"/>
      <c r="I20" s="47"/>
      <c r="J20" s="47"/>
      <c r="K20" s="28">
        <v>1.0</v>
      </c>
      <c r="L20" s="39" t="s">
        <v>91</v>
      </c>
      <c r="M20" s="30" t="s">
        <v>22</v>
      </c>
      <c r="N20" s="33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30">
        <v>41.0</v>
      </c>
      <c r="P20" s="30">
        <v>2.0</v>
      </c>
      <c r="Q20" s="33" t="str">
        <f>HYPERLINK("https://nure.ua/staff/viktorija-oleksandrivna-arhipova","https://nure.ua/staff/viktorija-oleksandrivna-arhipova")</f>
        <v>https://nure.ua/staff/viktorija-oleksandrivna-arhipova</v>
      </c>
      <c r="R20" s="12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92</v>
      </c>
      <c r="C21" s="24" t="s">
        <v>93</v>
      </c>
      <c r="D21" s="42"/>
      <c r="E21" s="50"/>
      <c r="F21" s="50"/>
      <c r="G21" s="50"/>
      <c r="H21" s="47"/>
      <c r="I21" s="47"/>
      <c r="J21" s="47"/>
      <c r="K21" s="28">
        <v>7.0</v>
      </c>
      <c r="L21" s="56" t="s">
        <v>94</v>
      </c>
      <c r="M21" s="30" t="s">
        <v>22</v>
      </c>
      <c r="N21" s="33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30">
        <v>8.0</v>
      </c>
      <c r="P21" s="30">
        <v>1.0</v>
      </c>
      <c r="Q21" s="33" t="str">
        <f>HYPERLINK("https://nure.ua/staff/vadim-oleksiyovich-afanasyev","https://nure.ua/staff/vadim-oleksiyovich-afanasyev")</f>
        <v>https://nure.ua/staff/vadim-oleksiyovich-afanasyev</v>
      </c>
      <c r="R21" s="12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95</v>
      </c>
      <c r="C22" s="24" t="s">
        <v>96</v>
      </c>
      <c r="D22" s="55" t="s">
        <v>97</v>
      </c>
      <c r="E22" s="26">
        <v>6.0</v>
      </c>
      <c r="F22" s="26">
        <v>12.0</v>
      </c>
      <c r="G22" s="26">
        <v>2.0</v>
      </c>
      <c r="H22" s="27">
        <v>2.0</v>
      </c>
      <c r="I22" s="27">
        <v>2.0</v>
      </c>
      <c r="J22" s="27">
        <v>1.0</v>
      </c>
      <c r="K22" s="28">
        <v>2.0</v>
      </c>
      <c r="L22" s="44" t="s">
        <v>41</v>
      </c>
      <c r="M22" s="30"/>
      <c r="N22" s="33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30">
        <v>31.0</v>
      </c>
      <c r="P22" s="30">
        <v>3.0</v>
      </c>
      <c r="Q22" s="33" t="str">
        <f>HYPERLINK("https://nure.ua/staff/irina-vitaliyivna-afanasyeva","https://nure.ua/staff/irina-vitaliyivna-afanasyeva")</f>
        <v>https://nure.ua/staff/irina-vitaliyivna-afanasyeva</v>
      </c>
      <c r="R22" s="12" t="s">
        <v>98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99</v>
      </c>
      <c r="C23" s="24" t="s">
        <v>100</v>
      </c>
      <c r="D23" s="42" t="s">
        <v>101</v>
      </c>
      <c r="E23" s="57">
        <v>3.0</v>
      </c>
      <c r="F23" s="57">
        <v>0.0</v>
      </c>
      <c r="G23" s="57">
        <v>0.0</v>
      </c>
      <c r="H23" s="47">
        <v>0.0</v>
      </c>
      <c r="I23" s="47">
        <v>0.0</v>
      </c>
      <c r="J23" s="47">
        <v>0.0</v>
      </c>
      <c r="K23" s="28">
        <v>24.0</v>
      </c>
      <c r="L23" s="44" t="s">
        <v>102</v>
      </c>
      <c r="M23" s="30" t="s">
        <v>22</v>
      </c>
      <c r="N23" s="33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30">
        <v>16.0</v>
      </c>
      <c r="P23" s="30">
        <v>2.0</v>
      </c>
      <c r="Q23" s="33" t="str">
        <f>HYPERLINK("https://nure.ua/staff/olga-valentinivna-afanasyeva","https://nure.ua/staff/olga-valentinivna-afanasyeva")</f>
        <v>https://nure.ua/staff/olga-valentinivna-afanasyeva</v>
      </c>
      <c r="R23" s="12" t="s">
        <v>103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104</v>
      </c>
      <c r="C24" s="24"/>
      <c r="D24" s="42"/>
      <c r="E24" s="50">
        <v>0.0</v>
      </c>
      <c r="F24" s="50">
        <v>0.0</v>
      </c>
      <c r="G24" s="50">
        <v>0.0</v>
      </c>
      <c r="H24" s="47">
        <v>0.0</v>
      </c>
      <c r="I24" s="47">
        <v>0.0</v>
      </c>
      <c r="J24" s="47">
        <v>0.0</v>
      </c>
      <c r="K24" s="58">
        <v>0.0</v>
      </c>
      <c r="L24" s="44" t="s">
        <v>60</v>
      </c>
      <c r="M24" s="59" t="s">
        <v>22</v>
      </c>
      <c r="N24" s="60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59">
        <v>6.0</v>
      </c>
      <c r="P24" s="59">
        <v>2.0</v>
      </c>
      <c r="Q24" s="60" t="str">
        <f>HYPERLINK("https://nure.ua/staff/irina-mikolaivna-babak","https://nure.ua/staff/irina-mikolaivna-babak")</f>
        <v>https://nure.ua/staff/irina-mikolaivna-babak</v>
      </c>
      <c r="R24" s="12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105</v>
      </c>
      <c r="C25" s="24" t="s">
        <v>106</v>
      </c>
      <c r="D25" s="42" t="s">
        <v>107</v>
      </c>
      <c r="E25" s="26">
        <v>10.0</v>
      </c>
      <c r="F25" s="26">
        <v>6.0</v>
      </c>
      <c r="G25" s="26">
        <v>1.0</v>
      </c>
      <c r="H25" s="27">
        <v>3.0</v>
      </c>
      <c r="I25" s="27">
        <v>0.0</v>
      </c>
      <c r="J25" s="27">
        <v>0.0</v>
      </c>
      <c r="K25" s="28">
        <v>4.0</v>
      </c>
      <c r="L25" s="44" t="s">
        <v>108</v>
      </c>
      <c r="M25" s="30" t="s">
        <v>22</v>
      </c>
      <c r="N25" s="33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30">
        <v>20.0</v>
      </c>
      <c r="P25" s="30">
        <v>2.0</v>
      </c>
      <c r="Q25" s="33" t="str">
        <f>HYPERLINK("https://nure.ua/staff/oksana-juriivna-babichenko","https://nure.ua/staff/oksana-juriivna-babichenko")</f>
        <v>https://nure.ua/staff/oksana-juriivna-babichenko</v>
      </c>
      <c r="R25" s="12" t="s">
        <v>109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110</v>
      </c>
      <c r="C26" s="24" t="s">
        <v>111</v>
      </c>
      <c r="D26" s="42" t="s">
        <v>112</v>
      </c>
      <c r="E26" s="26">
        <v>11.0</v>
      </c>
      <c r="F26" s="26">
        <v>23.0</v>
      </c>
      <c r="G26" s="26">
        <v>4.0</v>
      </c>
      <c r="H26" s="27">
        <v>7.0</v>
      </c>
      <c r="I26" s="27">
        <v>8.0</v>
      </c>
      <c r="J26" s="27">
        <v>2.0</v>
      </c>
      <c r="K26" s="28">
        <v>9.0</v>
      </c>
      <c r="L26" s="44" t="s">
        <v>41</v>
      </c>
      <c r="M26" s="30" t="s">
        <v>22</v>
      </c>
      <c r="N26" s="33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30">
        <v>28.0</v>
      </c>
      <c r="P26" s="30">
        <v>4.0</v>
      </c>
      <c r="Q26" s="33" t="str">
        <f>HYPERLINK("https://nure.ua/staff/andriy-stepanovich-babiy","https://nure.ua/staff/andriy-stepanovich-babiy")</f>
        <v>https://nure.ua/staff/andriy-stepanovich-babiy</v>
      </c>
      <c r="R26" s="12" t="s">
        <v>113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114</v>
      </c>
      <c r="C27" s="24" t="s">
        <v>115</v>
      </c>
      <c r="D27" s="42"/>
      <c r="E27" s="50"/>
      <c r="F27" s="50"/>
      <c r="G27" s="50"/>
      <c r="H27" s="47"/>
      <c r="I27" s="47"/>
      <c r="J27" s="47"/>
      <c r="K27" s="28">
        <v>2.0</v>
      </c>
      <c r="L27" s="39" t="s">
        <v>116</v>
      </c>
      <c r="M27" s="30" t="s">
        <v>22</v>
      </c>
      <c r="N27" s="33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30">
        <v>22.0</v>
      </c>
      <c r="P27" s="30">
        <v>3.0</v>
      </c>
      <c r="Q27" s="33" t="str">
        <f>HYPERLINK("https://nure.ua/staff/lyudmila-ivanivna-badyeyeva","https://nure.ua/staff/lyudmila-ivanivna-badyeyeva")</f>
        <v>https://nure.ua/staff/lyudmila-ivanivna-badyeyeva</v>
      </c>
      <c r="R27" s="61" t="s">
        <v>117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118</v>
      </c>
      <c r="C28" s="24" t="s">
        <v>119</v>
      </c>
      <c r="D28" s="42"/>
      <c r="E28" s="48"/>
      <c r="F28" s="48"/>
      <c r="G28" s="48"/>
      <c r="H28" s="47"/>
      <c r="I28" s="47"/>
      <c r="J28" s="47"/>
      <c r="K28" s="28">
        <v>13.0</v>
      </c>
      <c r="L28" s="44" t="s">
        <v>120</v>
      </c>
      <c r="M28" s="30" t="s">
        <v>22</v>
      </c>
      <c r="N28" s="33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30">
        <v>20.0</v>
      </c>
      <c r="P28" s="30">
        <v>3.0</v>
      </c>
      <c r="Q28" s="33" t="str">
        <f>HYPERLINK("https://nure.ua/staff/olena-anatoliyivna-bakalenko","https://nure.ua/staff/olena-anatoliyivna-bakalenko")</f>
        <v>https://nure.ua/staff/olena-anatoliyivna-bakalenko</v>
      </c>
      <c r="R28" s="12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121</v>
      </c>
      <c r="C29" s="24"/>
      <c r="D29" s="42"/>
      <c r="E29" s="50"/>
      <c r="F29" s="50"/>
      <c r="G29" s="50"/>
      <c r="H29" s="47"/>
      <c r="I29" s="47"/>
      <c r="J29" s="47"/>
      <c r="K29" s="28">
        <v>10.0</v>
      </c>
      <c r="L29" s="29"/>
      <c r="M29" s="30" t="s">
        <v>22</v>
      </c>
      <c r="N29" s="30"/>
      <c r="O29" s="30"/>
      <c r="P29" s="30"/>
      <c r="Q29" s="30"/>
      <c r="R29" s="12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122</v>
      </c>
      <c r="C30" s="24" t="s">
        <v>123</v>
      </c>
      <c r="D30" s="42" t="s">
        <v>124</v>
      </c>
      <c r="E30" s="26">
        <v>87.0</v>
      </c>
      <c r="F30" s="26">
        <v>567.0</v>
      </c>
      <c r="G30" s="26">
        <v>18.0</v>
      </c>
      <c r="H30" s="27">
        <v>23.0</v>
      </c>
      <c r="I30" s="27">
        <v>30.0</v>
      </c>
      <c r="J30" s="27">
        <v>3.0</v>
      </c>
      <c r="K30" s="58">
        <v>79.0</v>
      </c>
      <c r="L30" s="39"/>
      <c r="M30" s="59" t="s">
        <v>22</v>
      </c>
      <c r="N30" s="59"/>
      <c r="O30" s="59"/>
      <c r="P30" s="59"/>
      <c r="Q30" s="59"/>
      <c r="R30" s="12" t="s">
        <v>125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126</v>
      </c>
      <c r="C31" s="24" t="s">
        <v>127</v>
      </c>
      <c r="D31" s="42"/>
      <c r="E31" s="48"/>
      <c r="F31" s="48"/>
      <c r="G31" s="48"/>
      <c r="H31" s="47"/>
      <c r="I31" s="47"/>
      <c r="J31" s="47"/>
      <c r="K31" s="28">
        <v>0.0</v>
      </c>
      <c r="L31" s="44" t="s">
        <v>128</v>
      </c>
      <c r="M31" s="30" t="s">
        <v>22</v>
      </c>
      <c r="N31" s="33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30">
        <v>3.0</v>
      </c>
      <c r="P31" s="30">
        <v>1.0</v>
      </c>
      <c r="Q31" s="33" t="str">
        <f>HYPERLINK("https://nure.ua/staff/irina-mikolayivna-barkova","https://nure.ua/staff/irina-mikolayivna-barkova")</f>
        <v>https://nure.ua/staff/irina-mikolayivna-barkova</v>
      </c>
      <c r="R31" s="12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129</v>
      </c>
      <c r="C32" s="43" t="s">
        <v>130</v>
      </c>
      <c r="D32" s="42" t="s">
        <v>131</v>
      </c>
      <c r="E32" s="26">
        <v>14.0</v>
      </c>
      <c r="F32" s="26">
        <v>19.0</v>
      </c>
      <c r="G32" s="26">
        <v>3.0</v>
      </c>
      <c r="H32" s="47">
        <v>1.0</v>
      </c>
      <c r="I32" s="47">
        <v>0.0</v>
      </c>
      <c r="J32" s="47">
        <v>0.0</v>
      </c>
      <c r="K32" s="28">
        <v>3.0</v>
      </c>
      <c r="L32" s="29" t="s">
        <v>71</v>
      </c>
      <c r="M32" s="30" t="s">
        <v>22</v>
      </c>
      <c r="N32" s="33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30">
        <v>16.0</v>
      </c>
      <c r="P32" s="30">
        <v>2.0</v>
      </c>
      <c r="Q32" s="33" t="str">
        <f>HYPERLINK("https://nure.ua/staff/olesya-yuriyivna-barkovska","https://nure.ua/staff/olesya-yuriyivna-barkovska")</f>
        <v>https://nure.ua/staff/olesya-yuriyivna-barkovska</v>
      </c>
      <c r="R32" s="12" t="s">
        <v>132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133</v>
      </c>
      <c r="C33" s="24"/>
      <c r="D33" s="42"/>
      <c r="E33" s="48"/>
      <c r="F33" s="48"/>
      <c r="G33" s="48"/>
      <c r="H33" s="47"/>
      <c r="I33" s="47"/>
      <c r="J33" s="47"/>
      <c r="K33" s="28">
        <v>0.0</v>
      </c>
      <c r="L33" s="29"/>
      <c r="M33" s="30"/>
      <c r="N33" s="30"/>
      <c r="O33" s="30"/>
      <c r="P33" s="30"/>
      <c r="Q33" s="33" t="str">
        <f>HYPERLINK("https://nure.ua/staff/batrakov-ievgenij-oleksijovich","https://nure.ua/staff/batrakov-ievgenij-oleksijovich")</f>
        <v>https://nure.ua/staff/batrakov-ievgenij-oleksijovich</v>
      </c>
      <c r="R33" s="12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134</v>
      </c>
      <c r="C34" s="24" t="s">
        <v>135</v>
      </c>
      <c r="D34" s="42" t="s">
        <v>136</v>
      </c>
      <c r="E34" s="26">
        <v>6.0</v>
      </c>
      <c r="F34" s="26">
        <v>4.0</v>
      </c>
      <c r="G34" s="26">
        <v>1.0</v>
      </c>
      <c r="H34" s="47">
        <v>2.0</v>
      </c>
      <c r="I34" s="47">
        <v>0.0</v>
      </c>
      <c r="J34" s="47">
        <v>0.0</v>
      </c>
      <c r="K34" s="28">
        <v>57.0</v>
      </c>
      <c r="L34" s="44" t="s">
        <v>137</v>
      </c>
      <c r="M34" s="30" t="s">
        <v>22</v>
      </c>
      <c r="N34" s="33" t="str">
        <f>HYPERLINK("https://scholar.google.com.ua/citations?user=R8NKiHMAAAAJ","https://scholar.google.com.ua/citations?user=R8NKiHMAAAAJ")</f>
        <v>https://scholar.google.com.ua/citations?user=R8NKiHMAAAAJ</v>
      </c>
      <c r="O34" s="30">
        <v>275.0</v>
      </c>
      <c r="P34" s="30">
        <v>8.0</v>
      </c>
      <c r="Q34" s="33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138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139</v>
      </c>
      <c r="C35" s="62" t="s">
        <v>140</v>
      </c>
      <c r="D35" s="42"/>
      <c r="E35" s="50"/>
      <c r="F35" s="50"/>
      <c r="G35" s="50"/>
      <c r="H35" s="47"/>
      <c r="I35" s="47"/>
      <c r="J35" s="47"/>
      <c r="K35" s="28">
        <v>0.0</v>
      </c>
      <c r="L35" s="39"/>
      <c r="M35" s="30" t="s">
        <v>22</v>
      </c>
      <c r="N35" s="30"/>
      <c r="O35" s="30"/>
      <c r="P35" s="30"/>
      <c r="Q35" s="33" t="str">
        <f>HYPERLINK("https://nure.ua/staff/irina-igorivna-bezkrovna","https://nure.ua/staff/irina-igorivna-bezkrovna")</f>
        <v>https://nure.ua/staff/irina-igorivna-bezkrovna</v>
      </c>
      <c r="R35" s="12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141</v>
      </c>
      <c r="C36" s="24" t="s">
        <v>142</v>
      </c>
      <c r="D36" s="42" t="s">
        <v>143</v>
      </c>
      <c r="E36" s="26">
        <v>64.0</v>
      </c>
      <c r="F36" s="26">
        <v>62.0</v>
      </c>
      <c r="G36" s="26">
        <v>4.0</v>
      </c>
      <c r="H36" s="27">
        <v>29.0</v>
      </c>
      <c r="I36" s="27">
        <v>9.0</v>
      </c>
      <c r="J36" s="27">
        <v>2.0</v>
      </c>
      <c r="K36" s="28">
        <v>95.0</v>
      </c>
      <c r="L36" s="44" t="s">
        <v>144</v>
      </c>
      <c r="M36" s="30" t="s">
        <v>22</v>
      </c>
      <c r="N36" s="33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30">
        <v>269.0</v>
      </c>
      <c r="P36" s="30">
        <v>7.0</v>
      </c>
      <c r="Q36" s="33" t="str">
        <f>HYPERLINK("https://nure.ua/staff/valeriy-mihaylovich-bezruk","https://nure.ua/staff/valeriy-mihaylovich-bezruk")</f>
        <v>https://nure.ua/staff/valeriy-mihaylovich-bezruk</v>
      </c>
      <c r="R36" s="63" t="s">
        <v>145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146</v>
      </c>
      <c r="C37" s="24" t="s">
        <v>147</v>
      </c>
      <c r="D37" s="42" t="s">
        <v>148</v>
      </c>
      <c r="E37" s="64">
        <v>45.0</v>
      </c>
      <c r="F37" s="26">
        <v>70.0</v>
      </c>
      <c r="G37" s="26">
        <v>5.0</v>
      </c>
      <c r="H37" s="27">
        <v>6.0</v>
      </c>
      <c r="I37" s="27">
        <v>0.0</v>
      </c>
      <c r="J37" s="27">
        <v>0.0</v>
      </c>
      <c r="K37" s="28">
        <v>1.0</v>
      </c>
      <c r="L37" s="44" t="s">
        <v>51</v>
      </c>
      <c r="M37" s="30" t="s">
        <v>22</v>
      </c>
      <c r="N37" s="33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30">
        <v>82.0</v>
      </c>
      <c r="P37" s="30">
        <v>5.0</v>
      </c>
      <c r="Q37" s="33" t="str">
        <f>HYPERLINK("https://nure.ua/staff/oleksandr-oleksandrovich-bezsonov","https://nure.ua/staff/oleksandr-oleksandrovich-bezsonov")</f>
        <v>https://nure.ua/staff/oleksandr-oleksandrovich-bezsonov</v>
      </c>
      <c r="R37" s="63" t="s">
        <v>149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150</v>
      </c>
      <c r="C38" s="24" t="s">
        <v>151</v>
      </c>
      <c r="D38" s="42"/>
      <c r="E38" s="48"/>
      <c r="F38" s="48"/>
      <c r="G38" s="48"/>
      <c r="H38" s="47"/>
      <c r="I38" s="47"/>
      <c r="J38" s="47"/>
      <c r="K38" s="28">
        <v>1.0</v>
      </c>
      <c r="L38" s="44" t="s">
        <v>137</v>
      </c>
      <c r="M38" s="30" t="s">
        <v>22</v>
      </c>
      <c r="N38" s="33" t="str">
        <f>HYPERLINK("https://scholar.google.com.ua/citations?user=frlrq4wAAAAJ","https://scholar.google.com.ua/citations?user=frlrq4wAAAAJ")</f>
        <v>https://scholar.google.com.ua/citations?user=frlrq4wAAAAJ</v>
      </c>
      <c r="O38" s="30">
        <v>14.0</v>
      </c>
      <c r="P38" s="30">
        <v>2.0</v>
      </c>
      <c r="Q38" s="33" t="str">
        <f>HYPERLINK("https://nure.ua/staff/ganna-yevgenivna-bezugla","https://nure.ua/staff/ganna-yevgenivna-bezugla")</f>
        <v>https://nure.ua/staff/ganna-yevgenivna-bezugla</v>
      </c>
      <c r="R38" s="12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4">
        <v>7422.0</v>
      </c>
      <c r="B39" s="49" t="s">
        <v>152</v>
      </c>
      <c r="C39" s="35" t="s">
        <v>153</v>
      </c>
      <c r="D39" s="36" t="s">
        <v>154</v>
      </c>
      <c r="E39" s="26">
        <v>14.0</v>
      </c>
      <c r="F39" s="26">
        <v>89.0</v>
      </c>
      <c r="G39" s="26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79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2" t="s">
        <v>155</v>
      </c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22">
        <v>3871.0</v>
      </c>
      <c r="B40" s="23" t="s">
        <v>156</v>
      </c>
      <c r="C40" s="24" t="s">
        <v>157</v>
      </c>
      <c r="D40" s="42" t="s">
        <v>158</v>
      </c>
      <c r="E40" s="26">
        <v>4.0</v>
      </c>
      <c r="F40" s="26">
        <v>2.0</v>
      </c>
      <c r="G40" s="26">
        <v>1.0</v>
      </c>
      <c r="H40" s="27">
        <v>1.0</v>
      </c>
      <c r="I40" s="27">
        <v>0.0</v>
      </c>
      <c r="J40" s="27">
        <v>0.0</v>
      </c>
      <c r="K40" s="28">
        <v>9.0</v>
      </c>
      <c r="L40" s="44" t="s">
        <v>108</v>
      </c>
      <c r="M40" s="30" t="s">
        <v>22</v>
      </c>
      <c r="N40" s="30"/>
      <c r="O40" s="30"/>
      <c r="P40" s="30"/>
      <c r="Q40" s="33" t="str">
        <f>HYPERLINK("https://nure.ua/staff/gennadij-mikolajovich-bendeberja","https://nure.ua/staff/gennadij-mikolajovich-bendeberja")</f>
        <v>https://nure.ua/staff/gennadij-mikolajovich-bendeberja</v>
      </c>
      <c r="R40" s="63" t="s">
        <v>159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160</v>
      </c>
      <c r="C41" s="46" t="s">
        <v>161</v>
      </c>
      <c r="D41" s="42" t="s">
        <v>162</v>
      </c>
      <c r="E41" s="26">
        <v>4.0</v>
      </c>
      <c r="F41" s="26">
        <v>2.0</v>
      </c>
      <c r="G41" s="26">
        <v>1.0</v>
      </c>
      <c r="H41" s="27">
        <v>1.0</v>
      </c>
      <c r="I41" s="27">
        <v>1.0</v>
      </c>
      <c r="J41" s="27">
        <v>1.0</v>
      </c>
      <c r="K41" s="28">
        <v>11.0</v>
      </c>
      <c r="L41" s="44" t="s">
        <v>163</v>
      </c>
      <c r="M41" s="30" t="s">
        <v>22</v>
      </c>
      <c r="N41" s="33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30">
        <v>27.0</v>
      </c>
      <c r="P41" s="30">
        <v>3.0</v>
      </c>
      <c r="Q41" s="33" t="str">
        <f>HYPERLINK("https://nure.ua/staff/nataliya-lvivna-berezutska","https://nure.ua/staff/nataliya-lvivna-berezutska")</f>
        <v>https://nure.ua/staff/nataliya-lvivna-berezutska</v>
      </c>
      <c r="R41" s="63" t="s">
        <v>164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165</v>
      </c>
      <c r="C42" s="24"/>
      <c r="D42" s="42" t="s">
        <v>166</v>
      </c>
      <c r="E42" s="26">
        <v>2.0</v>
      </c>
      <c r="F42" s="26">
        <v>1.0</v>
      </c>
      <c r="G42" s="26">
        <v>1.0</v>
      </c>
      <c r="H42" s="27">
        <v>0.0</v>
      </c>
      <c r="I42" s="27">
        <v>0.0</v>
      </c>
      <c r="J42" s="27">
        <v>0.0</v>
      </c>
      <c r="K42" s="28">
        <v>1.0</v>
      </c>
      <c r="L42" s="29" t="s">
        <v>167</v>
      </c>
      <c r="M42" s="30" t="s">
        <v>22</v>
      </c>
      <c r="N42" s="33" t="str">
        <f>HYPERLINK("https://scholar.google.com.ua/citations?user=gpMj8yoAAAAJ","https://scholar.google.com.ua/citations?user=gpMj8yoAAAAJ")</f>
        <v>https://scholar.google.com.ua/citations?user=gpMj8yoAAAAJ</v>
      </c>
      <c r="O42" s="30">
        <v>46.0</v>
      </c>
      <c r="P42" s="30">
        <v>4.0</v>
      </c>
      <c r="Q42" s="33" t="str">
        <f>HYPERLINK("https://nure.ua/staff/nataliya-vitaliyivna-byelova","https://nure.ua/staff/nataliya-vitaliyivna-byelova")</f>
        <v>https://nure.ua/staff/nataliya-vitaliyivna-byelova</v>
      </c>
      <c r="R42" s="63" t="s">
        <v>168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169</v>
      </c>
      <c r="C43" s="24" t="s">
        <v>170</v>
      </c>
      <c r="D43" s="42"/>
      <c r="E43" s="50"/>
      <c r="F43" s="50"/>
      <c r="G43" s="50"/>
      <c r="H43" s="47"/>
      <c r="I43" s="47"/>
      <c r="J43" s="47"/>
      <c r="K43" s="28">
        <v>5.0</v>
      </c>
      <c r="L43" s="44" t="s">
        <v>171</v>
      </c>
      <c r="M43" s="30" t="s">
        <v>22</v>
      </c>
      <c r="N43" s="33" t="str">
        <f>HYPERLINK("https://scholar.google.com/citations?user=OVrt3tIAAAAJ","https://scholar.google.com/citations?user=OVrt3tIAAAAJ")</f>
        <v>https://scholar.google.com/citations?user=OVrt3tIAAAAJ</v>
      </c>
      <c r="O43" s="30">
        <v>15.0</v>
      </c>
      <c r="P43" s="30">
        <v>2.0</v>
      </c>
      <c r="Q43" s="33" t="str">
        <f>HYPERLINK("https://nure.ua/staff/ganna-volodimirivna-byelcheva","https://nure.ua/staff/ganna-volodimirivna-byelcheva")</f>
        <v>https://nure.ua/staff/ganna-volodimirivna-byelcheva</v>
      </c>
      <c r="R43" s="12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172</v>
      </c>
      <c r="C44" s="24" t="s">
        <v>173</v>
      </c>
      <c r="D44" s="42" t="s">
        <v>174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8">
        <v>3.0</v>
      </c>
      <c r="L44" s="39"/>
      <c r="M44" s="30" t="s">
        <v>22</v>
      </c>
      <c r="N44" s="33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30">
        <v>0.0</v>
      </c>
      <c r="P44" s="30">
        <v>0.0</v>
      </c>
      <c r="Q44" s="33" t="str">
        <f>HYPERLINK("https://nure.ua/staff/vadim-borisovich-byelyavtsev","https://nure.ua/staff/vadim-borisovich-byelyavtsev")</f>
        <v>https://nure.ua/staff/vadim-borisovich-byelyavtsev</v>
      </c>
      <c r="R44" s="12" t="s">
        <v>175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176</v>
      </c>
      <c r="C45" s="24"/>
      <c r="D45" s="42"/>
      <c r="E45" s="50"/>
      <c r="F45" s="50"/>
      <c r="G45" s="50"/>
      <c r="H45" s="47"/>
      <c r="I45" s="47"/>
      <c r="J45" s="47"/>
      <c r="K45" s="28">
        <v>0.0</v>
      </c>
      <c r="L45" s="39" t="s">
        <v>91</v>
      </c>
      <c r="M45" s="30" t="s">
        <v>22</v>
      </c>
      <c r="N45" s="30"/>
      <c r="O45" s="30"/>
      <c r="P45" s="30"/>
      <c r="Q45" s="30"/>
      <c r="R45" s="65" t="s">
        <v>177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178</v>
      </c>
      <c r="C46" s="24" t="s">
        <v>179</v>
      </c>
      <c r="D46" s="42"/>
      <c r="E46" s="48"/>
      <c r="F46" s="48"/>
      <c r="G46" s="48"/>
      <c r="H46" s="47"/>
      <c r="I46" s="47"/>
      <c r="J46" s="47"/>
      <c r="K46" s="28">
        <v>0.0</v>
      </c>
      <c r="L46" s="44" t="s">
        <v>144</v>
      </c>
      <c r="M46" s="30" t="s">
        <v>22</v>
      </c>
      <c r="N46" s="33" t="str">
        <f>HYPERLINK("https://scholar.google.com.ua/citations?user=CMCZ3MAAAAAJ","https://scholar.google.com.ua/citations?user=CMCZ3MAAAAAJ")</f>
        <v>https://scholar.google.com.ua/citations?user=CMCZ3MAAAAAJ</v>
      </c>
      <c r="O46" s="30">
        <v>1.0</v>
      </c>
      <c r="P46" s="30">
        <v>1.0</v>
      </c>
      <c r="Q46" s="33" t="str">
        <f>HYPERLINK("https://nure.ua/staff/oleksandr-ivanovich-bibka","https://nure.ua/staff/oleksandr-ivanovich-bibka")</f>
        <v>https://nure.ua/staff/oleksandr-ivanovich-bibka</v>
      </c>
      <c r="R46" s="12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180</v>
      </c>
      <c r="C47" s="24" t="s">
        <v>181</v>
      </c>
      <c r="D47" s="42" t="s">
        <v>182</v>
      </c>
      <c r="E47" s="26">
        <v>16.0</v>
      </c>
      <c r="F47" s="26">
        <v>46.0</v>
      </c>
      <c r="G47" s="26">
        <v>1.0</v>
      </c>
      <c r="H47" s="27">
        <v>8.0</v>
      </c>
      <c r="I47" s="27">
        <v>60.0</v>
      </c>
      <c r="J47" s="27">
        <v>4.0</v>
      </c>
      <c r="K47" s="28">
        <v>53.0</v>
      </c>
      <c r="L47" s="29"/>
      <c r="M47" s="30" t="s">
        <v>22</v>
      </c>
      <c r="N47" s="33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30">
        <v>271.0</v>
      </c>
      <c r="P47" s="30">
        <v>9.0</v>
      </c>
      <c r="Q47" s="33" t="str">
        <f>HYPERLINK("https://nure.ua/staff/anatoliy-ivanovich-bih","https://nure.ua/staff/anatoliy-ivanovich-bih")</f>
        <v>https://nure.ua/staff/anatoliy-ivanovich-bih</v>
      </c>
      <c r="R47" s="12" t="s">
        <v>183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184</v>
      </c>
      <c r="C48" s="24"/>
      <c r="D48" s="42" t="s">
        <v>185</v>
      </c>
      <c r="E48" s="26">
        <v>2.0</v>
      </c>
      <c r="F48" s="26">
        <v>1.0</v>
      </c>
      <c r="G48" s="26">
        <v>1.0</v>
      </c>
      <c r="H48" s="27">
        <v>0.0</v>
      </c>
      <c r="I48" s="27">
        <v>0.0</v>
      </c>
      <c r="J48" s="27">
        <v>0.0</v>
      </c>
      <c r="K48" s="28">
        <v>0.0</v>
      </c>
      <c r="L48" s="44" t="s">
        <v>186</v>
      </c>
      <c r="M48" s="30" t="s">
        <v>22</v>
      </c>
      <c r="N48" s="33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30">
        <v>6.0</v>
      </c>
      <c r="P48" s="30">
        <v>2.0</v>
      </c>
      <c r="Q48" s="30"/>
      <c r="R48" s="12" t="s">
        <v>187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188</v>
      </c>
      <c r="C49" s="24" t="s">
        <v>189</v>
      </c>
      <c r="D49" s="42" t="s">
        <v>190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8">
        <v>27.0</v>
      </c>
      <c r="L49" s="44" t="s">
        <v>171</v>
      </c>
      <c r="M49" s="30" t="s">
        <v>22</v>
      </c>
      <c r="N49" s="33" t="str">
        <f>HYPERLINK("https://scholar.google.com.ua/citations?user=ORLjFHgAAAAJ","https://scholar.google.com.ua/citations?user=ORLjFHgAAAAJ")</f>
        <v>https://scholar.google.com.ua/citations?user=ORLjFHgAAAAJ</v>
      </c>
      <c r="O49" s="30">
        <v>30.0</v>
      </c>
      <c r="P49" s="30">
        <v>3.0</v>
      </c>
      <c r="Q49" s="33" t="str">
        <f>HYPERLINK("https://nure.ua/staff/andriy-valeriyovich-bizyuk","https://nure.ua/staff/andriy-valeriyovich-bizyuk")</f>
        <v>https://nure.ua/staff/andriy-valeriyovich-bizyuk</v>
      </c>
      <c r="R49" s="12" t="s">
        <v>191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4">
        <v>753.0</v>
      </c>
      <c r="B50" s="49" t="s">
        <v>192</v>
      </c>
      <c r="C50" s="35" t="s">
        <v>193</v>
      </c>
      <c r="D50" s="36"/>
      <c r="E50" s="48"/>
      <c r="F50" s="48"/>
      <c r="G50" s="48"/>
      <c r="H50" s="51"/>
      <c r="I50" s="51"/>
      <c r="J50" s="51"/>
      <c r="K50" s="38">
        <v>0.0</v>
      </c>
      <c r="L50" s="40"/>
      <c r="M50" s="40" t="s">
        <v>79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2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22">
        <v>7873.0</v>
      </c>
      <c r="B51" s="23" t="s">
        <v>194</v>
      </c>
      <c r="C51" s="24"/>
      <c r="D51" s="42"/>
      <c r="E51" s="50"/>
      <c r="F51" s="50"/>
      <c r="G51" s="50"/>
      <c r="H51" s="47"/>
      <c r="I51" s="47"/>
      <c r="J51" s="47"/>
      <c r="K51" s="28">
        <v>0.0</v>
      </c>
      <c r="L51" s="39" t="s">
        <v>91</v>
      </c>
      <c r="M51" s="30" t="s">
        <v>22</v>
      </c>
      <c r="N51" s="30"/>
      <c r="O51" s="30"/>
      <c r="P51" s="30"/>
      <c r="Q51" s="30"/>
      <c r="R51" s="12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195</v>
      </c>
      <c r="C52" s="24" t="s">
        <v>196</v>
      </c>
      <c r="D52" s="66" t="s">
        <v>197</v>
      </c>
      <c r="E52" s="26">
        <v>1.0</v>
      </c>
      <c r="F52" s="26">
        <v>0.0</v>
      </c>
      <c r="G52" s="26">
        <v>0.0</v>
      </c>
      <c r="H52" s="47">
        <v>0.0</v>
      </c>
      <c r="I52" s="47">
        <v>0.0</v>
      </c>
      <c r="J52" s="47">
        <v>0.0</v>
      </c>
      <c r="K52" s="28">
        <v>21.0</v>
      </c>
      <c r="L52" s="39" t="s">
        <v>137</v>
      </c>
      <c r="M52" s="30" t="s">
        <v>22</v>
      </c>
      <c r="N52" s="33" t="str">
        <f>HYPERLINK("https://scholar.google.com.ua/citations?user=JiNUds0AAAAJ","https://scholar.google.com.ua/citations?user=JiNUds0AAAAJ")</f>
        <v>https://scholar.google.com.ua/citations?user=JiNUds0AAAAJ</v>
      </c>
      <c r="O52" s="30">
        <v>50.0</v>
      </c>
      <c r="P52" s="30">
        <v>4.0</v>
      </c>
      <c r="Q52" s="33" t="str">
        <f>HYPERLINK("https://nure.ua/staff/tetyana-georgiyivna-bilova","https://nure.ua/staff/tetyana-georgiyivna-bilova")</f>
        <v>https://nure.ua/staff/tetyana-georgiyivna-bilova</v>
      </c>
      <c r="R52" s="12" t="s">
        <v>198</v>
      </c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199</v>
      </c>
      <c r="C53" s="24" t="s">
        <v>200</v>
      </c>
      <c r="D53" s="42" t="s">
        <v>201</v>
      </c>
      <c r="E53" s="26">
        <v>8.0</v>
      </c>
      <c r="F53" s="26">
        <v>5.0</v>
      </c>
      <c r="G53" s="26">
        <v>1.0</v>
      </c>
      <c r="H53" s="27">
        <v>7.0</v>
      </c>
      <c r="I53" s="27">
        <v>3.0</v>
      </c>
      <c r="J53" s="27">
        <v>1.0</v>
      </c>
      <c r="K53" s="28">
        <v>41.0</v>
      </c>
      <c r="L53" s="44" t="s">
        <v>41</v>
      </c>
      <c r="M53" s="30" t="s">
        <v>22</v>
      </c>
      <c r="N53" s="33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30">
        <v>208.0</v>
      </c>
      <c r="P53" s="30">
        <v>7.0</v>
      </c>
      <c r="Q53" s="33" t="str">
        <f>HYPERLINK("https://nure.ua/staff/nataliya-valentinivna-bilous","https://nure.ua/staff/nataliya-valentinivna-bilous")</f>
        <v>https://nure.ua/staff/nataliya-valentinivna-bilous</v>
      </c>
      <c r="R53" s="12" t="s">
        <v>202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203</v>
      </c>
      <c r="C54" s="24" t="s">
        <v>204</v>
      </c>
      <c r="D54" s="42" t="s">
        <v>205</v>
      </c>
      <c r="E54" s="26">
        <v>2.0</v>
      </c>
      <c r="F54" s="26">
        <v>1.0</v>
      </c>
      <c r="G54" s="26">
        <v>1.0</v>
      </c>
      <c r="H54" s="27"/>
      <c r="I54" s="27"/>
      <c r="J54" s="27"/>
      <c r="K54" s="28">
        <v>5.0</v>
      </c>
      <c r="L54" s="44" t="s">
        <v>64</v>
      </c>
      <c r="M54" s="30" t="s">
        <v>22</v>
      </c>
      <c r="N54" s="33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30">
        <v>18.0</v>
      </c>
      <c r="P54" s="30">
        <v>2.0</v>
      </c>
      <c r="Q54" s="33" t="str">
        <f>HYPERLINK("https://nure.ua/staff/oleksandr-mikolayovich-bitchenko","https://nure.ua/staff/oleksandr-mikolayovich-bitchenko")</f>
        <v>https://nure.ua/staff/oleksandr-mikolayovich-bitchenko</v>
      </c>
      <c r="R54" s="12" t="s">
        <v>206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207</v>
      </c>
      <c r="C55" s="24" t="s">
        <v>208</v>
      </c>
      <c r="D55" s="42" t="s">
        <v>209</v>
      </c>
      <c r="E55" s="26">
        <v>4.0</v>
      </c>
      <c r="F55" s="26">
        <v>2.0</v>
      </c>
      <c r="G55" s="26">
        <v>1.0</v>
      </c>
      <c r="H55" s="27">
        <v>1.0</v>
      </c>
      <c r="I55" s="27">
        <v>0.0</v>
      </c>
      <c r="J55" s="27">
        <v>0.0</v>
      </c>
      <c r="K55" s="28">
        <v>1.0</v>
      </c>
      <c r="L55" s="44" t="s">
        <v>210</v>
      </c>
      <c r="M55" s="30" t="s">
        <v>22</v>
      </c>
      <c r="N55" s="30"/>
      <c r="O55" s="30"/>
      <c r="P55" s="30"/>
      <c r="Q55" s="33" t="str">
        <f>HYPERLINK("https://nure.ua/staff/roman-oleksandrovich-bobnyev","https://nure.ua/staff/roman-oleksandrovich-bobnyev")</f>
        <v>https://nure.ua/staff/roman-oleksandrovich-bobnyev</v>
      </c>
      <c r="R55" s="12" t="s">
        <v>211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212</v>
      </c>
      <c r="C56" s="24"/>
      <c r="D56" s="42" t="s">
        <v>213</v>
      </c>
      <c r="E56" s="57">
        <v>2.0</v>
      </c>
      <c r="F56" s="57">
        <v>0.0</v>
      </c>
      <c r="G56" s="57">
        <v>0.0</v>
      </c>
      <c r="H56" s="47">
        <v>0.0</v>
      </c>
      <c r="I56" s="47">
        <v>0.0</v>
      </c>
      <c r="J56" s="47">
        <v>0.0</v>
      </c>
      <c r="K56" s="28">
        <v>0.0</v>
      </c>
      <c r="L56" s="29" t="s">
        <v>71</v>
      </c>
      <c r="M56" s="30" t="s">
        <v>22</v>
      </c>
      <c r="N56" s="33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30">
        <v>35.0</v>
      </c>
      <c r="P56" s="30">
        <v>3.0</v>
      </c>
      <c r="Q56" s="30"/>
      <c r="R56" s="12" t="s">
        <v>214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215</v>
      </c>
      <c r="C57" s="24" t="s">
        <v>216</v>
      </c>
      <c r="D57" s="42" t="s">
        <v>217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8">
        <v>5.0</v>
      </c>
      <c r="L57" s="44" t="s">
        <v>218</v>
      </c>
      <c r="M57" s="30" t="s">
        <v>22</v>
      </c>
      <c r="N57" s="33" t="str">
        <f>HYPERLINK("https://scholar.google.com/citations?user=L7FGW5cAAAAJ","https://scholar.google.com/citations?user=L7FGW5cAAAAJ")</f>
        <v>https://scholar.google.com/citations?user=L7FGW5cAAAAJ</v>
      </c>
      <c r="O57" s="30">
        <v>4.0</v>
      </c>
      <c r="P57" s="30">
        <v>1.0</v>
      </c>
      <c r="Q57" s="33" t="str">
        <f>HYPERLINK("https://nure.ua/staff/ievgen-olegovich-bogatov","https://nure.ua/staff/ievgen-olegovich-bogatov")</f>
        <v>https://nure.ua/staff/ievgen-olegovich-bogatov</v>
      </c>
      <c r="R57" s="12" t="s">
        <v>219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220</v>
      </c>
      <c r="C58" s="24" t="s">
        <v>221</v>
      </c>
      <c r="D58" s="42"/>
      <c r="E58" s="48"/>
      <c r="F58" s="48"/>
      <c r="G58" s="48"/>
      <c r="H58" s="47"/>
      <c r="I58" s="47"/>
      <c r="J58" s="47"/>
      <c r="K58" s="28">
        <v>3.0</v>
      </c>
      <c r="L58" s="39" t="s">
        <v>91</v>
      </c>
      <c r="M58" s="30" t="s">
        <v>22</v>
      </c>
      <c r="N58" s="33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30">
        <v>30.0</v>
      </c>
      <c r="P58" s="30">
        <v>1.0</v>
      </c>
      <c r="Q58" s="33" t="str">
        <f>HYPERLINK("https://nure.ua/staff/olga-mikolayivna-bogdan","https://nure.ua/staff/olga-mikolayivna-bogdan")</f>
        <v>https://nure.ua/staff/olga-mikolayivna-bogdan</v>
      </c>
      <c r="R58" s="12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222</v>
      </c>
      <c r="C59" s="24" t="s">
        <v>223</v>
      </c>
      <c r="D59" s="42" t="s">
        <v>224</v>
      </c>
      <c r="E59" s="26">
        <v>176.0</v>
      </c>
      <c r="F59" s="26">
        <v>1148.0</v>
      </c>
      <c r="G59" s="26">
        <v>20.0</v>
      </c>
      <c r="H59" s="27">
        <v>84.0</v>
      </c>
      <c r="I59" s="27">
        <v>388.0</v>
      </c>
      <c r="J59" s="27">
        <v>11.0</v>
      </c>
      <c r="K59" s="28">
        <v>46.0</v>
      </c>
      <c r="L59" s="44" t="s">
        <v>186</v>
      </c>
      <c r="M59" s="30" t="s">
        <v>22</v>
      </c>
      <c r="N59" s="33" t="str">
        <f>HYPERLINK("https://scholar.google.com.ua/citations?user=0rdVsWEAAAAJ","https://scholar.google.com.ua/citations?user=0rdVsWEAAAAJ")</f>
        <v>https://scholar.google.com.ua/citations?user=0rdVsWEAAAAJ</v>
      </c>
      <c r="O59" s="30">
        <v>3660.0</v>
      </c>
      <c r="P59" s="30">
        <v>27.0</v>
      </c>
      <c r="Q59" s="33" t="str">
        <f>HYPERLINK("https://nure.ua/staff/yevgeniy-volodimirovich-bodyanskiy","https://nure.ua/staff/yevgeniy-volodimirovich-bodyanskiy")</f>
        <v>https://nure.ua/staff/yevgeniy-volodimirovich-bodyanskiy</v>
      </c>
      <c r="R59" s="63" t="s">
        <v>225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4"/>
      <c r="B60" s="23" t="s">
        <v>226</v>
      </c>
      <c r="C60" s="35"/>
      <c r="D60" s="36" t="s">
        <v>227</v>
      </c>
      <c r="E60" s="26">
        <v>2.0</v>
      </c>
      <c r="F60" s="26">
        <v>0.0</v>
      </c>
      <c r="G60" s="26">
        <v>0.0</v>
      </c>
      <c r="H60" s="37"/>
      <c r="I60" s="37"/>
      <c r="J60" s="37"/>
      <c r="K60" s="38"/>
      <c r="L60" s="56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3" t="s">
        <v>228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229</v>
      </c>
      <c r="C61" s="24" t="s">
        <v>230</v>
      </c>
      <c r="D61" s="42"/>
      <c r="E61" s="48"/>
      <c r="F61" s="48"/>
      <c r="G61" s="48"/>
      <c r="H61" s="47"/>
      <c r="I61" s="47"/>
      <c r="J61" s="47"/>
      <c r="K61" s="28">
        <v>20.0</v>
      </c>
      <c r="L61" s="39"/>
      <c r="M61" s="30" t="s">
        <v>22</v>
      </c>
      <c r="N61" s="33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30">
        <v>11.0</v>
      </c>
      <c r="P61" s="30">
        <v>2.0</v>
      </c>
      <c r="Q61" s="33" t="str">
        <f>HYPERLINK("https://nure.ua/staff/yuliya-sergiyivna-bokaryeva","https://nure.ua/staff/yuliya-sergiyivna-bokaryeva")</f>
        <v>https://nure.ua/staff/yuliya-sergiyivna-bokaryeva</v>
      </c>
      <c r="R61" s="12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231</v>
      </c>
      <c r="C62" s="24"/>
      <c r="D62" s="42" t="s">
        <v>232</v>
      </c>
      <c r="E62" s="57">
        <v>3.0</v>
      </c>
      <c r="F62" s="57">
        <v>18.0</v>
      </c>
      <c r="G62" s="57">
        <v>1.0</v>
      </c>
      <c r="H62" s="47">
        <v>0.0</v>
      </c>
      <c r="I62" s="47">
        <v>0.0</v>
      </c>
      <c r="J62" s="47">
        <v>0.0</v>
      </c>
      <c r="K62" s="28">
        <v>0.0</v>
      </c>
      <c r="L62" s="29" t="s">
        <v>71</v>
      </c>
      <c r="M62" s="30" t="s">
        <v>22</v>
      </c>
      <c r="N62" s="33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30">
        <v>22.0</v>
      </c>
      <c r="P62" s="30">
        <v>2.0</v>
      </c>
      <c r="Q62" s="30"/>
      <c r="R62" s="63" t="s">
        <v>233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234</v>
      </c>
      <c r="C63" s="24" t="s">
        <v>235</v>
      </c>
      <c r="D63" s="42" t="s">
        <v>236</v>
      </c>
      <c r="E63" s="26">
        <v>1.0</v>
      </c>
      <c r="F63" s="26">
        <v>0.0</v>
      </c>
      <c r="G63" s="26">
        <v>0.0</v>
      </c>
      <c r="H63" s="27">
        <v>0.0</v>
      </c>
      <c r="I63" s="27">
        <v>0.0</v>
      </c>
      <c r="J63" s="27">
        <v>0.0</v>
      </c>
      <c r="K63" s="28">
        <v>1.0</v>
      </c>
      <c r="L63" s="44" t="s">
        <v>144</v>
      </c>
      <c r="M63" s="30" t="s">
        <v>22</v>
      </c>
      <c r="N63" s="33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30">
        <v>0.0</v>
      </c>
      <c r="P63" s="30">
        <v>0.0</v>
      </c>
      <c r="Q63" s="33" t="str">
        <f>HYPERLINK("https://nure.ua/staff/dmitro-vadimovich-bondar","https://nure.ua/staff/dmitro-vadimovich-bondar")</f>
        <v>https://nure.ua/staff/dmitro-vadimovich-bondar</v>
      </c>
      <c r="R63" s="63" t="s">
        <v>237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238</v>
      </c>
      <c r="C64" s="24" t="s">
        <v>239</v>
      </c>
      <c r="D64" s="42" t="s">
        <v>240</v>
      </c>
      <c r="E64" s="26">
        <v>4.0</v>
      </c>
      <c r="F64" s="26">
        <v>0.0</v>
      </c>
      <c r="G64" s="26">
        <v>0.0</v>
      </c>
      <c r="H64" s="27">
        <v>3.0</v>
      </c>
      <c r="I64" s="27">
        <v>0.0</v>
      </c>
      <c r="J64" s="27">
        <v>0.0</v>
      </c>
      <c r="K64" s="28">
        <v>1.0</v>
      </c>
      <c r="L64" s="44" t="s">
        <v>75</v>
      </c>
      <c r="M64" s="30" t="s">
        <v>22</v>
      </c>
      <c r="N64" s="33" t="str">
        <f>HYPERLINK("https://scholar.google.ru/citations?hl=ru&amp;user=VHGiYQ4AAAAJ","https://scholar.google.ru/citations?hl=ru&amp;user=VHGiYQ4AAAAJ")</f>
        <v>https://scholar.google.ru/citations?hl=ru&amp;user=VHGiYQ4AAAAJ</v>
      </c>
      <c r="O64" s="30">
        <v>11.0</v>
      </c>
      <c r="P64" s="30">
        <v>1.0</v>
      </c>
      <c r="Q64" s="33" t="str">
        <f>HYPERLINK("https://nure.ua/staff/yevgeniya-yuriyivna-bondar","https://nure.ua/staff/yevgeniya-yuriyivna-bondar")</f>
        <v>https://nure.ua/staff/yevgeniya-yuriyivna-bondar</v>
      </c>
      <c r="R64" s="63" t="s">
        <v>241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242</v>
      </c>
      <c r="C65" s="24" t="s">
        <v>243</v>
      </c>
      <c r="D65" s="42" t="s">
        <v>244</v>
      </c>
      <c r="E65" s="26">
        <v>42.0</v>
      </c>
      <c r="F65" s="26">
        <v>61.0</v>
      </c>
      <c r="G65" s="26">
        <v>4.0</v>
      </c>
      <c r="H65" s="27">
        <v>7.0</v>
      </c>
      <c r="I65" s="27">
        <v>1.0</v>
      </c>
      <c r="J65" s="27">
        <v>1.0</v>
      </c>
      <c r="K65" s="28">
        <v>135.0</v>
      </c>
      <c r="L65" s="44" t="s">
        <v>108</v>
      </c>
      <c r="M65" s="30" t="s">
        <v>22</v>
      </c>
      <c r="N65" s="33" t="str">
        <f>HYPERLINK("https://scholar.google.com.ua/citations?user=2toASK0AAAAJ","https://scholar.google.com.ua/citations?user=2toASK0AAAAJ")</f>
        <v>https://scholar.google.com.ua/citations?user=2toASK0AAAAJ</v>
      </c>
      <c r="O65" s="30">
        <v>268.0</v>
      </c>
      <c r="P65" s="30">
        <v>7.0</v>
      </c>
      <c r="Q65" s="33" t="str">
        <f>HYPERLINK("https://nure.ua/staff/igor-mikolayovich-bondarenko","https://nure.ua/staff/igor-mikolayovich-bondarenko")</f>
        <v>https://nure.ua/staff/igor-mikolayovich-bondarenko</v>
      </c>
      <c r="R65" s="63" t="s">
        <v>245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246</v>
      </c>
      <c r="C66" s="67" t="s">
        <v>247</v>
      </c>
      <c r="D66" s="42" t="s">
        <v>248</v>
      </c>
      <c r="E66" s="64">
        <v>8.0</v>
      </c>
      <c r="F66" s="26">
        <v>41.0</v>
      </c>
      <c r="G66" s="26">
        <v>3.0</v>
      </c>
      <c r="H66" s="47">
        <v>2.0</v>
      </c>
      <c r="I66" s="47">
        <v>9.0</v>
      </c>
      <c r="J66" s="47">
        <v>1.0</v>
      </c>
      <c r="K66" s="28">
        <v>13.0</v>
      </c>
      <c r="L66" s="29" t="s">
        <v>21</v>
      </c>
      <c r="M66" s="30"/>
      <c r="N66" s="30"/>
      <c r="O66" s="30"/>
      <c r="P66" s="30"/>
      <c r="Q66" s="30"/>
      <c r="R66" s="63" t="s">
        <v>249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68">
        <v>1189.0</v>
      </c>
      <c r="B67" s="23" t="s">
        <v>250</v>
      </c>
      <c r="C67" s="69" t="s">
        <v>251</v>
      </c>
      <c r="D67" s="70"/>
      <c r="E67" s="48">
        <v>0.0</v>
      </c>
      <c r="F67" s="48">
        <v>0.0</v>
      </c>
      <c r="G67" s="48">
        <v>0.0</v>
      </c>
      <c r="H67" s="71">
        <v>1.0</v>
      </c>
      <c r="I67" s="71">
        <v>0.0</v>
      </c>
      <c r="J67" s="71">
        <v>0.0</v>
      </c>
      <c r="K67" s="72">
        <v>20.0</v>
      </c>
      <c r="L67" s="44" t="s">
        <v>41</v>
      </c>
      <c r="M67" s="73" t="s">
        <v>22</v>
      </c>
      <c r="N67" s="74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3">
        <v>21.0</v>
      </c>
      <c r="P67" s="73">
        <v>3.0</v>
      </c>
      <c r="Q67" s="74" t="str">
        <f>HYPERLINK("https://nure.ua/staff/volodimir-mihaylovich-bondaryev","https://nure.ua/staff/volodimir-mihaylovich-bondaryev")</f>
        <v>https://nure.ua/staff/volodimir-mihaylovich-bondaryev</v>
      </c>
      <c r="R67" s="12" t="s">
        <v>252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253</v>
      </c>
      <c r="C68" s="24" t="s">
        <v>254</v>
      </c>
      <c r="D68" s="42" t="s">
        <v>255</v>
      </c>
      <c r="E68" s="26">
        <v>4.0</v>
      </c>
      <c r="F68" s="26">
        <v>7.0</v>
      </c>
      <c r="G68" s="26">
        <v>2.0</v>
      </c>
      <c r="H68" s="47"/>
      <c r="I68" s="47"/>
      <c r="J68" s="47"/>
      <c r="K68" s="28">
        <v>11.0</v>
      </c>
      <c r="L68" s="29" t="s">
        <v>71</v>
      </c>
      <c r="M68" s="30" t="s">
        <v>22</v>
      </c>
      <c r="N68" s="30"/>
      <c r="O68" s="30"/>
      <c r="P68" s="30"/>
      <c r="Q68" s="33" t="str">
        <f>HYPERLINK("https://nure.ua/staff/viktor-petrovich-borisenko","https://nure.ua/staff/viktor-petrovich-borisenko")</f>
        <v>https://nure.ua/staff/viktor-petrovich-borisenko</v>
      </c>
      <c r="R68" s="63" t="s">
        <v>256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257</v>
      </c>
      <c r="C69" s="24"/>
      <c r="D69" s="42"/>
      <c r="E69" s="50"/>
      <c r="F69" s="50"/>
      <c r="G69" s="50"/>
      <c r="H69" s="47"/>
      <c r="I69" s="47"/>
      <c r="J69" s="47"/>
      <c r="K69" s="28">
        <v>1.0</v>
      </c>
      <c r="L69" s="44" t="s">
        <v>218</v>
      </c>
      <c r="M69" s="30" t="s">
        <v>22</v>
      </c>
      <c r="N69" s="30"/>
      <c r="O69" s="30"/>
      <c r="P69" s="30"/>
      <c r="Q69" s="33" t="str">
        <f>HYPERLINK("https://nure.ua/staff/tetjana-ivanivna-borisenko","https://nure.ua/staff/tetjana-ivanivna-borisenko")</f>
        <v>https://nure.ua/staff/tetjana-ivanivna-borisenko</v>
      </c>
      <c r="R69" s="75" t="s">
        <v>258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259</v>
      </c>
      <c r="C70" s="24" t="s">
        <v>260</v>
      </c>
      <c r="D70" s="42" t="s">
        <v>261</v>
      </c>
      <c r="E70" s="26">
        <v>1.0</v>
      </c>
      <c r="F70" s="26">
        <v>0.0</v>
      </c>
      <c r="G70" s="26">
        <v>0.0</v>
      </c>
      <c r="H70" s="27"/>
      <c r="I70" s="27"/>
      <c r="J70" s="27"/>
      <c r="K70" s="28">
        <v>8.0</v>
      </c>
      <c r="L70" s="39"/>
      <c r="M70" s="30" t="s">
        <v>22</v>
      </c>
      <c r="N70" s="33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30">
        <v>0.0</v>
      </c>
      <c r="P70" s="30">
        <v>0.0</v>
      </c>
      <c r="Q70" s="33" t="str">
        <f>HYPERLINK("https://nure.ua/staff/oleksandr-vasilovich-borodin","https://nure.ua/staff/oleksandr-vasilovich-borodin")</f>
        <v>https://nure.ua/staff/oleksandr-vasilovich-borodin</v>
      </c>
      <c r="R70" s="63" t="s">
        <v>262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263</v>
      </c>
      <c r="C71" s="24" t="s">
        <v>264</v>
      </c>
      <c r="D71" s="42" t="s">
        <v>265</v>
      </c>
      <c r="E71" s="26">
        <v>12.0</v>
      </c>
      <c r="F71" s="26">
        <v>15.0</v>
      </c>
      <c r="G71" s="26">
        <v>3.0</v>
      </c>
      <c r="H71" s="27">
        <v>4.0</v>
      </c>
      <c r="I71" s="27">
        <v>0.0</v>
      </c>
      <c r="J71" s="27">
        <v>0.0</v>
      </c>
      <c r="K71" s="28">
        <v>4.0</v>
      </c>
      <c r="L71" s="39" t="s">
        <v>60</v>
      </c>
      <c r="M71" s="30" t="s">
        <v>22</v>
      </c>
      <c r="N71" s="33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30">
        <v>53.0</v>
      </c>
      <c r="P71" s="30">
        <v>4.0</v>
      </c>
      <c r="Q71" s="33" t="str">
        <f>HYPERLINK("https://nure.ua/staff/botsman-irina-volodimirivna","https://nure.ua/staff/botsman-irina-volodimirivna")</f>
        <v>https://nure.ua/staff/botsman-irina-volodimirivna</v>
      </c>
      <c r="R71" s="63" t="s">
        <v>266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267</v>
      </c>
      <c r="C72" s="24" t="s">
        <v>268</v>
      </c>
      <c r="D72" s="42" t="s">
        <v>269</v>
      </c>
      <c r="E72" s="26">
        <v>10.0</v>
      </c>
      <c r="F72" s="26">
        <v>15.0</v>
      </c>
      <c r="G72" s="26">
        <v>3.0</v>
      </c>
      <c r="H72" s="27">
        <v>12.0</v>
      </c>
      <c r="I72" s="27">
        <v>6.0</v>
      </c>
      <c r="J72" s="27">
        <v>1.0</v>
      </c>
      <c r="K72" s="28">
        <v>13.0</v>
      </c>
      <c r="L72" s="56" t="s">
        <v>94</v>
      </c>
      <c r="M72" s="30" t="s">
        <v>22</v>
      </c>
      <c r="N72" s="33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30">
        <v>20.0</v>
      </c>
      <c r="P72" s="30">
        <v>3.0</v>
      </c>
      <c r="Q72" s="33" t="str">
        <f>HYPERLINK("https://nure.ua/staff/olesja-anatoliivna-bocjura","https://nure.ua/staff/olesja-anatoliivna-bocjura")</f>
        <v>https://nure.ua/staff/olesja-anatoliivna-bocjura</v>
      </c>
      <c r="R72" s="63" t="s">
        <v>270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271</v>
      </c>
      <c r="C73" s="24"/>
      <c r="D73" s="42"/>
      <c r="E73" s="48"/>
      <c r="F73" s="48"/>
      <c r="G73" s="48"/>
      <c r="H73" s="47"/>
      <c r="I73" s="47"/>
      <c r="J73" s="47"/>
      <c r="K73" s="28">
        <v>0.0</v>
      </c>
      <c r="L73" s="44" t="s">
        <v>272</v>
      </c>
      <c r="M73" s="30" t="s">
        <v>22</v>
      </c>
      <c r="N73" s="30"/>
      <c r="O73" s="30"/>
      <c r="P73" s="30"/>
      <c r="Q73" s="33" t="str">
        <f>HYPERLINK("https://nure.ua/staff/yaroslav-yuriyovich-bragin","https://nure.ua/staff/yaroslav-yuriyovich-bragin")</f>
        <v>https://nure.ua/staff/yaroslav-yuriyovich-bragin</v>
      </c>
      <c r="R73" s="12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273</v>
      </c>
      <c r="C74" s="76" t="s">
        <v>274</v>
      </c>
      <c r="D74" s="42" t="s">
        <v>275</v>
      </c>
      <c r="E74" s="57">
        <v>3.0</v>
      </c>
      <c r="F74" s="57">
        <v>1.0</v>
      </c>
      <c r="G74" s="57">
        <v>1.0</v>
      </c>
      <c r="H74" s="47"/>
      <c r="I74" s="47"/>
      <c r="J74" s="47"/>
      <c r="K74" s="28">
        <v>1.0</v>
      </c>
      <c r="L74" s="29" t="s">
        <v>167</v>
      </c>
      <c r="M74" s="30" t="s">
        <v>22</v>
      </c>
      <c r="N74" s="33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30">
        <v>0.0</v>
      </c>
      <c r="P74" s="30">
        <v>0.0</v>
      </c>
      <c r="Q74" s="30"/>
      <c r="R74" s="63" t="s">
        <v>276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277</v>
      </c>
      <c r="C75" s="24" t="s">
        <v>278</v>
      </c>
      <c r="D75" s="42" t="s">
        <v>279</v>
      </c>
      <c r="E75" s="26">
        <v>6.0</v>
      </c>
      <c r="F75" s="26">
        <v>6.0</v>
      </c>
      <c r="G75" s="26">
        <v>2.0</v>
      </c>
      <c r="H75" s="27">
        <v>1.0</v>
      </c>
      <c r="I75" s="27">
        <v>0.0</v>
      </c>
      <c r="J75" s="27">
        <v>0.0</v>
      </c>
      <c r="K75" s="28">
        <v>8.0</v>
      </c>
      <c r="L75" s="44" t="s">
        <v>60</v>
      </c>
      <c r="M75" s="30" t="s">
        <v>22</v>
      </c>
      <c r="N75" s="33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30">
        <v>72.0</v>
      </c>
      <c r="P75" s="30">
        <v>5.0</v>
      </c>
      <c r="Q75" s="33" t="str">
        <f>HYPERLINK("https://nure.ua/staff/artem-igorovich-bronnikov","https://nure.ua/staff/artem-igorovich-bronnikov")</f>
        <v>https://nure.ua/staff/artem-igorovich-bronnikov</v>
      </c>
      <c r="R75" s="63" t="s">
        <v>280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281</v>
      </c>
      <c r="C76" s="24"/>
      <c r="D76" s="42"/>
      <c r="E76" s="48"/>
      <c r="F76" s="48"/>
      <c r="G76" s="48"/>
      <c r="H76" s="47"/>
      <c r="I76" s="47"/>
      <c r="J76" s="47"/>
      <c r="K76" s="28">
        <v>0.0</v>
      </c>
      <c r="L76" s="39"/>
      <c r="M76" s="30" t="s">
        <v>22</v>
      </c>
      <c r="N76" s="33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30">
        <v>19.0</v>
      </c>
      <c r="P76" s="30">
        <v>2.0</v>
      </c>
      <c r="Q76" s="33" t="str">
        <f>HYPERLINK("https://nure.ua/staff/vitalij-oleksandrovich-brusencev","https://nure.ua/staff/vitalij-oleksandrovich-brusencev")</f>
        <v>https://nure.ua/staff/vitalij-oleksandrovich-brusencev</v>
      </c>
      <c r="R76" s="12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4">
        <v>6290.0</v>
      </c>
      <c r="B77" s="49" t="s">
        <v>282</v>
      </c>
      <c r="C77" s="35"/>
      <c r="D77" s="36"/>
      <c r="E77" s="48"/>
      <c r="F77" s="48"/>
      <c r="G77" s="48"/>
      <c r="H77" s="51"/>
      <c r="I77" s="51"/>
      <c r="J77" s="51"/>
      <c r="K77" s="38">
        <v>0.0</v>
      </c>
      <c r="L77" s="40" t="s">
        <v>78</v>
      </c>
      <c r="M77" s="40" t="s">
        <v>79</v>
      </c>
      <c r="N77" s="40"/>
      <c r="O77" s="40"/>
      <c r="P77" s="40"/>
      <c r="Q77" s="40"/>
      <c r="R77" s="52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22">
        <v>568.0</v>
      </c>
      <c r="B78" s="23" t="s">
        <v>283</v>
      </c>
      <c r="C78" s="24" t="s">
        <v>284</v>
      </c>
      <c r="D78" s="42"/>
      <c r="E78" s="48"/>
      <c r="F78" s="48"/>
      <c r="G78" s="48"/>
      <c r="H78" s="47"/>
      <c r="I78" s="47"/>
      <c r="J78" s="47"/>
      <c r="K78" s="28">
        <v>0.0</v>
      </c>
      <c r="L78" s="39" t="s">
        <v>91</v>
      </c>
      <c r="M78" s="30" t="s">
        <v>22</v>
      </c>
      <c r="N78" s="33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30">
        <v>0.0</v>
      </c>
      <c r="P78" s="30">
        <v>0.0</v>
      </c>
      <c r="Q78" s="33" t="str">
        <f>HYPERLINK("https://nure.ua/staff/irina-oleksandrivna-budanova","https://nure.ua/staff/irina-oleksandrivna-budanova")</f>
        <v>https://nure.ua/staff/irina-oleksandrivna-budanova</v>
      </c>
      <c r="R78" s="12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285</v>
      </c>
      <c r="C79" s="24" t="s">
        <v>286</v>
      </c>
      <c r="D79" s="42"/>
      <c r="E79" s="48"/>
      <c r="F79" s="48"/>
      <c r="G79" s="48"/>
      <c r="H79" s="47"/>
      <c r="I79" s="47"/>
      <c r="J79" s="47"/>
      <c r="K79" s="28">
        <v>2.0</v>
      </c>
      <c r="L79" s="39" t="s">
        <v>91</v>
      </c>
      <c r="M79" s="30" t="s">
        <v>22</v>
      </c>
      <c r="N79" s="33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30">
        <v>0.0</v>
      </c>
      <c r="P79" s="30">
        <v>0.0</v>
      </c>
      <c r="Q79" s="33" t="str">
        <f>HYPERLINK("https://nure.ua/staff/inna-yuriyivna-bukovska","https://nure.ua/staff/inna-yuriyivna-bukovska")</f>
        <v>https://nure.ua/staff/inna-yuriyivna-bukovska</v>
      </c>
      <c r="R79" s="12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287</v>
      </c>
      <c r="C80" s="24" t="s">
        <v>288</v>
      </c>
      <c r="D80" s="42"/>
      <c r="E80" s="48"/>
      <c r="F80" s="48"/>
      <c r="G80" s="48"/>
      <c r="H80" s="47"/>
      <c r="I80" s="47"/>
      <c r="J80" s="47"/>
      <c r="K80" s="28">
        <v>1.0</v>
      </c>
      <c r="L80" s="44" t="s">
        <v>75</v>
      </c>
      <c r="M80" s="30" t="s">
        <v>22</v>
      </c>
      <c r="N80" s="33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30">
        <v>0.0</v>
      </c>
      <c r="P80" s="30">
        <v>0.0</v>
      </c>
      <c r="Q80" s="33" t="str">
        <f>HYPERLINK("https://nure.ua/staff/viktoriya-anatoliyivna-bulaga","https://nure.ua/staff/viktoriya-anatoliyivna-bulaga")</f>
        <v>https://nure.ua/staff/viktoriya-anatoliyivna-bulaga</v>
      </c>
      <c r="R80" s="12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289</v>
      </c>
      <c r="C81" s="24" t="s">
        <v>290</v>
      </c>
      <c r="D81" s="42" t="s">
        <v>291</v>
      </c>
      <c r="E81" s="26">
        <v>16.0</v>
      </c>
      <c r="F81" s="26">
        <v>259.0</v>
      </c>
      <c r="G81" s="26">
        <v>9.0</v>
      </c>
      <c r="H81" s="27">
        <v>4.0</v>
      </c>
      <c r="I81" s="27">
        <v>12.0</v>
      </c>
      <c r="J81" s="27">
        <v>2.0</v>
      </c>
      <c r="K81" s="28">
        <v>14.0</v>
      </c>
      <c r="L81" s="39"/>
      <c r="M81" s="30"/>
      <c r="N81" s="30"/>
      <c r="O81" s="30"/>
      <c r="P81" s="30"/>
      <c r="Q81" s="30"/>
      <c r="R81" s="63" t="s">
        <v>292</v>
      </c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22"/>
      <c r="B82" s="23" t="s">
        <v>293</v>
      </c>
      <c r="C82" s="24"/>
      <c r="D82" s="42"/>
      <c r="E82" s="48"/>
      <c r="F82" s="48"/>
      <c r="G82" s="48"/>
      <c r="H82" s="27"/>
      <c r="I82" s="27"/>
      <c r="J82" s="27"/>
      <c r="K82" s="28"/>
      <c r="L82" s="39"/>
      <c r="M82" s="30"/>
      <c r="N82" s="30"/>
      <c r="O82" s="30"/>
      <c r="P82" s="30"/>
      <c r="Q82" s="30"/>
      <c r="R82" s="12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294</v>
      </c>
      <c r="C83" s="24" t="s">
        <v>295</v>
      </c>
      <c r="D83" s="42" t="s">
        <v>296</v>
      </c>
      <c r="E83" s="26">
        <v>2.0</v>
      </c>
      <c r="F83" s="26">
        <v>0.0</v>
      </c>
      <c r="G83" s="26">
        <v>0.0</v>
      </c>
      <c r="H83" s="27">
        <v>1.0</v>
      </c>
      <c r="I83" s="27">
        <v>0.0</v>
      </c>
      <c r="J83" s="27">
        <v>0.0</v>
      </c>
      <c r="K83" s="28">
        <v>6.0</v>
      </c>
      <c r="L83" s="56" t="s">
        <v>94</v>
      </c>
      <c r="M83" s="30" t="s">
        <v>22</v>
      </c>
      <c r="N83" s="33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30">
        <v>1.0</v>
      </c>
      <c r="P83" s="30">
        <v>1.0</v>
      </c>
      <c r="Q83" s="33" t="str">
        <f>HYPERLINK("https://nure.ua/staff/nina-semenivna-butenko","https://nure.ua/staff/nina-semenivna-butenko")</f>
        <v>https://nure.ua/staff/nina-semenivna-butenko</v>
      </c>
      <c r="R83" s="63" t="s">
        <v>297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298</v>
      </c>
      <c r="C84" s="24" t="s">
        <v>299</v>
      </c>
      <c r="D84" s="42"/>
      <c r="E84" s="48"/>
      <c r="F84" s="48"/>
      <c r="G84" s="48"/>
      <c r="H84" s="47"/>
      <c r="I84" s="47"/>
      <c r="J84" s="47"/>
      <c r="K84" s="28">
        <v>4.0</v>
      </c>
      <c r="L84" s="44" t="s">
        <v>41</v>
      </c>
      <c r="M84" s="30" t="s">
        <v>22</v>
      </c>
      <c r="N84" s="33" t="str">
        <f>HYPERLINK("https://scholar.google.com.ua/citations?user=-1Wg0fgAAAAJ","https://scholar.google.com.ua/citations?user=-1Wg0fgAAAAJ")</f>
        <v>https://scholar.google.com.ua/citations?user=-1Wg0fgAAAAJ</v>
      </c>
      <c r="O84" s="30">
        <v>0.0</v>
      </c>
      <c r="P84" s="30">
        <v>0.0</v>
      </c>
      <c r="Q84" s="33" t="str">
        <f>HYPERLINK("https://nure.ua/staff/natalya-anatoliyivna-valenda","https://nure.ua/staff/natalya-anatoliyivna-valenda")</f>
        <v>https://nure.ua/staff/natalya-anatoliyivna-valenda</v>
      </c>
      <c r="R84" s="12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300</v>
      </c>
      <c r="C85" s="24" t="s">
        <v>301</v>
      </c>
      <c r="D85" s="42"/>
      <c r="E85" s="48">
        <v>0.0</v>
      </c>
      <c r="F85" s="48">
        <v>0.0</v>
      </c>
      <c r="G85" s="48">
        <v>0.0</v>
      </c>
      <c r="H85" s="47">
        <v>0.0</v>
      </c>
      <c r="I85" s="47">
        <v>0.0</v>
      </c>
      <c r="J85" s="47">
        <v>0.0</v>
      </c>
      <c r="K85" s="28">
        <v>4.0</v>
      </c>
      <c r="L85" s="39" t="s">
        <v>91</v>
      </c>
      <c r="M85" s="30" t="s">
        <v>22</v>
      </c>
      <c r="N85" s="33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30">
        <v>1.0</v>
      </c>
      <c r="P85" s="30">
        <v>1.0</v>
      </c>
      <c r="Q85" s="33" t="str">
        <f>HYPERLINK("https://nure.ua/staff/tetyana-borisivna-valiyova","https://nure.ua/staff/tetyana-borisivna-valiyova")</f>
        <v>https://nure.ua/staff/tetyana-borisivna-valiyova</v>
      </c>
      <c r="R85" s="12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4">
        <v>7149.0</v>
      </c>
      <c r="B86" s="49" t="s">
        <v>302</v>
      </c>
      <c r="C86" s="35"/>
      <c r="D86" s="36"/>
      <c r="E86" s="50">
        <v>0.0</v>
      </c>
      <c r="F86" s="50">
        <v>0.0</v>
      </c>
      <c r="G86" s="50">
        <v>0.0</v>
      </c>
      <c r="H86" s="51">
        <v>0.0</v>
      </c>
      <c r="I86" s="51">
        <v>0.0</v>
      </c>
      <c r="J86" s="51">
        <v>0.0</v>
      </c>
      <c r="K86" s="38">
        <v>0.0</v>
      </c>
      <c r="L86" s="40"/>
      <c r="M86" s="40" t="s">
        <v>79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2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34">
        <v>7968.0</v>
      </c>
      <c r="B87" s="49" t="s">
        <v>303</v>
      </c>
      <c r="C87" s="35"/>
      <c r="D87" s="36" t="s">
        <v>304</v>
      </c>
      <c r="E87" s="26">
        <v>2.0</v>
      </c>
      <c r="F87" s="26">
        <v>0.0</v>
      </c>
      <c r="G87" s="26">
        <v>0.0</v>
      </c>
      <c r="H87" s="51"/>
      <c r="I87" s="51"/>
      <c r="J87" s="51"/>
      <c r="K87" s="38">
        <v>0.0</v>
      </c>
      <c r="L87" s="40"/>
      <c r="M87" s="40" t="s">
        <v>79</v>
      </c>
      <c r="N87" s="40"/>
      <c r="O87" s="40"/>
      <c r="P87" s="40"/>
      <c r="Q87" s="40"/>
      <c r="R87" s="53" t="s">
        <v>305</v>
      </c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22">
        <v>4352.0</v>
      </c>
      <c r="B88" s="23" t="s">
        <v>306</v>
      </c>
      <c r="C88" s="24" t="s">
        <v>307</v>
      </c>
      <c r="D88" s="42" t="s">
        <v>308</v>
      </c>
      <c r="E88" s="26">
        <v>6.0</v>
      </c>
      <c r="F88" s="26">
        <v>7.0</v>
      </c>
      <c r="G88" s="26">
        <v>2.0</v>
      </c>
      <c r="H88" s="27"/>
      <c r="I88" s="27"/>
      <c r="J88" s="27"/>
      <c r="K88" s="28">
        <v>17.0</v>
      </c>
      <c r="L88" s="44" t="s">
        <v>108</v>
      </c>
      <c r="M88" s="30" t="s">
        <v>22</v>
      </c>
      <c r="N88" s="33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30">
        <v>30.0</v>
      </c>
      <c r="P88" s="30">
        <v>3.0</v>
      </c>
      <c r="Q88" s="33" t="str">
        <f>HYPERLINK("https://nure.ua/staff/yuriy-sergiyovich-vasilyev","https://nure.ua/staff/yuriy-sergiyovich-vasilyev")</f>
        <v>https://nure.ua/staff/yuriy-sergiyovich-vasilyev</v>
      </c>
      <c r="R88" s="63" t="s">
        <v>309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310</v>
      </c>
      <c r="C89" s="24" t="s">
        <v>311</v>
      </c>
      <c r="D89" s="42" t="s">
        <v>312</v>
      </c>
      <c r="E89" s="26">
        <v>2.0</v>
      </c>
      <c r="F89" s="26">
        <v>3.0</v>
      </c>
      <c r="G89" s="26">
        <v>1.0</v>
      </c>
      <c r="H89" s="47"/>
      <c r="I89" s="47"/>
      <c r="J89" s="47"/>
      <c r="K89" s="28">
        <v>28.0</v>
      </c>
      <c r="L89" s="44" t="s">
        <v>218</v>
      </c>
      <c r="M89" s="30" t="s">
        <v>22</v>
      </c>
      <c r="N89" s="33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30">
        <v>19.0</v>
      </c>
      <c r="P89" s="30">
        <v>2.0</v>
      </c>
      <c r="Q89" s="33" t="str">
        <f>HYPERLINK("https://nure.ua/staff/nataliya-volodimirivna-vasiltsova","https://nure.ua/staff/nataliya-volodimirivna-vasiltsova")</f>
        <v>https://nure.ua/staff/nataliya-volodimirivna-vasiltsova</v>
      </c>
      <c r="R89" s="63" t="s">
        <v>313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314</v>
      </c>
      <c r="C90" s="24" t="s">
        <v>315</v>
      </c>
      <c r="D90" s="42" t="s">
        <v>316</v>
      </c>
      <c r="E90" s="26">
        <v>7.0</v>
      </c>
      <c r="F90" s="26">
        <v>15.0</v>
      </c>
      <c r="G90" s="26">
        <v>2.0</v>
      </c>
      <c r="H90" s="27">
        <v>2.0</v>
      </c>
      <c r="I90" s="27">
        <v>0.0</v>
      </c>
      <c r="J90" s="27">
        <v>0.0</v>
      </c>
      <c r="K90" s="28">
        <v>27.0</v>
      </c>
      <c r="L90" s="44" t="s">
        <v>102</v>
      </c>
      <c r="M90" s="30" t="s">
        <v>22</v>
      </c>
      <c r="N90" s="33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30">
        <v>11.0</v>
      </c>
      <c r="P90" s="30">
        <v>2.0</v>
      </c>
      <c r="Q90" s="33" t="str">
        <f>HYPERLINK("https://nure.ua/staff/anatoliy-volodimirovich-vasyanovich","https://nure.ua/staff/anatoliy-volodimirovich-vasyanovich")</f>
        <v>https://nure.ua/staff/anatoliy-volodimirovich-vasyanovich</v>
      </c>
      <c r="R90" s="63" t="s">
        <v>317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4">
        <v>1112.0</v>
      </c>
      <c r="B91" s="23" t="s">
        <v>318</v>
      </c>
      <c r="C91" s="35"/>
      <c r="D91" s="36" t="s">
        <v>319</v>
      </c>
      <c r="E91" s="26">
        <v>12.0</v>
      </c>
      <c r="F91" s="26">
        <v>12.0</v>
      </c>
      <c r="G91" s="26">
        <v>2.0</v>
      </c>
      <c r="H91" s="51">
        <v>6.0</v>
      </c>
      <c r="I91" s="51">
        <v>6.0</v>
      </c>
      <c r="J91" s="51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52" t="s">
        <v>320</v>
      </c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22">
        <v>3448.0</v>
      </c>
      <c r="B92" s="23" t="s">
        <v>321</v>
      </c>
      <c r="C92" s="24" t="s">
        <v>322</v>
      </c>
      <c r="D92" s="42"/>
      <c r="E92" s="48"/>
      <c r="F92" s="48"/>
      <c r="G92" s="48"/>
      <c r="H92" s="47"/>
      <c r="I92" s="47"/>
      <c r="J92" s="47"/>
      <c r="K92" s="28">
        <v>1.0</v>
      </c>
      <c r="L92" s="39" t="s">
        <v>91</v>
      </c>
      <c r="M92" s="30" t="s">
        <v>22</v>
      </c>
      <c r="N92" s="33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30">
        <v>0.0</v>
      </c>
      <c r="P92" s="30">
        <v>0.0</v>
      </c>
      <c r="Q92" s="33" t="str">
        <f>HYPERLINK("https://nure.ua/staff/tetyana-ivanivna-vergun","https://nure.ua/staff/tetyana-ivanivna-vergun")</f>
        <v>https://nure.ua/staff/tetyana-ivanivna-vergun</v>
      </c>
      <c r="R92" s="12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323</v>
      </c>
      <c r="C93" s="24"/>
      <c r="D93" s="42" t="s">
        <v>324</v>
      </c>
      <c r="E93" s="26">
        <v>187.0</v>
      </c>
      <c r="F93" s="26">
        <v>571.0</v>
      </c>
      <c r="G93" s="26">
        <v>11.0</v>
      </c>
      <c r="H93" s="27">
        <v>105.0</v>
      </c>
      <c r="I93" s="27">
        <v>247.0</v>
      </c>
      <c r="J93" s="27">
        <v>6.0</v>
      </c>
      <c r="K93" s="28">
        <v>0.0</v>
      </c>
      <c r="L93" s="39"/>
      <c r="M93" s="30" t="s">
        <v>22</v>
      </c>
      <c r="N93" s="30"/>
      <c r="O93" s="30"/>
      <c r="P93" s="30"/>
      <c r="Q93" s="30"/>
      <c r="R93" s="63" t="s">
        <v>325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326</v>
      </c>
      <c r="C94" s="24" t="s">
        <v>327</v>
      </c>
      <c r="D94" s="42" t="s">
        <v>328</v>
      </c>
      <c r="E94" s="26">
        <v>2.0</v>
      </c>
      <c r="F94" s="26">
        <v>1.0</v>
      </c>
      <c r="G94" s="26">
        <v>1.0</v>
      </c>
      <c r="H94" s="27">
        <v>1.0</v>
      </c>
      <c r="I94" s="27">
        <v>0.0</v>
      </c>
      <c r="J94" s="27">
        <v>0.0</v>
      </c>
      <c r="K94" s="28">
        <v>53.0</v>
      </c>
      <c r="L94" s="29" t="s">
        <v>329</v>
      </c>
      <c r="M94" s="30" t="s">
        <v>22</v>
      </c>
      <c r="N94" s="33" t="str">
        <f>HYPERLINK("https://scholar.google.com.ua/citations?user=Ti1ZnogAAAAJ","https://scholar.google.com.ua/citations?user=Ti1ZnogAAAAJ")</f>
        <v>https://scholar.google.com.ua/citations?user=Ti1ZnogAAAAJ</v>
      </c>
      <c r="O94" s="30">
        <v>111.0</v>
      </c>
      <c r="P94" s="30">
        <v>7.0</v>
      </c>
      <c r="Q94" s="33" t="str">
        <f>HYPERLINK("https://nure.ua/staff/ganna-mikolayivna-veryasova","https://nure.ua/staff/ganna-mikolayivna-veryasova")</f>
        <v>https://nure.ua/staff/ganna-mikolayivna-veryasova</v>
      </c>
      <c r="R94" s="63" t="s">
        <v>330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4">
        <v>4563.0</v>
      </c>
      <c r="B95" s="49" t="s">
        <v>331</v>
      </c>
      <c r="C95" s="35" t="s">
        <v>332</v>
      </c>
      <c r="D95" s="36" t="s">
        <v>333</v>
      </c>
      <c r="E95" s="26">
        <v>5.0</v>
      </c>
      <c r="F95" s="26">
        <v>11.0</v>
      </c>
      <c r="G95" s="26">
        <v>3.0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167</v>
      </c>
      <c r="M95" s="40" t="s">
        <v>79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77" t="s">
        <v>334</v>
      </c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22">
        <v>310.0</v>
      </c>
      <c r="B96" s="23" t="s">
        <v>335</v>
      </c>
      <c r="C96" s="24" t="s">
        <v>336</v>
      </c>
      <c r="D96" s="42" t="s">
        <v>337</v>
      </c>
      <c r="E96" s="26">
        <v>1.0</v>
      </c>
      <c r="F96" s="26">
        <v>0.0</v>
      </c>
      <c r="G96" s="26">
        <v>0.0</v>
      </c>
      <c r="H96" s="27">
        <v>1.0</v>
      </c>
      <c r="I96" s="27">
        <v>0.0</v>
      </c>
      <c r="J96" s="27">
        <v>0.0</v>
      </c>
      <c r="K96" s="28">
        <v>1.0</v>
      </c>
      <c r="L96" s="44" t="s">
        <v>41</v>
      </c>
      <c r="M96" s="30" t="s">
        <v>22</v>
      </c>
      <c r="N96" s="33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30">
        <v>6.0</v>
      </c>
      <c r="P96" s="30">
        <v>1.0</v>
      </c>
      <c r="Q96" s="33" t="str">
        <f>HYPERLINK("https://nure.ua/staff/oleksandr-volodimirovich-vechur","https://nure.ua/staff/oleksandr-volodimirovich-vechur")</f>
        <v>https://nure.ua/staff/oleksandr-volodimirovich-vechur</v>
      </c>
      <c r="R96" s="63" t="s">
        <v>338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339</v>
      </c>
      <c r="C97" s="24" t="s">
        <v>340</v>
      </c>
      <c r="D97" s="42"/>
      <c r="E97" s="48"/>
      <c r="F97" s="48"/>
      <c r="G97" s="48"/>
      <c r="H97" s="47"/>
      <c r="I97" s="47"/>
      <c r="J97" s="47"/>
      <c r="K97" s="28">
        <v>18.0</v>
      </c>
      <c r="L97" s="44" t="s">
        <v>137</v>
      </c>
      <c r="M97" s="30" t="s">
        <v>22</v>
      </c>
      <c r="N97" s="33" t="str">
        <f>HYPERLINK("https://scholar.google.com.ua/citations?user=G6LFfWIAAAAJ","https://scholar.google.com.ua/citations?user=G6LFfWIAAAAJ")</f>
        <v>https://scholar.google.com.ua/citations?user=G6LFfWIAAAAJ</v>
      </c>
      <c r="O97" s="30">
        <v>8.0</v>
      </c>
      <c r="P97" s="30">
        <v>2.0</v>
      </c>
      <c r="Q97" s="33" t="str">
        <f>HYPERLINK("https://nure.ua/staff/mihaylo-yuriyovich-vishnyak","https://nure.ua/staff/mihaylo-yuriyovich-vishnyak")</f>
        <v>https://nure.ua/staff/mihaylo-yuriyovich-vishnyak</v>
      </c>
      <c r="R97" s="12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4">
        <v>5722.0</v>
      </c>
      <c r="B98" s="49" t="s">
        <v>341</v>
      </c>
      <c r="C98" s="35" t="s">
        <v>342</v>
      </c>
      <c r="D98" s="36" t="s">
        <v>343</v>
      </c>
      <c r="E98" s="26">
        <v>5.0</v>
      </c>
      <c r="F98" s="26">
        <v>9.0</v>
      </c>
      <c r="G98" s="26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79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77" t="s">
        <v>344</v>
      </c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22">
        <v>1220.0</v>
      </c>
      <c r="B99" s="23" t="s">
        <v>345</v>
      </c>
      <c r="C99" s="24" t="s">
        <v>346</v>
      </c>
      <c r="D99" s="42" t="s">
        <v>347</v>
      </c>
      <c r="E99" s="26">
        <v>3.0</v>
      </c>
      <c r="F99" s="26">
        <v>14.0</v>
      </c>
      <c r="G99" s="26">
        <v>2.0</v>
      </c>
      <c r="H99" s="27">
        <v>1.0</v>
      </c>
      <c r="I99" s="27">
        <v>0.0</v>
      </c>
      <c r="J99" s="27">
        <v>0.0</v>
      </c>
      <c r="K99" s="28">
        <v>1.0</v>
      </c>
      <c r="L99" s="44" t="s">
        <v>186</v>
      </c>
      <c r="M99" s="30" t="s">
        <v>22</v>
      </c>
      <c r="N99" s="30"/>
      <c r="O99" s="30"/>
      <c r="P99" s="30"/>
      <c r="Q99" s="30"/>
      <c r="R99" s="63" t="s">
        <v>348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349</v>
      </c>
      <c r="C100" s="78" t="s">
        <v>350</v>
      </c>
      <c r="D100" s="42" t="s">
        <v>351</v>
      </c>
      <c r="E100" s="26">
        <v>39.0</v>
      </c>
      <c r="F100" s="26">
        <v>158.0</v>
      </c>
      <c r="G100" s="26">
        <v>7.0</v>
      </c>
      <c r="H100" s="27">
        <v>27.0</v>
      </c>
      <c r="I100" s="27">
        <v>66.0</v>
      </c>
      <c r="J100" s="27">
        <v>4.0</v>
      </c>
      <c r="K100" s="28">
        <v>7.0</v>
      </c>
      <c r="L100" s="44" t="s">
        <v>41</v>
      </c>
      <c r="M100" s="30" t="s">
        <v>22</v>
      </c>
      <c r="N100" s="33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30">
        <v>419.0</v>
      </c>
      <c r="P100" s="30">
        <v>11.0</v>
      </c>
      <c r="Q100" s="33" t="str">
        <f>HYPERLINK("https://nure.ua/staff/larisa-andriivna-vlasenko","https://nure.ua/staff/larisa-andriivna-vlasenko")</f>
        <v>https://nure.ua/staff/larisa-andriivna-vlasenko</v>
      </c>
      <c r="R100" s="63" t="s">
        <v>352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4">
        <v>7641.0</v>
      </c>
      <c r="B101" s="23" t="s">
        <v>353</v>
      </c>
      <c r="C101" s="35" t="s">
        <v>354</v>
      </c>
      <c r="D101" s="36" t="s">
        <v>355</v>
      </c>
      <c r="E101" s="26">
        <v>5.0</v>
      </c>
      <c r="F101" s="26">
        <v>7.0</v>
      </c>
      <c r="G101" s="26">
        <v>1.0</v>
      </c>
      <c r="H101" s="51"/>
      <c r="I101" s="51"/>
      <c r="J101" s="51"/>
      <c r="K101" s="38">
        <v>2.0</v>
      </c>
      <c r="L101" s="29" t="s">
        <v>356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3" t="s">
        <v>357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358</v>
      </c>
      <c r="C102" s="24" t="s">
        <v>359</v>
      </c>
      <c r="D102" s="42" t="s">
        <v>360</v>
      </c>
      <c r="E102" s="26">
        <v>5.0</v>
      </c>
      <c r="F102" s="26">
        <v>2.0</v>
      </c>
      <c r="G102" s="26">
        <v>1.0</v>
      </c>
      <c r="H102" s="27">
        <v>2.0</v>
      </c>
      <c r="I102" s="27">
        <v>1.0</v>
      </c>
      <c r="J102" s="27">
        <v>1.0</v>
      </c>
      <c r="K102" s="28">
        <v>21.0</v>
      </c>
      <c r="L102" s="44" t="s">
        <v>144</v>
      </c>
      <c r="M102" s="30" t="s">
        <v>22</v>
      </c>
      <c r="N102" s="33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30">
        <v>87.0</v>
      </c>
      <c r="P102" s="30">
        <v>5.0</v>
      </c>
      <c r="Q102" s="33" t="str">
        <f>HYPERLINK("https://nure.ua/staff/viktoriya-oleksandrivna-vlasova","https://nure.ua/staff/viktoriya-oleksandrivna-vlasova")</f>
        <v>https://nure.ua/staff/viktoriya-oleksandrivna-vlasova</v>
      </c>
      <c r="R102" s="63" t="s">
        <v>361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362</v>
      </c>
      <c r="C103" s="24" t="s">
        <v>363</v>
      </c>
      <c r="D103" s="42" t="s">
        <v>364</v>
      </c>
      <c r="E103" s="26">
        <v>1.0</v>
      </c>
      <c r="F103" s="26">
        <v>1.0</v>
      </c>
      <c r="G103" s="26">
        <v>1.0</v>
      </c>
      <c r="H103" s="27"/>
      <c r="I103" s="27"/>
      <c r="J103" s="27"/>
      <c r="K103" s="28">
        <v>39.0</v>
      </c>
      <c r="L103" s="44" t="s">
        <v>171</v>
      </c>
      <c r="M103" s="30" t="s">
        <v>22</v>
      </c>
      <c r="N103" s="33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30">
        <v>11.0</v>
      </c>
      <c r="P103" s="30">
        <v>2.0</v>
      </c>
      <c r="Q103" s="33" t="str">
        <f>HYPERLINK("https://nure.ua/staff/oleksandr-volodimirovich-vovk","https://nure.ua/staff/oleksandr-volodimirovich-vovk")</f>
        <v>https://nure.ua/staff/oleksandr-volodimirovich-vovk</v>
      </c>
      <c r="R103" s="13" t="s">
        <v>365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366</v>
      </c>
      <c r="C104" s="24" t="s">
        <v>367</v>
      </c>
      <c r="D104" s="42" t="s">
        <v>368</v>
      </c>
      <c r="E104" s="26">
        <v>10.0</v>
      </c>
      <c r="F104" s="26">
        <v>23.0</v>
      </c>
      <c r="G104" s="26">
        <v>3.0</v>
      </c>
      <c r="H104" s="27">
        <v>2.0</v>
      </c>
      <c r="I104" s="27">
        <v>0.0</v>
      </c>
      <c r="J104" s="27">
        <v>0.0</v>
      </c>
      <c r="K104" s="28">
        <v>8.0</v>
      </c>
      <c r="L104" s="29" t="s">
        <v>71</v>
      </c>
      <c r="M104" s="30" t="s">
        <v>22</v>
      </c>
      <c r="N104" s="33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30">
        <v>92.0</v>
      </c>
      <c r="P104" s="30">
        <v>5.0</v>
      </c>
      <c r="Q104" s="33" t="str">
        <f>HYPERLINK("https://nure.ua/staff/maksim-oleksandrovich-volk","https://nure.ua/staff/maksim-oleksandrovich-volk")</f>
        <v>https://nure.ua/staff/maksim-oleksandrovich-volk</v>
      </c>
      <c r="R104" s="63" t="s">
        <v>369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370</v>
      </c>
      <c r="C105" s="24" t="s">
        <v>371</v>
      </c>
      <c r="D105" s="42" t="s">
        <v>372</v>
      </c>
      <c r="E105" s="26">
        <v>5.0</v>
      </c>
      <c r="F105" s="26">
        <v>20.0</v>
      </c>
      <c r="G105" s="26">
        <v>2.0</v>
      </c>
      <c r="H105" s="27">
        <v>3.0</v>
      </c>
      <c r="I105" s="27">
        <v>1.0</v>
      </c>
      <c r="J105" s="27">
        <v>1.0</v>
      </c>
      <c r="K105" s="28">
        <v>24.0</v>
      </c>
      <c r="L105" s="29" t="s">
        <v>36</v>
      </c>
      <c r="M105" s="30" t="s">
        <v>22</v>
      </c>
      <c r="N105" s="33" t="str">
        <f>HYPERLINK("https://scholar.google.com/citations?user=yVURYR4AAAAJ","https://scholar.google.com/citations?user=yVURYR4AAAAJ")</f>
        <v>https://scholar.google.com/citations?user=yVURYR4AAAAJ</v>
      </c>
      <c r="O105" s="30">
        <v>47.0</v>
      </c>
      <c r="P105" s="30">
        <v>3.0</v>
      </c>
      <c r="Q105" s="33" t="str">
        <f>HYPERLINK("https://nure.ua/staff/vadim-sergiyovich-volotka","https://nure.ua/staff/vadim-sergiyovich-volotka")</f>
        <v>https://nure.ua/staff/vadim-sergiyovich-volotka</v>
      </c>
      <c r="R105" s="63" t="s">
        <v>373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374</v>
      </c>
      <c r="C106" s="24" t="s">
        <v>375</v>
      </c>
      <c r="D106" s="42" t="s">
        <v>376</v>
      </c>
      <c r="E106" s="26">
        <v>3.0</v>
      </c>
      <c r="F106" s="26">
        <v>17.0</v>
      </c>
      <c r="G106" s="26">
        <v>2.0</v>
      </c>
      <c r="H106" s="27">
        <v>2.0</v>
      </c>
      <c r="I106" s="27">
        <v>2.0</v>
      </c>
      <c r="J106" s="27">
        <v>1.0</v>
      </c>
      <c r="K106" s="28">
        <v>4.0</v>
      </c>
      <c r="L106" s="44" t="s">
        <v>186</v>
      </c>
      <c r="M106" s="30" t="s">
        <v>22</v>
      </c>
      <c r="N106" s="33" t="str">
        <f>HYPERLINK("https://scholar.google.com.ua/citations?user=43dMog4AAAAJ","https://scholar.google.com.ua/citations?user=43dMog4AAAAJ")</f>
        <v>https://scholar.google.com.ua/citations?user=43dMog4AAAAJ</v>
      </c>
      <c r="O106" s="30"/>
      <c r="P106" s="30"/>
      <c r="Q106" s="33" t="str">
        <f>HYPERLINK("https://nure.ua/staff/olena-borisivna-voloshhuk","https://nure.ua/staff/olena-borisivna-voloshhuk")</f>
        <v>https://nure.ua/staff/olena-borisivna-voloshhuk</v>
      </c>
      <c r="R106" s="63" t="s">
        <v>377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378</v>
      </c>
      <c r="C107" s="24" t="s">
        <v>379</v>
      </c>
      <c r="D107" s="42" t="s">
        <v>380</v>
      </c>
      <c r="E107" s="26">
        <v>15.0</v>
      </c>
      <c r="F107" s="26">
        <v>46.0</v>
      </c>
      <c r="G107" s="26">
        <v>4.0</v>
      </c>
      <c r="H107" s="27">
        <v>3.0</v>
      </c>
      <c r="I107" s="27">
        <v>5.0</v>
      </c>
      <c r="J107" s="27">
        <v>1.0</v>
      </c>
      <c r="K107" s="28"/>
      <c r="L107" s="44" t="s">
        <v>381</v>
      </c>
      <c r="M107" s="30" t="s">
        <v>22</v>
      </c>
      <c r="N107" s="33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30">
        <v>29.0</v>
      </c>
      <c r="P107" s="30">
        <v>4.0</v>
      </c>
      <c r="Q107" s="33" t="str">
        <f>HYPERLINK("https://nure.ua/staff/oleksandr-vasilovich-vorgul","https://nure.ua/staff/oleksandr-vasilovich-vorgul")</f>
        <v>https://nure.ua/staff/oleksandr-vasilovich-vorgul</v>
      </c>
      <c r="R107" s="63" t="s">
        <v>382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383</v>
      </c>
      <c r="C108" s="24" t="s">
        <v>384</v>
      </c>
      <c r="D108" s="42"/>
      <c r="E108" s="48"/>
      <c r="F108" s="48"/>
      <c r="G108" s="48"/>
      <c r="H108" s="27"/>
      <c r="I108" s="27"/>
      <c r="J108" s="27"/>
      <c r="K108" s="28">
        <v>0.0</v>
      </c>
      <c r="L108" s="39" t="s">
        <v>385</v>
      </c>
      <c r="M108" s="30" t="s">
        <v>22</v>
      </c>
      <c r="N108" s="33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30">
        <v>0.0</v>
      </c>
      <c r="P108" s="30">
        <v>0.0</v>
      </c>
      <c r="Q108" s="33" t="str">
        <f>HYPERLINK("https://nure.ua/staff/maksim-pilipovich-voronij","https://nure.ua/staff/maksim-pilipovich-voronij")</f>
        <v>https://nure.ua/staff/maksim-pilipovich-voronij</v>
      </c>
      <c r="R108" s="12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386</v>
      </c>
      <c r="C109" s="24" t="s">
        <v>387</v>
      </c>
      <c r="D109" s="42" t="s">
        <v>388</v>
      </c>
      <c r="E109" s="26">
        <v>12.0</v>
      </c>
      <c r="F109" s="26">
        <v>46.0</v>
      </c>
      <c r="G109" s="26">
        <v>3.0</v>
      </c>
      <c r="H109" s="27">
        <v>7.0</v>
      </c>
      <c r="I109" s="27">
        <v>28.0</v>
      </c>
      <c r="J109" s="27">
        <v>29.0</v>
      </c>
      <c r="K109" s="28">
        <v>0.0</v>
      </c>
      <c r="L109" s="44" t="s">
        <v>41</v>
      </c>
      <c r="M109" s="30" t="s">
        <v>22</v>
      </c>
      <c r="N109" s="33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30">
        <v>58.0</v>
      </c>
      <c r="P109" s="30">
        <v>3.0</v>
      </c>
      <c r="Q109" s="33" t="str">
        <f>HYPERLINK("https://nure.ua/staff/olga-grigorivna-vorochek","https://nure.ua/staff/olga-grigorivna-vorochek")</f>
        <v>https://nure.ua/staff/olga-grigorivna-vorochek</v>
      </c>
      <c r="R109" s="63" t="s">
        <v>389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390</v>
      </c>
      <c r="C110" s="24"/>
      <c r="D110" s="42"/>
      <c r="E110" s="48"/>
      <c r="F110" s="48"/>
      <c r="G110" s="48"/>
      <c r="H110" s="27"/>
      <c r="I110" s="27"/>
      <c r="J110" s="27"/>
      <c r="K110" s="28"/>
      <c r="L110" s="29" t="s">
        <v>356</v>
      </c>
      <c r="M110" s="30"/>
      <c r="N110" s="30"/>
      <c r="O110" s="30"/>
      <c r="P110" s="30"/>
      <c r="Q110" s="30"/>
      <c r="R110" s="12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391</v>
      </c>
      <c r="C111" s="24" t="s">
        <v>392</v>
      </c>
      <c r="D111" s="42" t="s">
        <v>393</v>
      </c>
      <c r="E111" s="26">
        <v>19.0</v>
      </c>
      <c r="F111" s="26">
        <v>15.0</v>
      </c>
      <c r="G111" s="26">
        <v>2.0</v>
      </c>
      <c r="H111" s="27">
        <v>7.0</v>
      </c>
      <c r="I111" s="27">
        <v>0.0</v>
      </c>
      <c r="J111" s="27">
        <v>0.0</v>
      </c>
      <c r="K111" s="28">
        <v>6.0</v>
      </c>
      <c r="L111" s="44" t="s">
        <v>75</v>
      </c>
      <c r="M111" s="30" t="s">
        <v>22</v>
      </c>
      <c r="N111" s="33" t="str">
        <f>HYPERLINK("https://scholar.google.com.ua/citations?user=BttQW_QAAAAJ","https://scholar.google.com.ua/citations?user=BttQW_QAAAAJ")</f>
        <v>https://scholar.google.com.ua/citations?user=BttQW_QAAAAJ</v>
      </c>
      <c r="O111" s="30">
        <v>74.0</v>
      </c>
      <c r="P111" s="30">
        <v>3.0</v>
      </c>
      <c r="Q111" s="33" t="str">
        <f>HYPERLINK("https://nure.ua/staff/dmitro-sergiyovich-gavva","https://nure.ua/staff/dmitro-sergiyovich-gavva")</f>
        <v>https://nure.ua/staff/dmitro-sergiyovich-gavva</v>
      </c>
      <c r="R111" s="63" t="s">
        <v>394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4">
        <v>7886.0</v>
      </c>
      <c r="B112" s="23" t="s">
        <v>395</v>
      </c>
      <c r="C112" s="35" t="s">
        <v>396</v>
      </c>
      <c r="D112" s="36" t="s">
        <v>397</v>
      </c>
      <c r="E112" s="26">
        <v>9.0</v>
      </c>
      <c r="F112" s="26">
        <v>20.0</v>
      </c>
      <c r="G112" s="26">
        <v>3.0</v>
      </c>
      <c r="H112" s="37">
        <v>2.0</v>
      </c>
      <c r="I112" s="37">
        <v>0.0</v>
      </c>
      <c r="J112" s="37">
        <v>0.0</v>
      </c>
      <c r="K112" s="38">
        <v>7.0</v>
      </c>
      <c r="L112" s="29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63" t="s">
        <v>398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399</v>
      </c>
      <c r="C113" s="24" t="s">
        <v>400</v>
      </c>
      <c r="D113" s="42"/>
      <c r="E113" s="48"/>
      <c r="F113" s="48"/>
      <c r="G113" s="48"/>
      <c r="H113" s="27">
        <v>2.0</v>
      </c>
      <c r="I113" s="27">
        <v>0.0</v>
      </c>
      <c r="J113" s="27">
        <v>0.0</v>
      </c>
      <c r="K113" s="28">
        <v>4.0</v>
      </c>
      <c r="L113" s="29" t="s">
        <v>21</v>
      </c>
      <c r="M113" s="30" t="s">
        <v>22</v>
      </c>
      <c r="N113" s="33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30">
        <v>20.0</v>
      </c>
      <c r="P113" s="30">
        <v>3.0</v>
      </c>
      <c r="Q113" s="33" t="str">
        <f>HYPERLINK("https://nure.ua/staff/olena-mikolayivna-galaychenko","https://nure.ua/staff/olena-mikolayivna-galaychenko")</f>
        <v>https://nure.ua/staff/olena-mikolayivna-galaychenko</v>
      </c>
      <c r="R113" s="12" t="s">
        <v>401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402</v>
      </c>
      <c r="C114" s="24" t="s">
        <v>403</v>
      </c>
      <c r="D114" s="42" t="s">
        <v>404</v>
      </c>
      <c r="E114" s="26">
        <v>6.0</v>
      </c>
      <c r="F114" s="26">
        <v>3.0</v>
      </c>
      <c r="G114" s="26">
        <v>1.0</v>
      </c>
      <c r="H114" s="27"/>
      <c r="I114" s="27"/>
      <c r="J114" s="27"/>
      <c r="K114" s="28">
        <v>38.0</v>
      </c>
      <c r="L114" s="44" t="s">
        <v>108</v>
      </c>
      <c r="M114" s="30" t="s">
        <v>22</v>
      </c>
      <c r="N114" s="33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30">
        <v>3.0</v>
      </c>
      <c r="P114" s="30">
        <v>1.0</v>
      </c>
      <c r="Q114" s="33" t="str">
        <f>HYPERLINK("https://nure.ua/staff/oleksandr-borisovich-galat","https://nure.ua/staff/oleksandr-borisovich-galat")</f>
        <v>https://nure.ua/staff/oleksandr-borisovich-galat</v>
      </c>
      <c r="R114" s="63" t="s">
        <v>405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406</v>
      </c>
      <c r="C115" s="24" t="s">
        <v>407</v>
      </c>
      <c r="D115" s="42" t="s">
        <v>408</v>
      </c>
      <c r="E115" s="26">
        <v>18.0</v>
      </c>
      <c r="F115" s="26">
        <v>86.0</v>
      </c>
      <c r="G115" s="26">
        <v>6.0</v>
      </c>
      <c r="H115" s="27">
        <v>7.0</v>
      </c>
      <c r="I115" s="27">
        <v>8.0</v>
      </c>
      <c r="J115" s="27">
        <v>2.0</v>
      </c>
      <c r="K115" s="28">
        <v>27.0</v>
      </c>
      <c r="L115" s="44" t="s">
        <v>409</v>
      </c>
      <c r="M115" s="30" t="s">
        <v>22</v>
      </c>
      <c r="N115" s="30"/>
      <c r="O115" s="30"/>
      <c r="P115" s="30"/>
      <c r="Q115" s="33" t="str">
        <f>HYPERLINK("https://nure.ua/staff/pavlo-viktorovich-galkin","https://nure.ua/staff/pavlo-viktorovich-galkin")</f>
        <v>https://nure.ua/staff/pavlo-viktorovich-galkin</v>
      </c>
      <c r="R115" s="63" t="s">
        <v>410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411</v>
      </c>
      <c r="C116" s="24" t="s">
        <v>412</v>
      </c>
      <c r="D116" s="42" t="s">
        <v>413</v>
      </c>
      <c r="E116" s="26">
        <v>62.0</v>
      </c>
      <c r="F116" s="26">
        <v>268.0</v>
      </c>
      <c r="G116" s="26">
        <v>11.0</v>
      </c>
      <c r="H116" s="27">
        <v>47.0</v>
      </c>
      <c r="I116" s="27">
        <v>184.0</v>
      </c>
      <c r="J116" s="27">
        <v>8.0</v>
      </c>
      <c r="K116" s="28">
        <v>1.0</v>
      </c>
      <c r="L116" s="39"/>
      <c r="M116" s="30" t="s">
        <v>22</v>
      </c>
      <c r="N116" s="33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30">
        <v>284.0</v>
      </c>
      <c r="P116" s="30">
        <v>11.0</v>
      </c>
      <c r="Q116" s="33" t="str">
        <f>HYPERLINK("https://nure.ua/staff/oleksiy-anatoliyovich-galuza","https://nure.ua/staff/oleksiy-anatoliyovich-galuza")</f>
        <v>https://nure.ua/staff/oleksiy-anatoliyovich-galuza</v>
      </c>
      <c r="R116" s="63" t="s">
        <v>414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415</v>
      </c>
      <c r="C117" s="24" t="s">
        <v>416</v>
      </c>
      <c r="D117" s="42" t="s">
        <v>417</v>
      </c>
      <c r="E117" s="26">
        <v>1.0</v>
      </c>
      <c r="F117" s="26">
        <v>0.0</v>
      </c>
      <c r="G117" s="26">
        <v>0.0</v>
      </c>
      <c r="H117" s="27"/>
      <c r="I117" s="27"/>
      <c r="J117" s="27"/>
      <c r="K117" s="28">
        <v>12.0</v>
      </c>
      <c r="L117" s="44" t="s">
        <v>64</v>
      </c>
      <c r="M117" s="30" t="s">
        <v>22</v>
      </c>
      <c r="N117" s="33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30">
        <v>3.0</v>
      </c>
      <c r="P117" s="30">
        <v>1.0</v>
      </c>
      <c r="Q117" s="33" t="str">
        <f>HYPERLINK("https://nure.ua/staff/dmitro-gennadiyovich-ganshin","https://nure.ua/staff/dmitro-gennadiyovich-ganshin")</f>
        <v>https://nure.ua/staff/dmitro-gennadiyovich-ganshin</v>
      </c>
      <c r="R117" s="63" t="s">
        <v>418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419</v>
      </c>
      <c r="C118" s="24"/>
      <c r="D118" s="42"/>
      <c r="E118" s="48"/>
      <c r="F118" s="48"/>
      <c r="G118" s="48"/>
      <c r="H118" s="27"/>
      <c r="I118" s="27"/>
      <c r="J118" s="27"/>
      <c r="K118" s="28">
        <v>0.0</v>
      </c>
      <c r="L118" s="39"/>
      <c r="M118" s="30" t="s">
        <v>22</v>
      </c>
      <c r="N118" s="33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30">
        <v>4.0</v>
      </c>
      <c r="P118" s="30">
        <v>1.0</v>
      </c>
      <c r="Q118" s="33" t="str">
        <f>HYPERLINK("https://nure.ua/staff/viktoriya-vitaliyivna-ganshina","https://nure.ua/staff/viktoriya-vitaliyivna-ganshina")</f>
        <v>https://nure.ua/staff/viktoriya-vitaliyivna-ganshina</v>
      </c>
      <c r="R118" s="12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420</v>
      </c>
      <c r="C119" s="24" t="s">
        <v>421</v>
      </c>
      <c r="D119" s="42"/>
      <c r="E119" s="48">
        <v>0.0</v>
      </c>
      <c r="F119" s="48">
        <v>0.0</v>
      </c>
      <c r="G119" s="48">
        <v>0.0</v>
      </c>
      <c r="H119" s="27">
        <v>0.0</v>
      </c>
      <c r="I119" s="27">
        <v>0.0</v>
      </c>
      <c r="J119" s="27">
        <v>0.0</v>
      </c>
      <c r="K119" s="28">
        <v>1.0</v>
      </c>
      <c r="L119" s="39" t="s">
        <v>116</v>
      </c>
      <c r="M119" s="30" t="s">
        <v>22</v>
      </c>
      <c r="N119" s="33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30">
        <v>0.0</v>
      </c>
      <c r="P119" s="30">
        <v>0.0</v>
      </c>
      <c r="Q119" s="33" t="str">
        <f>HYPERLINK("https://nure.ua/staff/marina-arturivna-garbar","https://nure.ua/staff/marina-arturivna-garbar")</f>
        <v>https://nure.ua/staff/marina-arturivna-garbar</v>
      </c>
      <c r="R119" s="12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4">
        <v>1142.0</v>
      </c>
      <c r="B120" s="49" t="s">
        <v>422</v>
      </c>
      <c r="C120" s="35"/>
      <c r="D120" s="36"/>
      <c r="E120" s="48"/>
      <c r="F120" s="48"/>
      <c r="G120" s="48"/>
      <c r="H120" s="37"/>
      <c r="I120" s="37"/>
      <c r="J120" s="37"/>
      <c r="K120" s="38">
        <v>34.0</v>
      </c>
      <c r="L120" s="40"/>
      <c r="M120" s="40" t="s">
        <v>79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2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22">
        <v>7443.0</v>
      </c>
      <c r="B121" s="23" t="s">
        <v>423</v>
      </c>
      <c r="C121" s="24"/>
      <c r="D121" s="42"/>
      <c r="E121" s="48"/>
      <c r="F121" s="48"/>
      <c r="G121" s="48"/>
      <c r="H121" s="27"/>
      <c r="I121" s="27"/>
      <c r="J121" s="27"/>
      <c r="K121" s="28">
        <v>0.0</v>
      </c>
      <c r="L121" s="44" t="s">
        <v>272</v>
      </c>
      <c r="M121" s="30" t="s">
        <v>22</v>
      </c>
      <c r="N121" s="30"/>
      <c r="O121" s="30"/>
      <c r="P121" s="30"/>
      <c r="Q121" s="33" t="str">
        <f>HYPERLINK("https://nure.ua/staff/diana-dmitrivna-geleta","https://nure.ua/staff/diana-dmitrivna-geleta")</f>
        <v>https://nure.ua/staff/diana-dmitrivna-geleta</v>
      </c>
      <c r="R121" s="12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424</v>
      </c>
      <c r="C122" s="24"/>
      <c r="D122" s="42"/>
      <c r="E122" s="48"/>
      <c r="F122" s="48"/>
      <c r="G122" s="48"/>
      <c r="H122" s="27"/>
      <c r="I122" s="27"/>
      <c r="J122" s="27"/>
      <c r="K122" s="28"/>
      <c r="L122" s="39" t="s">
        <v>91</v>
      </c>
      <c r="M122" s="30"/>
      <c r="N122" s="30"/>
      <c r="O122" s="30"/>
      <c r="P122" s="30"/>
      <c r="Q122" s="30"/>
      <c r="R122" s="12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425</v>
      </c>
      <c r="C123" s="24" t="s">
        <v>426</v>
      </c>
      <c r="D123" s="42" t="s">
        <v>427</v>
      </c>
      <c r="E123" s="26">
        <v>1.0</v>
      </c>
      <c r="F123" s="26">
        <v>0.0</v>
      </c>
      <c r="G123" s="26">
        <v>0.0</v>
      </c>
      <c r="H123" s="27">
        <v>1.0</v>
      </c>
      <c r="I123" s="27">
        <v>0.0</v>
      </c>
      <c r="J123" s="27">
        <v>0.0</v>
      </c>
      <c r="K123" s="28">
        <v>17.0</v>
      </c>
      <c r="L123" s="44" t="s">
        <v>428</v>
      </c>
      <c r="M123" s="30"/>
      <c r="N123" s="33" t="str">
        <f>HYPERLINK("https://scholar.google.com.ua/citations?user=lDv-jcwAAAAJ","https://scholar.google.com.ua/citations?user=lDv-jcwAAAAJ")</f>
        <v>https://scholar.google.com.ua/citations?user=lDv-jcwAAAAJ</v>
      </c>
      <c r="O123" s="30">
        <v>26.0</v>
      </c>
      <c r="P123" s="30">
        <v>3.0</v>
      </c>
      <c r="Q123" s="33" t="str">
        <f>HYPERLINK("https://nure.ua/staff/nadiya-valentinivna-gibkina","https://nure.ua/staff/nadiya-valentinivna-gibkina")</f>
        <v>https://nure.ua/staff/nadiya-valentinivna-gibkina</v>
      </c>
      <c r="R123" s="12" t="s">
        <v>429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4">
        <v>1190.0</v>
      </c>
      <c r="B124" s="49" t="s">
        <v>430</v>
      </c>
      <c r="C124" s="35" t="s">
        <v>431</v>
      </c>
      <c r="D124" s="36" t="s">
        <v>432</v>
      </c>
      <c r="E124" s="26">
        <v>2.0</v>
      </c>
      <c r="F124" s="26">
        <v>0.0</v>
      </c>
      <c r="G124" s="26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79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77" t="s">
        <v>433</v>
      </c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22">
        <v>2141.0</v>
      </c>
      <c r="B125" s="23" t="s">
        <v>434</v>
      </c>
      <c r="C125" s="24" t="s">
        <v>435</v>
      </c>
      <c r="D125" s="42"/>
      <c r="E125" s="48"/>
      <c r="F125" s="48"/>
      <c r="G125" s="48"/>
      <c r="H125" s="27"/>
      <c r="I125" s="27"/>
      <c r="J125" s="27"/>
      <c r="K125" s="28">
        <v>1.0</v>
      </c>
      <c r="L125" s="39" t="s">
        <v>91</v>
      </c>
      <c r="M125" s="30" t="s">
        <v>22</v>
      </c>
      <c r="N125" s="33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30">
        <v>0.0</v>
      </c>
      <c r="P125" s="30">
        <v>0.0</v>
      </c>
      <c r="Q125" s="33" t="str">
        <f>HYPERLINK("https://nure.ua/staff/svitlana-volodimirivna-gluboka","https://nure.ua/staff/svitlana-volodimirivna-gluboka")</f>
        <v>https://nure.ua/staff/svitlana-volodimirivna-gluboka</v>
      </c>
      <c r="R125" s="12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436</v>
      </c>
      <c r="C126" s="24" t="s">
        <v>437</v>
      </c>
      <c r="D126" s="42" t="s">
        <v>438</v>
      </c>
      <c r="E126" s="26">
        <v>18.0</v>
      </c>
      <c r="F126" s="26">
        <v>17.0</v>
      </c>
      <c r="G126" s="26">
        <v>2.0</v>
      </c>
      <c r="H126" s="27">
        <v>2.0</v>
      </c>
      <c r="I126" s="27">
        <v>0.0</v>
      </c>
      <c r="J126" s="27">
        <v>0.0</v>
      </c>
      <c r="K126" s="28">
        <v>19.0</v>
      </c>
      <c r="L126" s="44" t="s">
        <v>108</v>
      </c>
      <c r="M126" s="30" t="s">
        <v>22</v>
      </c>
      <c r="N126" s="33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30">
        <v>76.0</v>
      </c>
      <c r="P126" s="30">
        <v>5.0</v>
      </c>
      <c r="Q126" s="33" t="str">
        <f>HYPERLINK("https://nure.ua/staff/liliya-oleksandrivna-aver-yanova","https://nure.ua/staff/liliya-oleksandrivna-aver-yanova")</f>
        <v>https://nure.ua/staff/liliya-oleksandrivna-aver-yanova</v>
      </c>
      <c r="R126" s="63" t="s">
        <v>439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4">
        <v>7971.0</v>
      </c>
      <c r="B127" s="49" t="s">
        <v>440</v>
      </c>
      <c r="C127" s="35" t="s">
        <v>441</v>
      </c>
      <c r="D127" s="36"/>
      <c r="E127" s="48"/>
      <c r="F127" s="48"/>
      <c r="G127" s="48"/>
      <c r="H127" s="37"/>
      <c r="I127" s="37"/>
      <c r="J127" s="37"/>
      <c r="K127" s="38">
        <v>0.0</v>
      </c>
      <c r="L127" s="40" t="s">
        <v>78</v>
      </c>
      <c r="M127" s="40" t="s">
        <v>79</v>
      </c>
      <c r="N127" s="40"/>
      <c r="O127" s="40"/>
      <c r="P127" s="40"/>
      <c r="Q127" s="40"/>
      <c r="R127" s="52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22">
        <v>7171.0</v>
      </c>
      <c r="B128" s="23" t="s">
        <v>442</v>
      </c>
      <c r="C128" s="24" t="s">
        <v>443</v>
      </c>
      <c r="D128" s="42" t="s">
        <v>444</v>
      </c>
      <c r="E128" s="26">
        <v>20.0</v>
      </c>
      <c r="F128" s="26">
        <v>69.0</v>
      </c>
      <c r="G128" s="26">
        <v>6.0</v>
      </c>
      <c r="H128" s="27">
        <v>4.0</v>
      </c>
      <c r="I128" s="27">
        <v>0.0</v>
      </c>
      <c r="J128" s="27">
        <v>0.0</v>
      </c>
      <c r="K128" s="28">
        <v>50.0</v>
      </c>
      <c r="L128" s="44" t="s">
        <v>102</v>
      </c>
      <c r="M128" s="30" t="s">
        <v>22</v>
      </c>
      <c r="N128" s="33" t="str">
        <f>HYPERLINK("https://scholar.google.com.ua/citations?user=7gcLF4QAAAAJ","https://scholar.google.com.ua/citations?user=7gcLF4QAAAAJ")</f>
        <v>https://scholar.google.com.ua/citations?user=7gcLF4QAAAAJ</v>
      </c>
      <c r="O128" s="30">
        <v>97.0</v>
      </c>
      <c r="P128" s="30">
        <v>5.0</v>
      </c>
      <c r="Q128" s="33" t="str">
        <f>HYPERLINK("https://nure.ua/staff/oleksandr-sergiyovich-gnatenko","https://nure.ua/staff/oleksandr-sergiyovich-gnatenko")</f>
        <v>https://nure.ua/staff/oleksandr-sergiyovich-gnatenko</v>
      </c>
      <c r="R128" s="12" t="s">
        <v>445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4">
        <v>5486.0</v>
      </c>
      <c r="B129" s="49" t="s">
        <v>446</v>
      </c>
      <c r="C129" s="35"/>
      <c r="D129" s="36"/>
      <c r="E129" s="48"/>
      <c r="F129" s="48"/>
      <c r="G129" s="48"/>
      <c r="H129" s="37"/>
      <c r="I129" s="37"/>
      <c r="J129" s="37"/>
      <c r="K129" s="38">
        <v>1.0</v>
      </c>
      <c r="L129" s="40"/>
      <c r="M129" s="40" t="s">
        <v>79</v>
      </c>
      <c r="N129" s="40"/>
      <c r="O129" s="40"/>
      <c r="P129" s="40"/>
      <c r="Q129" s="40"/>
      <c r="R129" s="52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22">
        <v>7867.0</v>
      </c>
      <c r="B130" s="23" t="s">
        <v>447</v>
      </c>
      <c r="C130" s="24"/>
      <c r="D130" s="42"/>
      <c r="E130" s="48">
        <v>0.0</v>
      </c>
      <c r="F130" s="48">
        <v>0.0</v>
      </c>
      <c r="G130" s="48">
        <v>0.0</v>
      </c>
      <c r="H130" s="27">
        <v>0.0</v>
      </c>
      <c r="I130" s="27">
        <v>0.0</v>
      </c>
      <c r="J130" s="27">
        <v>0.0</v>
      </c>
      <c r="K130" s="28">
        <v>0.0</v>
      </c>
      <c r="L130" s="44" t="s">
        <v>64</v>
      </c>
      <c r="M130" s="30" t="s">
        <v>22</v>
      </c>
      <c r="N130" s="30"/>
      <c r="O130" s="30"/>
      <c r="P130" s="30"/>
      <c r="Q130" s="30"/>
      <c r="R130" s="12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448</v>
      </c>
      <c r="C131" s="24"/>
      <c r="D131" s="42" t="s">
        <v>449</v>
      </c>
      <c r="E131" s="26">
        <v>1.0</v>
      </c>
      <c r="F131" s="26">
        <v>0.0</v>
      </c>
      <c r="G131" s="26">
        <v>0.0</v>
      </c>
      <c r="H131" s="27"/>
      <c r="I131" s="27"/>
      <c r="J131" s="27"/>
      <c r="K131" s="28">
        <v>2.0</v>
      </c>
      <c r="L131" s="29"/>
      <c r="M131" s="30" t="s">
        <v>22</v>
      </c>
      <c r="N131" s="30"/>
      <c r="O131" s="30"/>
      <c r="P131" s="30"/>
      <c r="Q131" s="33" t="str">
        <f>HYPERLINK("https://nure.ua/staff/jurij-mikolajovich-goloborodko","https://nure.ua/staff/jurij-mikolajovich-goloborodko")</f>
        <v>https://nure.ua/staff/jurij-mikolajovich-goloborodko</v>
      </c>
      <c r="R131" s="63" t="s">
        <v>450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451</v>
      </c>
      <c r="C132" s="24" t="s">
        <v>452</v>
      </c>
      <c r="D132" s="42" t="s">
        <v>453</v>
      </c>
      <c r="E132" s="26">
        <v>4.0</v>
      </c>
      <c r="F132" s="26">
        <v>12.0</v>
      </c>
      <c r="G132" s="26">
        <v>1.0</v>
      </c>
      <c r="H132" s="27">
        <v>2.0</v>
      </c>
      <c r="I132" s="27">
        <v>5.0</v>
      </c>
      <c r="J132" s="27">
        <v>1.0</v>
      </c>
      <c r="K132" s="28">
        <v>1.0</v>
      </c>
      <c r="L132" s="44" t="s">
        <v>409</v>
      </c>
      <c r="M132" s="30" t="s">
        <v>22</v>
      </c>
      <c r="N132" s="33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30">
        <v>36.0</v>
      </c>
      <c r="P132" s="30">
        <v>4.0</v>
      </c>
      <c r="Q132" s="33" t="str">
        <f>HYPERLINK("https://nure.ua/staff/lyudmila-vyacheslavivna-golovkina","https://nure.ua/staff/lyudmila-vyacheslavivna-golovkina")</f>
        <v>https://nure.ua/staff/lyudmila-vyacheslavivna-golovkina</v>
      </c>
      <c r="R132" s="63" t="s">
        <v>454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455</v>
      </c>
      <c r="C133" s="24" t="s">
        <v>456</v>
      </c>
      <c r="D133" s="42" t="s">
        <v>457</v>
      </c>
      <c r="E133" s="26">
        <v>12.0</v>
      </c>
      <c r="F133" s="26">
        <v>87.0</v>
      </c>
      <c r="G133" s="26">
        <v>4.0</v>
      </c>
      <c r="H133" s="27">
        <v>4.0</v>
      </c>
      <c r="I133" s="27">
        <v>15.0</v>
      </c>
      <c r="J133" s="27">
        <v>2.0</v>
      </c>
      <c r="K133" s="28">
        <v>11.0</v>
      </c>
      <c r="L133" s="44" t="s">
        <v>186</v>
      </c>
      <c r="M133" s="30" t="s">
        <v>22</v>
      </c>
      <c r="N133" s="33" t="str">
        <f>HYPERLINK("https://scholar.google.com/citations?user=KI5-v6cAAAAJ","https://scholar.google.com/citations?user=KI5-v6cAAAAJ")</f>
        <v>https://scholar.google.com/citations?user=KI5-v6cAAAAJ</v>
      </c>
      <c r="O133" s="30">
        <v>99.0</v>
      </c>
      <c r="P133" s="30">
        <v>6.0</v>
      </c>
      <c r="Q133" s="33" t="str">
        <f>HYPERLINK("https://nure.ua/staff/marija-valentinivna-golovjanko","https://nure.ua/staff/marija-valentinivna-golovjanko")</f>
        <v>https://nure.ua/staff/marija-valentinivna-golovjanko</v>
      </c>
      <c r="R133" s="63" t="s">
        <v>458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459</v>
      </c>
      <c r="C134" s="24" t="s">
        <v>460</v>
      </c>
      <c r="D134" s="42" t="s">
        <v>461</v>
      </c>
      <c r="E134" s="26">
        <v>2.0</v>
      </c>
      <c r="F134" s="26">
        <v>3.0</v>
      </c>
      <c r="G134" s="26">
        <v>1.0</v>
      </c>
      <c r="H134" s="27"/>
      <c r="I134" s="27"/>
      <c r="J134" s="27"/>
      <c r="K134" s="28">
        <v>3.0</v>
      </c>
      <c r="L134" s="29"/>
      <c r="M134" s="30" t="s">
        <v>22</v>
      </c>
      <c r="N134" s="33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30">
        <v>47.0</v>
      </c>
      <c r="P134" s="30">
        <v>5.0</v>
      </c>
      <c r="Q134" s="33" t="str">
        <f>HYPERLINK("https://nure.ua/staff/dmitro-yuriyovich-golubnichiy","https://nure.ua/staff/dmitro-yuriyovich-golubnichiy")</f>
        <v>https://nure.ua/staff/dmitro-yuriyovich-golubnichiy</v>
      </c>
      <c r="R134" s="63" t="s">
        <v>462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463</v>
      </c>
      <c r="C135" s="24" t="s">
        <v>464</v>
      </c>
      <c r="D135" s="43" t="s">
        <v>465</v>
      </c>
      <c r="E135" s="79">
        <v>4.0</v>
      </c>
      <c r="F135" s="26">
        <v>26.0</v>
      </c>
      <c r="G135" s="26">
        <v>3.0</v>
      </c>
      <c r="H135" s="27">
        <v>1.0</v>
      </c>
      <c r="I135" s="27">
        <v>0.0</v>
      </c>
      <c r="J135" s="27">
        <v>0.0</v>
      </c>
      <c r="K135" s="28">
        <v>7.0</v>
      </c>
      <c r="L135" s="44" t="s">
        <v>41</v>
      </c>
      <c r="M135" s="30" t="s">
        <v>22</v>
      </c>
      <c r="N135" s="33" t="str">
        <f>HYPERLINK("https://scholar.google.com.ua/citations?user=mQf7c-MAAAAJ","https://scholar.google.com.ua/citations?user=mQf7c-MAAAAJ")</f>
        <v>https://scholar.google.com.ua/citations?user=mQf7c-MAAAAJ</v>
      </c>
      <c r="O135" s="30">
        <v>41.0</v>
      </c>
      <c r="P135" s="30">
        <v>2.0</v>
      </c>
      <c r="Q135" s="33" t="str">
        <f>HYPERLINK("https://nure.ua/staff/vira-volodimirivna-golyan","https://nure.ua/staff/vira-volodimirivna-golyan")</f>
        <v>https://nure.ua/staff/vira-volodimirivna-golyan</v>
      </c>
      <c r="R135" s="63" t="s">
        <v>466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/>
      <c r="B136" s="80" t="s">
        <v>463</v>
      </c>
      <c r="C136" s="81"/>
      <c r="D136" s="82" t="s">
        <v>467</v>
      </c>
      <c r="E136" s="79"/>
      <c r="F136" s="26"/>
      <c r="G136" s="26"/>
      <c r="H136" s="27"/>
      <c r="I136" s="27"/>
      <c r="J136" s="27"/>
      <c r="K136" s="28"/>
      <c r="L136" s="44"/>
      <c r="M136" s="30"/>
      <c r="N136" s="83"/>
      <c r="O136" s="30"/>
      <c r="P136" s="30"/>
      <c r="Q136" s="83"/>
      <c r="R136" s="6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5705.0</v>
      </c>
      <c r="B137" s="23" t="s">
        <v>468</v>
      </c>
      <c r="C137" s="24" t="s">
        <v>469</v>
      </c>
      <c r="D137" s="42" t="s">
        <v>470</v>
      </c>
      <c r="E137" s="26">
        <v>7.0</v>
      </c>
      <c r="F137" s="26">
        <v>17.0</v>
      </c>
      <c r="G137" s="26">
        <v>2.0</v>
      </c>
      <c r="H137" s="27">
        <v>1.0</v>
      </c>
      <c r="I137" s="27">
        <v>0.0</v>
      </c>
      <c r="J137" s="27">
        <v>0.0</v>
      </c>
      <c r="K137" s="28">
        <v>2.0</v>
      </c>
      <c r="L137" s="44" t="s">
        <v>41</v>
      </c>
      <c r="M137" s="30" t="s">
        <v>22</v>
      </c>
      <c r="N137" s="33" t="str">
        <f>HYPERLINK("https://scholar.google.com.ua/citations?user=5_5CaYYAAAAJ","https://scholar.google.com.ua/citations?user=5_5CaYYAAAAJ")</f>
        <v>https://scholar.google.com.ua/citations?user=5_5CaYYAAAAJ</v>
      </c>
      <c r="O137" s="30">
        <v>48.0</v>
      </c>
      <c r="P137" s="30">
        <v>2.0</v>
      </c>
      <c r="Q137" s="33" t="str">
        <f>HYPERLINK("https://nure.ua/staff/nataliya-viktorivna-golyan","https://nure.ua/staff/nataliya-viktorivna-golyan")</f>
        <v>https://nure.ua/staff/nataliya-viktorivna-golyan</v>
      </c>
      <c r="R137" s="63" t="s">
        <v>471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556.0</v>
      </c>
      <c r="B138" s="23" t="s">
        <v>472</v>
      </c>
      <c r="C138" s="24" t="s">
        <v>473</v>
      </c>
      <c r="D138" s="42" t="s">
        <v>474</v>
      </c>
      <c r="E138" s="64">
        <v>8.0</v>
      </c>
      <c r="F138" s="26">
        <v>9.0</v>
      </c>
      <c r="G138" s="26">
        <v>2.0</v>
      </c>
      <c r="H138" s="27">
        <v>2.0</v>
      </c>
      <c r="I138" s="27">
        <v>0.0</v>
      </c>
      <c r="J138" s="27">
        <v>0.0</v>
      </c>
      <c r="K138" s="28">
        <v>34.0</v>
      </c>
      <c r="L138" s="29" t="s">
        <v>71</v>
      </c>
      <c r="M138" s="30" t="s">
        <v>22</v>
      </c>
      <c r="N138" s="33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8" s="30">
        <v>12.0</v>
      </c>
      <c r="P138" s="30">
        <v>2.0</v>
      </c>
      <c r="Q138" s="33" t="str">
        <f>HYPERLINK("https://nure.ua/staff/valeriy-oleksandrovich-gorbachov","https://nure.ua/staff/valeriy-oleksandrovich-gorbachov")</f>
        <v>https://nure.ua/staff/valeriy-oleksandrovich-gorbachov</v>
      </c>
      <c r="R138" s="12" t="s">
        <v>475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7548.0</v>
      </c>
      <c r="B139" s="23" t="s">
        <v>476</v>
      </c>
      <c r="C139" s="24" t="s">
        <v>477</v>
      </c>
      <c r="D139" s="42" t="s">
        <v>478</v>
      </c>
      <c r="E139" s="64">
        <v>4.0</v>
      </c>
      <c r="F139" s="26">
        <v>12.0</v>
      </c>
      <c r="G139" s="26">
        <v>3.0</v>
      </c>
      <c r="H139" s="27"/>
      <c r="I139" s="27"/>
      <c r="J139" s="27"/>
      <c r="K139" s="28">
        <v>8.0</v>
      </c>
      <c r="L139" s="44" t="s">
        <v>108</v>
      </c>
      <c r="M139" s="30" t="s">
        <v>22</v>
      </c>
      <c r="N139" s="33" t="str">
        <f>HYPERLINK("https://scholar.google.com/citations?hl=ru&amp;user=sIEEkXAAAAAJ","https://scholar.google.com/citations?hl=ru&amp;user=sIEEkXAAAAAJ")</f>
        <v>https://scholar.google.com/citations?hl=ru&amp;user=sIEEkXAAAAAJ</v>
      </c>
      <c r="O139" s="30">
        <v>0.0</v>
      </c>
      <c r="P139" s="30">
        <v>0.0</v>
      </c>
      <c r="Q139" s="30"/>
      <c r="R139" s="63" t="s">
        <v>479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755.0</v>
      </c>
      <c r="B140" s="23" t="s">
        <v>480</v>
      </c>
      <c r="C140" s="24" t="s">
        <v>481</v>
      </c>
      <c r="D140" s="43" t="s">
        <v>482</v>
      </c>
      <c r="E140" s="26">
        <v>36.0</v>
      </c>
      <c r="F140" s="26">
        <v>344.0</v>
      </c>
      <c r="G140" s="26">
        <v>10.0</v>
      </c>
      <c r="H140" s="27">
        <v>8.0</v>
      </c>
      <c r="I140" s="27">
        <v>25.0</v>
      </c>
      <c r="J140" s="27">
        <v>2.0</v>
      </c>
      <c r="K140" s="28">
        <v>79.0</v>
      </c>
      <c r="L140" s="29"/>
      <c r="M140" s="30" t="s">
        <v>22</v>
      </c>
      <c r="N140" s="30"/>
      <c r="O140" s="30"/>
      <c r="P140" s="30"/>
      <c r="Q140" s="33" t="str">
        <f>HYPERLINK("https://nure.ua/staff/ivan-dmitrovich-gorbenko","https://nure.ua/staff/ivan-dmitrovich-gorbenko")</f>
        <v>https://nure.ua/staff/ivan-dmitrovich-gorbenko</v>
      </c>
      <c r="R140" s="63" t="s">
        <v>483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983.0</v>
      </c>
      <c r="B141" s="23" t="s">
        <v>484</v>
      </c>
      <c r="C141" s="24" t="s">
        <v>485</v>
      </c>
      <c r="D141" s="42" t="s">
        <v>486</v>
      </c>
      <c r="E141" s="64">
        <v>71.0</v>
      </c>
      <c r="F141" s="26">
        <v>40.0</v>
      </c>
      <c r="G141" s="26">
        <v>3.0</v>
      </c>
      <c r="H141" s="27">
        <v>22.0</v>
      </c>
      <c r="I141" s="27">
        <v>3.0</v>
      </c>
      <c r="J141" s="27">
        <v>1.0</v>
      </c>
      <c r="K141" s="28">
        <v>55.0</v>
      </c>
      <c r="L141" s="44" t="s">
        <v>108</v>
      </c>
      <c r="M141" s="30" t="s">
        <v>22</v>
      </c>
      <c r="N141" s="33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1" s="30">
        <v>223.0</v>
      </c>
      <c r="P141" s="30">
        <v>7.0</v>
      </c>
      <c r="Q141" s="33" t="str">
        <f>HYPERLINK("https://nure.ua/staff/yuriy-omelyanovich-gordiyenko","https://nure.ua/staff/yuriy-omelyanovich-gordiyenko")</f>
        <v>https://nure.ua/staff/yuriy-omelyanovich-gordiyenko</v>
      </c>
      <c r="R141" s="63" t="s">
        <v>487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22">
        <v>2142.0</v>
      </c>
      <c r="B142" s="23" t="s">
        <v>488</v>
      </c>
      <c r="C142" s="24" t="s">
        <v>489</v>
      </c>
      <c r="D142" s="42" t="s">
        <v>490</v>
      </c>
      <c r="E142" s="64">
        <v>5.0</v>
      </c>
      <c r="F142" s="26">
        <v>3.0</v>
      </c>
      <c r="G142" s="26">
        <v>1.0</v>
      </c>
      <c r="H142" s="27">
        <v>1.0</v>
      </c>
      <c r="I142" s="27">
        <v>1.0</v>
      </c>
      <c r="J142" s="27">
        <v>1.0</v>
      </c>
      <c r="K142" s="28">
        <v>12.0</v>
      </c>
      <c r="L142" s="44" t="s">
        <v>75</v>
      </c>
      <c r="M142" s="30" t="s">
        <v>22</v>
      </c>
      <c r="N142" s="33" t="str">
        <f>HYPERLINK("https://scholar.google.com/citations?user=oMDkKxUAAAAJ","https://scholar.google.com/citations?user=oMDkKxUAAAAJ")</f>
        <v>https://scholar.google.com/citations?user=oMDkKxUAAAAJ</v>
      </c>
      <c r="O142" s="30">
        <v>28.0</v>
      </c>
      <c r="P142" s="30">
        <v>3.0</v>
      </c>
      <c r="Q142" s="33" t="str">
        <f>HYPERLINK("https://nure.ua/staff/denis-yuriyovich-gorelov","https://nure.ua/staff/denis-yuriyovich-gorelov")</f>
        <v>https://nure.ua/staff/denis-yuriyovich-gorelov</v>
      </c>
      <c r="R142" s="63" t="s">
        <v>491</v>
      </c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34">
        <v>7476.0</v>
      </c>
      <c r="B143" s="49" t="s">
        <v>492</v>
      </c>
      <c r="C143" s="35" t="s">
        <v>493</v>
      </c>
      <c r="D143" s="36" t="s">
        <v>494</v>
      </c>
      <c r="E143" s="26">
        <v>1.0</v>
      </c>
      <c r="F143" s="26">
        <v>1.0</v>
      </c>
      <c r="G143" s="26">
        <v>1.0</v>
      </c>
      <c r="H143" s="37"/>
      <c r="I143" s="37"/>
      <c r="J143" s="37"/>
      <c r="K143" s="38">
        <v>2.0</v>
      </c>
      <c r="L143" s="40"/>
      <c r="M143" s="40" t="s">
        <v>79</v>
      </c>
      <c r="N143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3" s="40">
        <v>3.0</v>
      </c>
      <c r="P143" s="40">
        <v>1.0</v>
      </c>
      <c r="Q143" s="40"/>
      <c r="R143" s="77" t="s">
        <v>495</v>
      </c>
      <c r="S143" s="53"/>
      <c r="T143" s="53"/>
      <c r="U143" s="53"/>
      <c r="V143" s="53"/>
      <c r="W143" s="53"/>
      <c r="X143" s="53"/>
      <c r="Y143" s="53"/>
      <c r="Z143" s="53"/>
    </row>
    <row r="144" ht="25.5" customHeight="1">
      <c r="A144" s="22">
        <v>359.0</v>
      </c>
      <c r="B144" s="23" t="s">
        <v>496</v>
      </c>
      <c r="C144" s="24" t="s">
        <v>497</v>
      </c>
      <c r="D144" s="42" t="s">
        <v>498</v>
      </c>
      <c r="E144" s="26">
        <v>43.0</v>
      </c>
      <c r="F144" s="26">
        <v>124.0</v>
      </c>
      <c r="G144" s="26">
        <v>7.0</v>
      </c>
      <c r="H144" s="27">
        <v>7.0</v>
      </c>
      <c r="I144" s="27">
        <v>8.0</v>
      </c>
      <c r="J144" s="27">
        <v>2.0</v>
      </c>
      <c r="K144" s="28">
        <v>38.0</v>
      </c>
      <c r="L144" s="29" t="s">
        <v>167</v>
      </c>
      <c r="M144" s="30" t="s">
        <v>22</v>
      </c>
      <c r="N144" s="33" t="str">
        <f>HYPERLINK("https://scholar.google.com/citations?user=P8gKHiUAAAAJ","https://scholar.google.com/citations?user=P8gKHiUAAAAJ")</f>
        <v>https://scholar.google.com/citations?user=P8gKHiUAAAAJ</v>
      </c>
      <c r="O144" s="30">
        <v>444.0</v>
      </c>
      <c r="P144" s="30">
        <v>10.0</v>
      </c>
      <c r="Q144" s="33" t="str">
        <f>HYPERLINK("https://nure.ua/staff/volodimir-oleksiyovich-gorohovatskiy","https://nure.ua/staff/volodimir-oleksiyovich-gorohovatskiy")</f>
        <v>https://nure.ua/staff/volodimir-oleksiyovich-gorohovatskiy</v>
      </c>
      <c r="R144" s="63" t="s">
        <v>499</v>
      </c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1209.0</v>
      </c>
      <c r="B145" s="23" t="s">
        <v>500</v>
      </c>
      <c r="C145" s="24"/>
      <c r="D145" s="42"/>
      <c r="E145" s="50"/>
      <c r="F145" s="50"/>
      <c r="G145" s="50"/>
      <c r="H145" s="47"/>
      <c r="I145" s="47"/>
      <c r="J145" s="47"/>
      <c r="K145" s="28">
        <v>1.0</v>
      </c>
      <c r="L145" s="44" t="s">
        <v>272</v>
      </c>
      <c r="M145" s="30" t="s">
        <v>22</v>
      </c>
      <c r="N145" s="30"/>
      <c r="O145" s="30"/>
      <c r="P145" s="30"/>
      <c r="Q145" s="33" t="str">
        <f>HYPERLINK("https://nure.ua/staff/tamara-oleksandrivna-gorshankova","https://nure.ua/staff/tamara-oleksandrivna-gorshankova")</f>
        <v>https://nure.ua/staff/tamara-oleksandrivna-gorshankova</v>
      </c>
      <c r="R145" s="12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1230.0</v>
      </c>
      <c r="B146" s="23" t="s">
        <v>501</v>
      </c>
      <c r="C146" s="24" t="s">
        <v>502</v>
      </c>
      <c r="D146" s="42"/>
      <c r="E146" s="50"/>
      <c r="F146" s="50"/>
      <c r="G146" s="50"/>
      <c r="H146" s="47"/>
      <c r="I146" s="47"/>
      <c r="J146" s="47"/>
      <c r="K146" s="28">
        <v>7.0</v>
      </c>
      <c r="L146" s="44" t="s">
        <v>120</v>
      </c>
      <c r="M146" s="30" t="s">
        <v>22</v>
      </c>
      <c r="N146" s="33" t="str">
        <f>HYPERLINK("https://scholar.google.com/citations?user=aGSBZkEAAAAJ","https://scholar.google.com/citations?user=aGSBZkEAAAAJ")</f>
        <v>https://scholar.google.com/citations?user=aGSBZkEAAAAJ</v>
      </c>
      <c r="O146" s="30">
        <v>6.0</v>
      </c>
      <c r="P146" s="30">
        <v>2.0</v>
      </c>
      <c r="Q146" s="33" t="str">
        <f>HYPERLINK("https://nure.ua/staff/goryachkovska-ganna-mikolayivna","https://nure.ua/staff/goryachkovska-ganna-mikolayivna")</f>
        <v>https://nure.ua/staff/goryachkovska-ganna-mikolayivna</v>
      </c>
      <c r="R146" s="12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93.0</v>
      </c>
      <c r="B147" s="23" t="s">
        <v>503</v>
      </c>
      <c r="C147" s="24" t="s">
        <v>504</v>
      </c>
      <c r="D147" s="42" t="s">
        <v>505</v>
      </c>
      <c r="E147" s="26">
        <v>33.0</v>
      </c>
      <c r="F147" s="26">
        <v>126.0</v>
      </c>
      <c r="G147" s="26">
        <v>7.0</v>
      </c>
      <c r="H147" s="27">
        <v>7.0</v>
      </c>
      <c r="I147" s="27">
        <v>11.0</v>
      </c>
      <c r="J147" s="27">
        <v>2.0</v>
      </c>
      <c r="K147" s="28">
        <v>41.0</v>
      </c>
      <c r="L147" s="44" t="s">
        <v>137</v>
      </c>
      <c r="M147" s="30" t="s">
        <v>22</v>
      </c>
      <c r="N147" s="33" t="str">
        <f>HYPERLINK("https://scholar.google.com.ua/citations?user=LMYByP8AAAAJ","https://scholar.google.com.ua/citations?user=LMYByP8AAAAJ")</f>
        <v>https://scholar.google.com.ua/citations?user=LMYByP8AAAAJ</v>
      </c>
      <c r="O147" s="30">
        <v>549.0</v>
      </c>
      <c r="P147" s="30">
        <v>10.0</v>
      </c>
      <c r="Q147" s="33" t="str">
        <f>HYPERLINK("https://nure.ua/staff/igor-valeriyovich-grebennik","https://nure.ua/staff/igor-valeriyovich-grebennik")</f>
        <v>https://nure.ua/staff/igor-valeriyovich-grebennik</v>
      </c>
      <c r="R147" s="63" t="s">
        <v>506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44.0</v>
      </c>
      <c r="B148" s="23" t="s">
        <v>507</v>
      </c>
      <c r="C148" s="24" t="s">
        <v>508</v>
      </c>
      <c r="D148" s="42" t="s">
        <v>509</v>
      </c>
      <c r="E148" s="26">
        <v>3.0</v>
      </c>
      <c r="F148" s="26">
        <v>11.0</v>
      </c>
      <c r="G148" s="26">
        <v>1.0</v>
      </c>
      <c r="H148" s="27"/>
      <c r="I148" s="27"/>
      <c r="J148" s="27"/>
      <c r="K148" s="28">
        <v>0.0</v>
      </c>
      <c r="L148" s="44" t="s">
        <v>186</v>
      </c>
      <c r="M148" s="30" t="s">
        <v>22</v>
      </c>
      <c r="N148" s="33" t="str">
        <f>HYPERLINK("https://scholar.google.com/citations?user=66A2ouQAAAAJ","https://scholar.google.com/citations?user=66A2ouQAAAAJ")</f>
        <v>https://scholar.google.com/citations?user=66A2ouQAAAAJ</v>
      </c>
      <c r="O148" s="30">
        <v>11.0</v>
      </c>
      <c r="P148" s="30">
        <v>2.0</v>
      </c>
      <c r="Q148" s="33" t="str">
        <f>HYPERLINK("https://nure.ua/staff/v-yacheslav-oleksandrovich-grebenyuk","https://nure.ua/staff/v-yacheslav-oleksandrovich-grebenyuk")</f>
        <v>https://nure.ua/staff/v-yacheslav-oleksandrovich-grebenyuk</v>
      </c>
      <c r="R148" s="63" t="s">
        <v>510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2348.0</v>
      </c>
      <c r="B149" s="23" t="s">
        <v>511</v>
      </c>
      <c r="C149" s="24" t="s">
        <v>512</v>
      </c>
      <c r="D149" s="42" t="s">
        <v>513</v>
      </c>
      <c r="E149" s="26">
        <v>30.0</v>
      </c>
      <c r="F149" s="26">
        <v>59.0</v>
      </c>
      <c r="G149" s="26">
        <v>5.0</v>
      </c>
      <c r="H149" s="27">
        <v>11.0</v>
      </c>
      <c r="I149" s="27">
        <v>0.0</v>
      </c>
      <c r="J149" s="27">
        <v>0.0</v>
      </c>
      <c r="K149" s="28">
        <v>7.0</v>
      </c>
      <c r="L149" s="44" t="s">
        <v>75</v>
      </c>
      <c r="M149" s="30" t="s">
        <v>22</v>
      </c>
      <c r="N149" s="33" t="str">
        <f>HYPERLINK("https://scholar.google.com/citations?user=26ykbKAAAAAJ","https://scholar.google.com/citations?user=26ykbKAAAAAJ")</f>
        <v>https://scholar.google.com/citations?user=26ykbKAAAAAJ</v>
      </c>
      <c r="O149" s="30">
        <v>100.0</v>
      </c>
      <c r="P149" s="30">
        <v>6.0</v>
      </c>
      <c r="Q149" s="33" t="str">
        <f>HYPERLINK("https://nure.ua/staff/dmitro-vyacheslavovich-gretskih","https://nure.ua/staff/dmitro-vyacheslavovich-gretskih")</f>
        <v>https://nure.ua/staff/dmitro-vyacheslavovich-gretskih</v>
      </c>
      <c r="R149" s="12" t="s">
        <v>514</v>
      </c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342.0</v>
      </c>
      <c r="B150" s="23" t="s">
        <v>515</v>
      </c>
      <c r="C150" s="24" t="s">
        <v>516</v>
      </c>
      <c r="D150" s="42"/>
      <c r="E150" s="50"/>
      <c r="F150" s="50"/>
      <c r="G150" s="50"/>
      <c r="H150" s="47"/>
      <c r="I150" s="47"/>
      <c r="J150" s="47"/>
      <c r="K150" s="28">
        <v>16.0</v>
      </c>
      <c r="L150" s="44" t="s">
        <v>171</v>
      </c>
      <c r="M150" s="30" t="s">
        <v>22</v>
      </c>
      <c r="N150" s="30"/>
      <c r="O150" s="30"/>
      <c r="P150" s="30"/>
      <c r="Q150" s="33" t="str">
        <f>HYPERLINK("https://nure.ua/staff/oleksandr-viktorovich-grigor-yev","https://nure.ua/staff/oleksandr-viktorovich-grigor-yev")</f>
        <v>https://nure.ua/staff/oleksandr-viktorovich-grigor-yev</v>
      </c>
      <c r="R150" s="12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1834.0</v>
      </c>
      <c r="B151" s="23" t="s">
        <v>517</v>
      </c>
      <c r="C151" s="24" t="s">
        <v>518</v>
      </c>
      <c r="D151" s="42" t="s">
        <v>519</v>
      </c>
      <c r="E151" s="26">
        <v>3.0</v>
      </c>
      <c r="F151" s="26">
        <v>17.0</v>
      </c>
      <c r="G151" s="26">
        <v>2.0</v>
      </c>
      <c r="H151" s="27"/>
      <c r="I151" s="27"/>
      <c r="J151" s="27"/>
      <c r="K151" s="28">
        <v>6.0</v>
      </c>
      <c r="L151" s="44"/>
      <c r="M151" s="30" t="s">
        <v>22</v>
      </c>
      <c r="N151" s="33" t="str">
        <f>HYPERLINK("https://scholar.google.com/citations?user=SjLLKMwAAAAJ","https://scholar.google.com/citations?user=SjLLKMwAAAAJ")</f>
        <v>https://scholar.google.com/citations?user=SjLLKMwAAAAJ</v>
      </c>
      <c r="O151" s="30">
        <v>0.0</v>
      </c>
      <c r="P151" s="30">
        <v>0.0</v>
      </c>
      <c r="Q151" s="33" t="str">
        <f>HYPERLINK("https://nure.ua/staff/olga-volodimirivna-grigor-yeva","https://nure.ua/staff/olga-volodimirivna-grigor-yeva")</f>
        <v>https://nure.ua/staff/olga-volodimirivna-grigor-yeva</v>
      </c>
      <c r="R151" s="63" t="s">
        <v>520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1606.0</v>
      </c>
      <c r="B152" s="23" t="s">
        <v>521</v>
      </c>
      <c r="C152" s="24"/>
      <c r="D152" s="42" t="s">
        <v>522</v>
      </c>
      <c r="E152" s="26">
        <v>2.0</v>
      </c>
      <c r="F152" s="26">
        <v>9.0</v>
      </c>
      <c r="G152" s="26">
        <v>1.0</v>
      </c>
      <c r="H152" s="27">
        <v>1.0</v>
      </c>
      <c r="I152" s="27">
        <v>3.0</v>
      </c>
      <c r="J152" s="27">
        <v>1.0</v>
      </c>
      <c r="K152" s="28">
        <v>3.0</v>
      </c>
      <c r="L152" s="44" t="s">
        <v>186</v>
      </c>
      <c r="M152" s="30" t="s">
        <v>22</v>
      </c>
      <c r="N152" s="33" t="str">
        <f>HYPERLINK("https://scholar.google.com/citations?user=lXQ1Wl8AAAAJ","https://scholar.google.com/citations?user=lXQ1Wl8AAAAJ")</f>
        <v>https://scholar.google.com/citations?user=lXQ1Wl8AAAAJ</v>
      </c>
      <c r="O152" s="30">
        <v>60.0</v>
      </c>
      <c r="P152" s="30">
        <v>4.0</v>
      </c>
      <c r="Q152" s="33" t="str">
        <f>HYPERLINK("https://nure.ua/staff/olena-yevgenivna-grinova","https://nure.ua/staff/olena-yevgenivna-grinova")</f>
        <v>https://nure.ua/staff/olena-yevgenivna-grinova</v>
      </c>
      <c r="R152" s="63" t="s">
        <v>523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22">
        <v>210.0</v>
      </c>
      <c r="B153" s="23" t="s">
        <v>524</v>
      </c>
      <c r="C153" s="24" t="s">
        <v>525</v>
      </c>
      <c r="D153" s="42" t="s">
        <v>526</v>
      </c>
      <c r="E153" s="64">
        <v>48.0</v>
      </c>
      <c r="F153" s="26">
        <v>93.0</v>
      </c>
      <c r="G153" s="26">
        <v>4.0</v>
      </c>
      <c r="H153" s="27">
        <v>20.0</v>
      </c>
      <c r="I153" s="27">
        <v>7.0</v>
      </c>
      <c r="J153" s="27">
        <v>1.0</v>
      </c>
      <c r="K153" s="28">
        <v>63.0</v>
      </c>
      <c r="L153" s="44" t="s">
        <v>108</v>
      </c>
      <c r="M153" s="30" t="s">
        <v>22</v>
      </c>
      <c r="N153" s="33" t="str">
        <f>HYPERLINK("https://scholar.google.com/citations?user=0Sopa6MAAAAJ","https://scholar.google.com/citations?user=0Sopa6MAAAAJ")</f>
        <v>https://scholar.google.com/citations?user=0Sopa6MAAAAJ</v>
      </c>
      <c r="O153" s="30">
        <v>215.0</v>
      </c>
      <c r="P153" s="30">
        <v>8.0</v>
      </c>
      <c r="Q153" s="33" t="str">
        <f>HYPERLINK("https://nure.ua/staff/oleksandr-valentinovich-gritsunov","https://nure.ua/staff/oleksandr-valentinovich-gritsunov")</f>
        <v>https://nure.ua/staff/oleksandr-valentinovich-gritsunov</v>
      </c>
      <c r="R153" s="63" t="s">
        <v>527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34"/>
      <c r="B154" s="23" t="s">
        <v>528</v>
      </c>
      <c r="C154" s="84" t="s">
        <v>529</v>
      </c>
      <c r="D154" s="85" t="s">
        <v>530</v>
      </c>
      <c r="E154" s="26">
        <v>22.0</v>
      </c>
      <c r="F154" s="26">
        <v>53.0</v>
      </c>
      <c r="G154" s="26">
        <v>6.0</v>
      </c>
      <c r="H154" s="37">
        <v>4.0</v>
      </c>
      <c r="I154" s="37">
        <v>4.0</v>
      </c>
      <c r="J154" s="37">
        <v>1.0</v>
      </c>
      <c r="K154" s="38"/>
      <c r="L154" s="44" t="s">
        <v>60</v>
      </c>
      <c r="M154" s="40" t="s">
        <v>22</v>
      </c>
      <c r="N154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4" s="40">
        <v>107.0</v>
      </c>
      <c r="P154" s="40">
        <v>4.0</v>
      </c>
      <c r="Q154" s="41" t="str">
        <f>HYPERLINK("https://nure.ua/staff/gricjuk-volodimir-jurijovich","https://nure.ua/staff/gricjuk-volodimir-jurijovich")</f>
        <v>https://nure.ua/staff/gricjuk-volodimir-jurijovich</v>
      </c>
      <c r="R154" s="63" t="s">
        <v>531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278.0</v>
      </c>
      <c r="B155" s="23" t="s">
        <v>532</v>
      </c>
      <c r="C155" s="24" t="s">
        <v>533</v>
      </c>
      <c r="D155" s="42" t="s">
        <v>534</v>
      </c>
      <c r="E155" s="26">
        <v>7.0</v>
      </c>
      <c r="F155" s="26">
        <v>68.0</v>
      </c>
      <c r="G155" s="26">
        <v>3.0</v>
      </c>
      <c r="H155" s="27">
        <v>2.0</v>
      </c>
      <c r="I155" s="27">
        <v>7.0</v>
      </c>
      <c r="J155" s="27">
        <v>1.0</v>
      </c>
      <c r="K155" s="28">
        <v>5.0</v>
      </c>
      <c r="L155" s="29" t="s">
        <v>329</v>
      </c>
      <c r="M155" s="30" t="s">
        <v>22</v>
      </c>
      <c r="N155" s="33" t="str">
        <f>HYPERLINK("https://scholar.google.com/citations?user=z0fd5hwAAAAJ&amp;hl=ru","https://scholar.google.com/citations?user=z0fd5hwAAAAJ&amp;hl=ru")</f>
        <v>https://scholar.google.com/citations?user=z0fd5hwAAAAJ&amp;hl=ru</v>
      </c>
      <c r="O155" s="30">
        <v>68.0</v>
      </c>
      <c r="P155" s="30">
        <v>4.0</v>
      </c>
      <c r="Q155" s="33" t="str">
        <f>HYPERLINK("https://nure.ua/staff/svitlana-valeriyivna-grishko","https://nure.ua/staff/svitlana-valeriyivna-grishko")</f>
        <v>https://nure.ua/staff/svitlana-valeriyivna-grishko</v>
      </c>
      <c r="R155" s="63" t="s">
        <v>535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2934.0</v>
      </c>
      <c r="B156" s="23" t="s">
        <v>536</v>
      </c>
      <c r="C156" s="24" t="s">
        <v>537</v>
      </c>
      <c r="D156" s="42" t="s">
        <v>538</v>
      </c>
      <c r="E156" s="26">
        <v>7.0</v>
      </c>
      <c r="F156" s="26">
        <v>0.0</v>
      </c>
      <c r="G156" s="26">
        <v>0.0</v>
      </c>
      <c r="H156" s="27">
        <v>1.0</v>
      </c>
      <c r="I156" s="27">
        <v>0.0</v>
      </c>
      <c r="J156" s="27">
        <v>0.0</v>
      </c>
      <c r="K156" s="28">
        <v>40.0</v>
      </c>
      <c r="L156" s="39" t="s">
        <v>539</v>
      </c>
      <c r="M156" s="30" t="s">
        <v>22</v>
      </c>
      <c r="N156" s="33" t="str">
        <f>HYPERLINK("https://scholar.google.com/citations?user=rHScmpoAAAAJ","https://scholar.google.com/citations?user=rHScmpoAAAAJ")</f>
        <v>https://scholar.google.com/citations?user=rHScmpoAAAAJ</v>
      </c>
      <c r="O156" s="30">
        <v>31.0</v>
      </c>
      <c r="P156" s="30">
        <v>4.0</v>
      </c>
      <c r="Q156" s="33" t="str">
        <f>HYPERLINK("https://nure.ua/staff/tamara-borisivna-grishhenko","https://nure.ua/staff/tamara-borisivna-grishhenko")</f>
        <v>https://nure.ua/staff/tamara-borisivna-grishhenko</v>
      </c>
      <c r="R156" s="63" t="s">
        <v>540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1819.0</v>
      </c>
      <c r="B157" s="23" t="s">
        <v>541</v>
      </c>
      <c r="C157" s="24"/>
      <c r="D157" s="42" t="s">
        <v>542</v>
      </c>
      <c r="E157" s="26">
        <v>6.0</v>
      </c>
      <c r="F157" s="26">
        <v>8.0</v>
      </c>
      <c r="G157" s="26">
        <v>2.0</v>
      </c>
      <c r="H157" s="47"/>
      <c r="I157" s="47"/>
      <c r="J157" s="47"/>
      <c r="K157" s="28">
        <v>11.0</v>
      </c>
      <c r="L157" s="29" t="s">
        <v>356</v>
      </c>
      <c r="M157" s="30" t="s">
        <v>22</v>
      </c>
      <c r="N157" s="33" t="str">
        <f>HYPERLINK("https://scholar.google.com/citations?hl=ru&amp;user=ttknSJ4AAAAJ","https://scholar.google.com/citations?hl=ru&amp;user=ttknSJ4AAAAJ")</f>
        <v>https://scholar.google.com/citations?hl=ru&amp;user=ttknSJ4AAAAJ</v>
      </c>
      <c r="O157" s="30">
        <v>40.0</v>
      </c>
      <c r="P157" s="30">
        <v>2.0</v>
      </c>
      <c r="Q157" s="33" t="str">
        <f>HYPERLINK("https://nure.ua/staff/tetjana-oleksiivna-grinenko","https://nure.ua/staff/tetjana-oleksiivna-grinenko")</f>
        <v>https://nure.ua/staff/tetjana-oleksiivna-grinenko</v>
      </c>
      <c r="R157" s="63" t="s">
        <v>543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7754.0</v>
      </c>
      <c r="B158" s="23" t="s">
        <v>544</v>
      </c>
      <c r="C158" s="24"/>
      <c r="D158" s="42" t="s">
        <v>545</v>
      </c>
      <c r="E158" s="57">
        <v>2.0</v>
      </c>
      <c r="F158" s="57">
        <v>3.0</v>
      </c>
      <c r="G158" s="57">
        <v>1.0</v>
      </c>
      <c r="H158" s="47">
        <v>2.0</v>
      </c>
      <c r="I158" s="47">
        <v>0.0</v>
      </c>
      <c r="J158" s="47">
        <v>0.0</v>
      </c>
      <c r="K158" s="28">
        <v>14.0</v>
      </c>
      <c r="L158" s="44" t="s">
        <v>272</v>
      </c>
      <c r="M158" s="30" t="s">
        <v>22</v>
      </c>
      <c r="N158" s="33" t="str">
        <f>HYPERLINK("https://scholar.google.com/citations?user=fismzKIAAAAJ","https://scholar.google.com/citations?user=fismzKIAAAAJ")</f>
        <v>https://scholar.google.com/citations?user=fismzKIAAAAJ</v>
      </c>
      <c r="O158" s="30">
        <v>47.0</v>
      </c>
      <c r="P158" s="30">
        <v>4.0</v>
      </c>
      <c r="Q158" s="33" t="str">
        <f>HYPERLINK("https://nure.ua/staff/ganna-pavlivna-grohova","https://nure.ua/staff/ganna-pavlivna-grohova")</f>
        <v>https://nure.ua/staff/ganna-pavlivna-grohova</v>
      </c>
      <c r="R158" s="63" t="s">
        <v>546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6664.0</v>
      </c>
      <c r="B159" s="23" t="s">
        <v>547</v>
      </c>
      <c r="C159" s="24" t="s">
        <v>548</v>
      </c>
      <c r="D159" s="42" t="s">
        <v>549</v>
      </c>
      <c r="E159" s="26">
        <v>4.0</v>
      </c>
      <c r="F159" s="26">
        <v>18.0</v>
      </c>
      <c r="G159" s="26">
        <v>2.0</v>
      </c>
      <c r="H159" s="27">
        <v>1.0</v>
      </c>
      <c r="I159" s="27">
        <v>0.0</v>
      </c>
      <c r="J159" s="27">
        <v>0.0</v>
      </c>
      <c r="K159" s="28">
        <v>0.0</v>
      </c>
      <c r="L159" s="44" t="s">
        <v>41</v>
      </c>
      <c r="M159" s="30" t="s">
        <v>22</v>
      </c>
      <c r="N159" s="33" t="str">
        <f>HYPERLINK("https://scholar.google.com/citations?user=RJ7GhtwAAAAJ","https://scholar.google.com/citations?user=RJ7GhtwAAAAJ")</f>
        <v>https://scholar.google.com/citations?user=RJ7GhtwAAAAJ</v>
      </c>
      <c r="O159" s="30">
        <v>12.0</v>
      </c>
      <c r="P159" s="30">
        <v>2.0</v>
      </c>
      <c r="Q159" s="33" t="str">
        <f>HYPERLINK("https://nure.ua/staff/irina-volodimirivna-gruzdo","https://nure.ua/staff/irina-volodimirivna-gruzdo")</f>
        <v>https://nure.ua/staff/irina-volodimirivna-gruzdo</v>
      </c>
      <c r="R159" s="63" t="s">
        <v>550</v>
      </c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847.0</v>
      </c>
      <c r="B160" s="23" t="s">
        <v>551</v>
      </c>
      <c r="C160" s="24" t="s">
        <v>552</v>
      </c>
      <c r="D160" s="42"/>
      <c r="E160" s="50"/>
      <c r="F160" s="50"/>
      <c r="G160" s="50"/>
      <c r="H160" s="47"/>
      <c r="I160" s="47"/>
      <c r="J160" s="47"/>
      <c r="K160" s="28">
        <v>11.0</v>
      </c>
      <c r="L160" s="39"/>
      <c r="M160" s="30" t="s">
        <v>22</v>
      </c>
      <c r="N160" s="33" t="str">
        <f>HYPERLINK("https://scholar.google.com/citations?user=ZW5OljMAAAAJ","https://scholar.google.com/citations?user=ZW5OljMAAAAJ")</f>
        <v>https://scholar.google.com/citations?user=ZW5OljMAAAAJ</v>
      </c>
      <c r="O160" s="30">
        <v>0.0</v>
      </c>
      <c r="P160" s="30">
        <v>0.0</v>
      </c>
      <c r="Q160" s="33" t="str">
        <f>HYPERLINK("https://nure.ua/staff/mikola-ivanovich-guba","https://nure.ua/staff/mikola-ivanovich-guba")</f>
        <v>https://nure.ua/staff/mikola-ivanovich-guba</v>
      </c>
      <c r="R160" s="12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>
        <v>4825.0</v>
      </c>
      <c r="B161" s="23" t="s">
        <v>553</v>
      </c>
      <c r="C161" s="24" t="s">
        <v>554</v>
      </c>
      <c r="D161" s="42" t="s">
        <v>555</v>
      </c>
      <c r="E161" s="26">
        <v>8.0</v>
      </c>
      <c r="F161" s="26">
        <v>16.0</v>
      </c>
      <c r="G161" s="26">
        <v>3.0</v>
      </c>
      <c r="H161" s="47"/>
      <c r="I161" s="47"/>
      <c r="J161" s="47"/>
      <c r="K161" s="28">
        <v>11.0</v>
      </c>
      <c r="L161" s="44" t="s">
        <v>137</v>
      </c>
      <c r="M161" s="30" t="s">
        <v>22</v>
      </c>
      <c r="N161" s="33" t="str">
        <f>HYPERLINK("https://scholar.google.com/citations?user=Ktxq8bwAAAAJ","https://scholar.google.com/citations?user=Ktxq8bwAAAAJ")</f>
        <v>https://scholar.google.com/citations?user=Ktxq8bwAAAAJ</v>
      </c>
      <c r="O161" s="30">
        <v>41.0</v>
      </c>
      <c r="P161" s="30">
        <v>4.0</v>
      </c>
      <c r="Q161" s="33" t="str">
        <f>HYPERLINK("https://nure.ua/staff/yevgen-vitaliyovich-gubarenko","https://nure.ua/staff/yevgen-vitaliyovich-gubarenko")</f>
        <v>https://nure.ua/staff/yevgen-vitaliyovich-gubarenko</v>
      </c>
      <c r="R161" s="63" t="s">
        <v>556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/>
      <c r="B162" s="23" t="s">
        <v>557</v>
      </c>
      <c r="C162" s="24"/>
      <c r="D162" s="42" t="s">
        <v>558</v>
      </c>
      <c r="E162" s="57">
        <v>7.0</v>
      </c>
      <c r="F162" s="57">
        <v>11.0</v>
      </c>
      <c r="G162" s="57">
        <v>2.0</v>
      </c>
      <c r="H162" s="47">
        <v>0.0</v>
      </c>
      <c r="I162" s="47">
        <v>0.0</v>
      </c>
      <c r="J162" s="47">
        <v>0.0</v>
      </c>
      <c r="K162" s="28"/>
      <c r="L162" s="44" t="s">
        <v>137</v>
      </c>
      <c r="M162" s="30" t="s">
        <v>22</v>
      </c>
      <c r="N162" s="33" t="str">
        <f>HYPERLINK("https://scholar.google.com/citations?hl=ru&amp;user=YM8SrX0AAAAJ","https://scholar.google.com/citations?hl=ru&amp;user=YM8SrX0AAAAJ")</f>
        <v>https://scholar.google.com/citations?hl=ru&amp;user=YM8SrX0AAAAJ</v>
      </c>
      <c r="O162" s="30">
        <v>2.0</v>
      </c>
      <c r="P162" s="30">
        <v>1.0</v>
      </c>
      <c r="Q162" s="30"/>
      <c r="R162" s="63" t="s">
        <v>559</v>
      </c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7667.0</v>
      </c>
      <c r="B163" s="23" t="s">
        <v>560</v>
      </c>
      <c r="C163" s="24"/>
      <c r="D163" s="42"/>
      <c r="E163" s="50"/>
      <c r="F163" s="50"/>
      <c r="G163" s="50"/>
      <c r="H163" s="47"/>
      <c r="I163" s="47"/>
      <c r="J163" s="47"/>
      <c r="K163" s="28">
        <v>0.0</v>
      </c>
      <c r="L163" s="39" t="s">
        <v>91</v>
      </c>
      <c r="M163" s="30" t="s">
        <v>22</v>
      </c>
      <c r="N163" s="33" t="str">
        <f>HYPERLINK("https://scholar.google.com/citations?hl=ru&amp;user=gVqO3W0AAAAJ","https://scholar.google.com/citations?hl=ru&amp;user=gVqO3W0AAAAJ")</f>
        <v>https://scholar.google.com/citations?hl=ru&amp;user=gVqO3W0AAAAJ</v>
      </c>
      <c r="O163" s="30">
        <v>52.0</v>
      </c>
      <c r="P163" s="30">
        <v>2.0</v>
      </c>
      <c r="Q163" s="30"/>
      <c r="R163" s="12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115.0</v>
      </c>
      <c r="B164" s="23" t="s">
        <v>561</v>
      </c>
      <c r="C164" s="24" t="s">
        <v>562</v>
      </c>
      <c r="D164" s="42"/>
      <c r="E164" s="50"/>
      <c r="F164" s="50"/>
      <c r="G164" s="50"/>
      <c r="H164" s="47"/>
      <c r="I164" s="47"/>
      <c r="J164" s="47"/>
      <c r="K164" s="28">
        <v>2.0</v>
      </c>
      <c r="L164" s="44" t="s">
        <v>186</v>
      </c>
      <c r="M164" s="30" t="s">
        <v>22</v>
      </c>
      <c r="N164" s="33" t="str">
        <f>HYPERLINK("https://scholar.google.com.ua/citations?user=rsISc_cAAAAJ&amp;hl","https://scholar.google.com.ua/citations?user=rsISc_cAAAAJ&amp;hl")</f>
        <v>https://scholar.google.com.ua/citations?user=rsISc_cAAAAJ&amp;hl</v>
      </c>
      <c r="O164" s="30">
        <v>0.0</v>
      </c>
      <c r="P164" s="30">
        <v>0.0</v>
      </c>
      <c r="Q164" s="33" t="str">
        <f>HYPERLINK("https://nure.ua/staff/vadim-oleksandrovich-gubin","https://nure.ua/staff/vadim-oleksandrovich-gubin")</f>
        <v>https://nure.ua/staff/vadim-oleksandrovich-gubin</v>
      </c>
      <c r="R164" s="12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7584.0</v>
      </c>
      <c r="B165" s="23" t="s">
        <v>563</v>
      </c>
      <c r="C165" s="24" t="s">
        <v>564</v>
      </c>
      <c r="D165" s="42" t="s">
        <v>565</v>
      </c>
      <c r="E165" s="26">
        <v>2.0</v>
      </c>
      <c r="F165" s="26">
        <v>0.0</v>
      </c>
      <c r="G165" s="26">
        <v>0.0</v>
      </c>
      <c r="H165" s="27">
        <v>2.0</v>
      </c>
      <c r="I165" s="27">
        <v>0.0</v>
      </c>
      <c r="J165" s="27">
        <v>0.0</v>
      </c>
      <c r="K165" s="28">
        <v>5.0</v>
      </c>
      <c r="L165" s="44" t="s">
        <v>60</v>
      </c>
      <c r="M165" s="30" t="s">
        <v>22</v>
      </c>
      <c r="N165" s="33" t="str">
        <f>HYPERLINK("https://scholar.google.com/citations?user=ajATr1EAAAAJ","https://scholar.google.com/citations?user=ajATr1EAAAAJ")</f>
        <v>https://scholar.google.com/citations?user=ajATr1EAAAAJ</v>
      </c>
      <c r="O165" s="30">
        <v>14.0</v>
      </c>
      <c r="P165" s="30">
        <v>3.0</v>
      </c>
      <c r="Q165" s="33" t="str">
        <f>HYPERLINK("https://nure.ua/staff/dmitro-valerijovich-gurin","https://nure.ua/staff/dmitro-valerijovich-gurin")</f>
        <v>https://nure.ua/staff/dmitro-valerijovich-gurin</v>
      </c>
      <c r="R165" s="63" t="s">
        <v>566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22">
        <v>238.0</v>
      </c>
      <c r="B166" s="23" t="s">
        <v>567</v>
      </c>
      <c r="C166" s="24" t="s">
        <v>568</v>
      </c>
      <c r="D166" s="42" t="s">
        <v>569</v>
      </c>
      <c r="E166" s="26">
        <v>3.0</v>
      </c>
      <c r="F166" s="26">
        <v>10.0</v>
      </c>
      <c r="G166" s="26">
        <v>1.0</v>
      </c>
      <c r="H166" s="27"/>
      <c r="I166" s="27"/>
      <c r="J166" s="27"/>
      <c r="K166" s="28">
        <v>29.0</v>
      </c>
      <c r="L166" s="44" t="s">
        <v>428</v>
      </c>
      <c r="M166" s="30" t="s">
        <v>22</v>
      </c>
      <c r="N166" s="33" t="str">
        <f>HYPERLINK("https://scholar.google.com/citations?user=ab5HhzgAAAAJ","https://scholar.google.com/citations?user=ab5HhzgAAAAJ")</f>
        <v>https://scholar.google.com/citations?user=ab5HhzgAAAAJ</v>
      </c>
      <c r="O166" s="30">
        <v>138.0</v>
      </c>
      <c r="P166" s="30">
        <v>7.0</v>
      </c>
      <c r="Q166" s="33" t="str">
        <f>HYPERLINK("https://nure.ua/staff/irina-grigoriyivna-gusarova","https://nure.ua/staff/irina-grigoriyivna-gusarova")</f>
        <v>https://nure.ua/staff/irina-grigoriyivna-gusarova</v>
      </c>
      <c r="R166" s="63" t="s">
        <v>570</v>
      </c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34">
        <v>761.0</v>
      </c>
      <c r="B167" s="49" t="s">
        <v>571</v>
      </c>
      <c r="C167" s="35" t="s">
        <v>572</v>
      </c>
      <c r="D167" s="36" t="s">
        <v>573</v>
      </c>
      <c r="E167" s="26">
        <v>2.0</v>
      </c>
      <c r="F167" s="26">
        <v>1.0</v>
      </c>
      <c r="G167" s="26">
        <v>1.0</v>
      </c>
      <c r="H167" s="51"/>
      <c r="I167" s="51"/>
      <c r="J167" s="51"/>
      <c r="K167" s="38">
        <v>74.0</v>
      </c>
      <c r="L167" s="40"/>
      <c r="M167" s="40" t="s">
        <v>79</v>
      </c>
      <c r="N167" s="41" t="str">
        <f>HYPERLINK("https://scholar.google.com/citations?user=nGoIsYUAAAAJ","https://scholar.google.com/citations?user=nGoIsYUAAAAJ")</f>
        <v>https://scholar.google.com/citations?user=nGoIsYUAAAAJ</v>
      </c>
      <c r="O167" s="40">
        <v>75.0</v>
      </c>
      <c r="P167" s="40">
        <v>5.0</v>
      </c>
      <c r="Q167" s="41" t="str">
        <f>HYPERLINK("https://nure.ua/staff/volodimir-mihaylovich-gusyatin","https://nure.ua/staff/volodimir-mihaylovich-gusyatin")</f>
        <v>https://nure.ua/staff/volodimir-mihaylovich-gusyatin</v>
      </c>
      <c r="R167" s="77" t="s">
        <v>574</v>
      </c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22">
        <v>4146.0</v>
      </c>
      <c r="B168" s="23" t="s">
        <v>575</v>
      </c>
      <c r="C168" s="24" t="s">
        <v>576</v>
      </c>
      <c r="D168" s="42" t="s">
        <v>577</v>
      </c>
      <c r="E168" s="26">
        <v>2.0</v>
      </c>
      <c r="F168" s="26">
        <v>1.0</v>
      </c>
      <c r="G168" s="26">
        <v>1.0</v>
      </c>
      <c r="H168" s="47"/>
      <c r="I168" s="47"/>
      <c r="J168" s="47"/>
      <c r="K168" s="28">
        <v>8.0</v>
      </c>
      <c r="L168" s="29" t="s">
        <v>71</v>
      </c>
      <c r="M168" s="30" t="s">
        <v>22</v>
      </c>
      <c r="N168" s="33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8" s="30">
        <v>13.0</v>
      </c>
      <c r="P168" s="30">
        <v>2.0</v>
      </c>
      <c r="Q168" s="33" t="str">
        <f>HYPERLINK("https://nure.ua/staff/maksim-volodimirovich-gusyatin","https://nure.ua/staff/maksim-volodimirovich-gusyatin")</f>
        <v>https://nure.ua/staff/maksim-volodimirovich-gusyatin</v>
      </c>
      <c r="R168" s="63" t="s">
        <v>578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5233.0</v>
      </c>
      <c r="B169" s="23" t="s">
        <v>579</v>
      </c>
      <c r="C169" s="24" t="s">
        <v>580</v>
      </c>
      <c r="D169" s="42" t="s">
        <v>581</v>
      </c>
      <c r="E169" s="26">
        <v>4.0</v>
      </c>
      <c r="F169" s="26">
        <v>0.0</v>
      </c>
      <c r="G169" s="26">
        <v>0.0</v>
      </c>
      <c r="H169" s="47">
        <v>0.0</v>
      </c>
      <c r="I169" s="47">
        <v>0.0</v>
      </c>
      <c r="J169" s="47">
        <v>0.0</v>
      </c>
      <c r="K169" s="28">
        <v>9.0</v>
      </c>
      <c r="L169" s="29"/>
      <c r="M169" s="30" t="s">
        <v>22</v>
      </c>
      <c r="N169" s="33" t="str">
        <f>HYPERLINK("https://scholar.google.com/citations?user=78K-t-cAAAAJ","https://scholar.google.com/citations?user=78K-t-cAAAAJ")</f>
        <v>https://scholar.google.com/citations?user=78K-t-cAAAAJ</v>
      </c>
      <c r="O169" s="30">
        <v>25.0</v>
      </c>
      <c r="P169" s="30">
        <v>3.0</v>
      </c>
      <c r="Q169" s="33" t="str">
        <f>HYPERLINK("https://nure.ua/staff/oleg-mikolayovich-gutsa","https://nure.ua/staff/oleg-mikolayovich-gutsa")</f>
        <v>https://nure.ua/staff/oleg-mikolayovich-gutsa</v>
      </c>
      <c r="R169" s="63" t="s">
        <v>582</v>
      </c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5870.0</v>
      </c>
      <c r="B170" s="23" t="s">
        <v>583</v>
      </c>
      <c r="C170" s="24" t="s">
        <v>584</v>
      </c>
      <c r="D170" s="42"/>
      <c r="E170" s="50"/>
      <c r="F170" s="50"/>
      <c r="G170" s="50"/>
      <c r="H170" s="47"/>
      <c r="I170" s="47"/>
      <c r="J170" s="47"/>
      <c r="K170" s="28">
        <v>37.0</v>
      </c>
      <c r="L170" s="39" t="s">
        <v>385</v>
      </c>
      <c r="M170" s="30" t="s">
        <v>22</v>
      </c>
      <c r="N170" s="33" t="str">
        <f>HYPERLINK("https://scholar.google.com/citations?user=RS0To2QAAAAJ","https://scholar.google.com/citations?user=RS0To2QAAAAJ")</f>
        <v>https://scholar.google.com/citations?user=RS0To2QAAAAJ</v>
      </c>
      <c r="O170" s="30">
        <v>19.0</v>
      </c>
      <c r="P170" s="30">
        <v>3.0</v>
      </c>
      <c r="Q170" s="33" t="str">
        <f>HYPERLINK("https://nure.ua/staff/andriy-dmitrovich-danilov","https://nure.ua/staff/andriy-dmitrovich-danilov")</f>
        <v>https://nure.ua/staff/andriy-dmitrovich-danilov</v>
      </c>
      <c r="R170" s="12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69.0</v>
      </c>
      <c r="B171" s="23" t="s">
        <v>585</v>
      </c>
      <c r="C171" s="24" t="s">
        <v>586</v>
      </c>
      <c r="D171" s="42" t="s">
        <v>587</v>
      </c>
      <c r="E171" s="26">
        <v>5.0</v>
      </c>
      <c r="F171" s="26">
        <v>2.0</v>
      </c>
      <c r="G171" s="26">
        <v>1.0</v>
      </c>
      <c r="H171" s="47"/>
      <c r="I171" s="47"/>
      <c r="J171" s="47"/>
      <c r="K171" s="28">
        <v>20.0</v>
      </c>
      <c r="L171" s="29" t="s">
        <v>21</v>
      </c>
      <c r="M171" s="30" t="s">
        <v>22</v>
      </c>
      <c r="N171" s="33" t="str">
        <f>HYPERLINK("https://scholar.google.com/citations?user=4bXlqLcAAAAJ","https://scholar.google.com/citations?user=4bXlqLcAAAAJ")</f>
        <v>https://scholar.google.com/citations?user=4bXlqLcAAAAJ</v>
      </c>
      <c r="O171" s="30">
        <v>32.0</v>
      </c>
      <c r="P171" s="30">
        <v>3.0</v>
      </c>
      <c r="Q171" s="33" t="str">
        <f>HYPERLINK("https://nure.ua/staff/oleg-mihaylovich-datsok","https://nure.ua/staff/oleg-mihaylovich-datsok")</f>
        <v>https://nure.ua/staff/oleg-mihaylovich-datsok</v>
      </c>
      <c r="R171" s="63" t="s">
        <v>588</v>
      </c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58.0</v>
      </c>
      <c r="B172" s="23" t="s">
        <v>589</v>
      </c>
      <c r="C172" s="24" t="s">
        <v>590</v>
      </c>
      <c r="D172" s="42"/>
      <c r="E172" s="50"/>
      <c r="F172" s="50"/>
      <c r="G172" s="50"/>
      <c r="H172" s="47"/>
      <c r="I172" s="47"/>
      <c r="J172" s="47"/>
      <c r="K172" s="28">
        <v>8.0</v>
      </c>
      <c r="L172" s="44" t="s">
        <v>120</v>
      </c>
      <c r="M172" s="30" t="s">
        <v>22</v>
      </c>
      <c r="N172" s="33" t="str">
        <f>HYPERLINK("https://scholar.google.com/citations?user=JE7V1ZIAAAAJ","https://scholar.google.com/citations?user=JE7V1ZIAAAAJ")</f>
        <v>https://scholar.google.com/citations?user=JE7V1ZIAAAAJ</v>
      </c>
      <c r="O172" s="30">
        <v>2.0</v>
      </c>
      <c r="P172" s="30">
        <v>1.0</v>
      </c>
      <c r="Q172" s="33" t="str">
        <f>HYPERLINK("https://nure.ua/staff/natalya-mikolayivna-dashenkova","https://nure.ua/staff/natalya-mikolayivna-dashenkova")</f>
        <v>https://nure.ua/staff/natalya-mikolayivna-dashenkova</v>
      </c>
      <c r="R172" s="12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4719.0</v>
      </c>
      <c r="B173" s="23" t="s">
        <v>591</v>
      </c>
      <c r="C173" s="24" t="s">
        <v>592</v>
      </c>
      <c r="D173" s="42" t="s">
        <v>593</v>
      </c>
      <c r="E173" s="26">
        <v>3.0</v>
      </c>
      <c r="F173" s="26">
        <v>1.0</v>
      </c>
      <c r="G173" s="26">
        <v>1.0</v>
      </c>
      <c r="H173" s="27">
        <v>0.0</v>
      </c>
      <c r="I173" s="27">
        <v>0.0</v>
      </c>
      <c r="J173" s="27">
        <v>0.0</v>
      </c>
      <c r="K173" s="28">
        <v>10.0</v>
      </c>
      <c r="L173" s="29" t="s">
        <v>594</v>
      </c>
      <c r="M173" s="30" t="s">
        <v>22</v>
      </c>
      <c r="N173" s="33" t="str">
        <f>HYPERLINK("https://scholar.google.com/citations?user=SI99bd4AAAAJ","https://scholar.google.com/citations?user=SI99bd4AAAAJ")</f>
        <v>https://scholar.google.com/citations?user=SI99bd4AAAAJ</v>
      </c>
      <c r="O173" s="30">
        <v>4.0</v>
      </c>
      <c r="P173" s="30">
        <v>2.0</v>
      </c>
      <c r="Q173" s="33" t="str">
        <f>HYPERLINK("https://nure.ua/staff/oleksandr-valentinovich-degtyarov","https://nure.ua/staff/oleksandr-valentinovich-degtyarov")</f>
        <v>https://nure.ua/staff/oleksandr-valentinovich-degtyarov</v>
      </c>
      <c r="R173" s="63" t="s">
        <v>595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4840.0</v>
      </c>
      <c r="B174" s="23" t="s">
        <v>596</v>
      </c>
      <c r="C174" s="24" t="s">
        <v>597</v>
      </c>
      <c r="D174" s="42" t="s">
        <v>598</v>
      </c>
      <c r="E174" s="26">
        <v>24.0</v>
      </c>
      <c r="F174" s="26">
        <v>88.0</v>
      </c>
      <c r="G174" s="26">
        <v>5.0</v>
      </c>
      <c r="H174" s="27">
        <v>10.0</v>
      </c>
      <c r="I174" s="27">
        <v>25.0</v>
      </c>
      <c r="J174" s="27">
        <v>3.0</v>
      </c>
      <c r="K174" s="28">
        <v>16.0</v>
      </c>
      <c r="L174" s="44" t="s">
        <v>186</v>
      </c>
      <c r="M174" s="30" t="s">
        <v>22</v>
      </c>
      <c r="N174" s="33" t="str">
        <f>HYPERLINK("https://scholar.google.com/citations?user=T7hLe94AAAAJ","https://scholar.google.com/citations?user=T7hLe94AAAAJ")</f>
        <v>https://scholar.google.com/citations?user=T7hLe94AAAAJ</v>
      </c>
      <c r="O174" s="30">
        <v>23.0</v>
      </c>
      <c r="P174" s="30">
        <v>2.0</v>
      </c>
      <c r="Q174" s="33" t="str">
        <f>HYPERLINK("https://nure.ua/staff/anastasiya-oleksandrivna-deyneko","https://nure.ua/staff/anastasiya-oleksandrivna-deyneko")</f>
        <v>https://nure.ua/staff/anastasiya-oleksandrivna-deyneko</v>
      </c>
      <c r="R174" s="63" t="s">
        <v>599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1515.0</v>
      </c>
      <c r="B175" s="23" t="s">
        <v>600</v>
      </c>
      <c r="C175" s="24" t="s">
        <v>601</v>
      </c>
      <c r="D175" s="42" t="s">
        <v>602</v>
      </c>
      <c r="E175" s="26">
        <v>7.0</v>
      </c>
      <c r="F175" s="26">
        <v>39.0</v>
      </c>
      <c r="G175" s="26">
        <v>4.0</v>
      </c>
      <c r="H175" s="27"/>
      <c r="I175" s="27"/>
      <c r="J175" s="27"/>
      <c r="K175" s="28">
        <v>37.0</v>
      </c>
      <c r="L175" s="44" t="s">
        <v>171</v>
      </c>
      <c r="M175" s="30" t="s">
        <v>22</v>
      </c>
      <c r="N175" s="33" t="str">
        <f>HYPERLINK("https://scholar.google.com/citations?user=8yZEJ3IAAAAJ","https://scholar.google.com/citations?user=8yZEJ3IAAAAJ")</f>
        <v>https://scholar.google.com/citations?user=8yZEJ3IAAAAJ</v>
      </c>
      <c r="O175" s="30">
        <v>150.0</v>
      </c>
      <c r="P175" s="30">
        <v>7.0</v>
      </c>
      <c r="Q175" s="33" t="str">
        <f>HYPERLINK("https://nure.ua/staff/zhanna-valentinivna-deyneko","https://nure.ua/staff/zhanna-valentinivna-deyneko")</f>
        <v>https://nure.ua/staff/zhanna-valentinivna-deyneko</v>
      </c>
      <c r="R175" s="63" t="s">
        <v>603</v>
      </c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1212.0</v>
      </c>
      <c r="B176" s="23" t="s">
        <v>604</v>
      </c>
      <c r="C176" s="24" t="s">
        <v>605</v>
      </c>
      <c r="D176" s="42"/>
      <c r="E176" s="50"/>
      <c r="F176" s="50"/>
      <c r="G176" s="50"/>
      <c r="H176" s="47"/>
      <c r="I176" s="47"/>
      <c r="J176" s="47"/>
      <c r="K176" s="28">
        <v>0.0</v>
      </c>
      <c r="L176" s="39" t="s">
        <v>78</v>
      </c>
      <c r="M176" s="30" t="s">
        <v>22</v>
      </c>
      <c r="N176" s="33" t="str">
        <f>HYPERLINK("https://scholar.google.com/citations?user=nHdwrO4AAAAJ","https://scholar.google.com/citations?user=nHdwrO4AAAAJ")</f>
        <v>https://scholar.google.com/citations?user=nHdwrO4AAAAJ</v>
      </c>
      <c r="O176" s="30">
        <v>72.0</v>
      </c>
      <c r="P176" s="30">
        <v>2.0</v>
      </c>
      <c r="Q176" s="33" t="str">
        <f>HYPERLINK("https://nure.ua/staff/tetyana-ivanivna-dementyeva","https://nure.ua/staff/tetyana-ivanivna-dementyeva")</f>
        <v>https://nure.ua/staff/tetyana-ivanivna-dementyeva</v>
      </c>
      <c r="R176" s="12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1842.0</v>
      </c>
      <c r="B177" s="23" t="s">
        <v>606</v>
      </c>
      <c r="C177" s="24" t="s">
        <v>607</v>
      </c>
      <c r="D177" s="42" t="s">
        <v>608</v>
      </c>
      <c r="E177" s="26">
        <v>6.0</v>
      </c>
      <c r="F177" s="26">
        <v>1.0</v>
      </c>
      <c r="G177" s="26">
        <v>1.0</v>
      </c>
      <c r="H177" s="47"/>
      <c r="I177" s="47"/>
      <c r="J177" s="47"/>
      <c r="K177" s="28">
        <v>15.0</v>
      </c>
      <c r="L177" s="44" t="s">
        <v>60</v>
      </c>
      <c r="M177" s="30" t="s">
        <v>22</v>
      </c>
      <c r="N177" s="33" t="str">
        <f>HYPERLINK("https://scholar.google.com/citations?user=_k9WQnQAAAAJ","https://scholar.google.com/citations?user=_k9WQnQAAAAJ")</f>
        <v>https://scholar.google.com/citations?user=_k9WQnQAAAAJ</v>
      </c>
      <c r="O177" s="30">
        <v>34.0</v>
      </c>
      <c r="P177" s="30">
        <v>3.0</v>
      </c>
      <c r="Q177" s="33" t="str">
        <f>HYPERLINK("https://nure.ua/staff/nataliya-pavlivna-demska","https://nure.ua/staff/nataliya-pavlivna-demska")</f>
        <v>https://nure.ua/staff/nataliya-pavlivna-demska</v>
      </c>
      <c r="R177" s="13" t="s">
        <v>609</v>
      </c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7.0</v>
      </c>
      <c r="B178" s="23" t="s">
        <v>610</v>
      </c>
      <c r="C178" s="24" t="s">
        <v>611</v>
      </c>
      <c r="D178" s="42"/>
      <c r="E178" s="50"/>
      <c r="F178" s="50"/>
      <c r="G178" s="50"/>
      <c r="H178" s="47"/>
      <c r="I178" s="47"/>
      <c r="J178" s="47"/>
      <c r="K178" s="28">
        <v>0.0</v>
      </c>
      <c r="L178" s="39" t="s">
        <v>78</v>
      </c>
      <c r="M178" s="30" t="s">
        <v>22</v>
      </c>
      <c r="N178" s="33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8" s="30">
        <v>0.0</v>
      </c>
      <c r="P178" s="30">
        <v>0.0</v>
      </c>
      <c r="Q178" s="33" t="str">
        <f>HYPERLINK("https://nure.ua/staff/viktoriya-anatoliyivna-demchenko","https://nure.ua/staff/viktoriya-anatoliyivna-demchenko")</f>
        <v>https://nure.ua/staff/viktoriya-anatoliyivna-demchenko</v>
      </c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22">
        <v>87.0</v>
      </c>
      <c r="B179" s="23" t="s">
        <v>612</v>
      </c>
      <c r="C179" s="24" t="s">
        <v>613</v>
      </c>
      <c r="D179" s="42"/>
      <c r="E179" s="50"/>
      <c r="F179" s="50"/>
      <c r="G179" s="50"/>
      <c r="H179" s="47"/>
      <c r="I179" s="47"/>
      <c r="J179" s="47"/>
      <c r="K179" s="28">
        <v>0.0</v>
      </c>
      <c r="L179" s="39" t="s">
        <v>78</v>
      </c>
      <c r="M179" s="30" t="s">
        <v>22</v>
      </c>
      <c r="N179" s="33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9" s="30">
        <v>3.0</v>
      </c>
      <c r="P179" s="30">
        <v>1.0</v>
      </c>
      <c r="Q179" s="33" t="str">
        <f>HYPERLINK("https://nure.ua/staff/galina-oleksandrivna-derkach","https://nure.ua/staff/galina-oleksandrivna-derkach")</f>
        <v>https://nure.ua/staff/galina-oleksandrivna-derkach</v>
      </c>
      <c r="R179" s="12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34">
        <v>6915.0</v>
      </c>
      <c r="B180" s="49" t="s">
        <v>614</v>
      </c>
      <c r="C180" s="35"/>
      <c r="D180" s="36"/>
      <c r="E180" s="50"/>
      <c r="F180" s="50"/>
      <c r="G180" s="50"/>
      <c r="H180" s="51"/>
      <c r="I180" s="51"/>
      <c r="J180" s="51"/>
      <c r="K180" s="38">
        <v>1.0</v>
      </c>
      <c r="L180" s="40"/>
      <c r="M180" s="40" t="s">
        <v>79</v>
      </c>
      <c r="N180" s="40"/>
      <c r="O180" s="40"/>
      <c r="P180" s="40"/>
      <c r="Q180" s="40"/>
      <c r="R180" s="52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22">
        <v>541.0</v>
      </c>
      <c r="B181" s="23" t="s">
        <v>615</v>
      </c>
      <c r="C181" s="24" t="s">
        <v>616</v>
      </c>
      <c r="D181" s="42"/>
      <c r="E181" s="50"/>
      <c r="F181" s="50"/>
      <c r="G181" s="50"/>
      <c r="H181" s="47"/>
      <c r="I181" s="47"/>
      <c r="J181" s="47"/>
      <c r="K181" s="28">
        <v>5.0</v>
      </c>
      <c r="L181" s="29" t="s">
        <v>71</v>
      </c>
      <c r="M181" s="30" t="s">
        <v>22</v>
      </c>
      <c r="N181" s="33" t="str">
        <f>HYPERLINK("https://scholar.google.com/citations?user=ITC4M5EAAAAJ","https://scholar.google.com/citations?user=ITC4M5EAAAAJ")</f>
        <v>https://scholar.google.com/citations?user=ITC4M5EAAAAJ</v>
      </c>
      <c r="O181" s="30">
        <v>1.0</v>
      </c>
      <c r="P181" s="30">
        <v>1.0</v>
      </c>
      <c r="Q181" s="33" t="str">
        <f>HYPERLINK("https://nure.ua/staff/volodimir-fedorovich-dzyubenko","https://nure.ua/staff/volodimir-fedorovich-dzyubenko")</f>
        <v>https://nure.ua/staff/volodimir-fedorovich-dzyubenko</v>
      </c>
      <c r="R181" s="12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34">
        <v>930.0</v>
      </c>
      <c r="B182" s="49" t="s">
        <v>617</v>
      </c>
      <c r="C182" s="35"/>
      <c r="D182" s="36" t="s">
        <v>618</v>
      </c>
      <c r="E182" s="26">
        <v>77.0</v>
      </c>
      <c r="F182" s="26">
        <v>107.0</v>
      </c>
      <c r="G182" s="26">
        <v>5.0</v>
      </c>
      <c r="H182" s="37">
        <v>51.0</v>
      </c>
      <c r="I182" s="37">
        <v>113.0</v>
      </c>
      <c r="J182" s="37">
        <v>6.0</v>
      </c>
      <c r="K182" s="38">
        <v>5.0</v>
      </c>
      <c r="L182" s="40"/>
      <c r="M182" s="40" t="s">
        <v>79</v>
      </c>
      <c r="N182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2" s="40">
        <v>69.0</v>
      </c>
      <c r="P182" s="40">
        <v>5.0</v>
      </c>
      <c r="Q182" s="41" t="str">
        <f>HYPERLINK("https://nure.ua/staff/mihaylo-ivanovich-dzyubenko","https://nure.ua/staff/mihaylo-ivanovich-dzyubenko")</f>
        <v>https://nure.ua/staff/mihaylo-ivanovich-dzyubenko</v>
      </c>
      <c r="R182" s="77" t="s">
        <v>619</v>
      </c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22">
        <v>1675.0</v>
      </c>
      <c r="B183" s="23" t="s">
        <v>620</v>
      </c>
      <c r="C183" s="24" t="s">
        <v>621</v>
      </c>
      <c r="D183" s="42" t="s">
        <v>622</v>
      </c>
      <c r="E183" s="26">
        <v>1.0</v>
      </c>
      <c r="F183" s="26">
        <v>11.0</v>
      </c>
      <c r="G183" s="26">
        <v>1.0</v>
      </c>
      <c r="H183" s="27">
        <v>1.0</v>
      </c>
      <c r="I183" s="27">
        <v>2.0</v>
      </c>
      <c r="J183" s="27">
        <v>1.0</v>
      </c>
      <c r="K183" s="28">
        <v>2.0</v>
      </c>
      <c r="L183" s="29" t="s">
        <v>329</v>
      </c>
      <c r="M183" s="30" t="s">
        <v>22</v>
      </c>
      <c r="N183" s="33" t="str">
        <f>HYPERLINK("https://scholar.google.com.ua/citations?user=ioaaVPgAAAAJ","https://scholar.google.com.ua/citations?user=ioaaVPgAAAAJ")</f>
        <v>https://scholar.google.com.ua/citations?user=ioaaVPgAAAAJ</v>
      </c>
      <c r="O183" s="30">
        <v>7.0</v>
      </c>
      <c r="P183" s="30">
        <v>1.0</v>
      </c>
      <c r="Q183" s="33" t="str">
        <f>HYPERLINK("https://nure.ua/staff/yevgen-vitaliyovich-didenko","https://nure.ua/staff/yevgen-vitaliyovich-didenko")</f>
        <v>https://nure.ua/staff/yevgen-vitaliyovich-didenko</v>
      </c>
      <c r="R183" s="63" t="s">
        <v>623</v>
      </c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1259.0</v>
      </c>
      <c r="B184" s="23" t="s">
        <v>624</v>
      </c>
      <c r="C184" s="24"/>
      <c r="D184" s="42"/>
      <c r="E184" s="50"/>
      <c r="F184" s="50"/>
      <c r="G184" s="50"/>
      <c r="H184" s="47"/>
      <c r="I184" s="47"/>
      <c r="J184" s="47"/>
      <c r="K184" s="28">
        <v>2.0</v>
      </c>
      <c r="L184" s="44" t="s">
        <v>272</v>
      </c>
      <c r="M184" s="30" t="s">
        <v>22</v>
      </c>
      <c r="N184" s="33" t="str">
        <f>HYPERLINK("https://scholar.google.com/citations?hl=ru&amp;user=751M1bQAAAAJ","https://scholar.google.com/citations?hl=ru&amp;user=751M1bQAAAAJ")</f>
        <v>https://scholar.google.com/citations?hl=ru&amp;user=751M1bQAAAAJ</v>
      </c>
      <c r="O184" s="30">
        <v>2.0</v>
      </c>
      <c r="P184" s="30">
        <v>1.0</v>
      </c>
      <c r="Q184" s="33" t="str">
        <f>HYPERLINK("https://nure.ua/staff/natalja-oleksandrivna-didjuk","https://nure.ua/staff/natalja-oleksandrivna-didjuk")</f>
        <v>https://nure.ua/staff/natalja-oleksandrivna-didjuk</v>
      </c>
      <c r="R184" s="12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4915.0</v>
      </c>
      <c r="B185" s="23" t="s">
        <v>625</v>
      </c>
      <c r="C185" s="24" t="s">
        <v>626</v>
      </c>
      <c r="D185" s="42" t="s">
        <v>627</v>
      </c>
      <c r="E185" s="26">
        <v>3.0</v>
      </c>
      <c r="F185" s="26">
        <v>25.0</v>
      </c>
      <c r="G185" s="26">
        <v>2.0</v>
      </c>
      <c r="H185" s="27">
        <v>1.0</v>
      </c>
      <c r="I185" s="27">
        <v>0.0</v>
      </c>
      <c r="J185" s="27">
        <v>0.0</v>
      </c>
      <c r="K185" s="28">
        <v>6.0</v>
      </c>
      <c r="L185" s="29" t="s">
        <v>36</v>
      </c>
      <c r="M185" s="30" t="s">
        <v>22</v>
      </c>
      <c r="N185" s="33" t="str">
        <f>HYPERLINK("https://scholar.google.com/citations?user=OIoqFq8AAAAJ","https://scholar.google.com/citations?user=OIoqFq8AAAAJ")</f>
        <v>https://scholar.google.com/citations?user=OIoqFq8AAAAJ</v>
      </c>
      <c r="O185" s="30">
        <v>21.0</v>
      </c>
      <c r="P185" s="30">
        <v>2.0</v>
      </c>
      <c r="Q185" s="33" t="str">
        <f>HYPERLINK("https://nure.ua/staff/igor-stanislavovich-dobrinin","https://nure.ua/staff/igor-stanislavovich-dobrinin")</f>
        <v>https://nure.ua/staff/igor-stanislavovich-dobrinin</v>
      </c>
      <c r="R185" s="63" t="s">
        <v>628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22">
        <v>5689.0</v>
      </c>
      <c r="B186" s="23" t="s">
        <v>629</v>
      </c>
      <c r="C186" s="24" t="s">
        <v>630</v>
      </c>
      <c r="D186" s="42" t="s">
        <v>631</v>
      </c>
      <c r="E186" s="26">
        <v>1.0</v>
      </c>
      <c r="F186" s="26">
        <v>0.0</v>
      </c>
      <c r="G186" s="86">
        <v>0.0</v>
      </c>
      <c r="H186" s="27">
        <v>1.0</v>
      </c>
      <c r="I186" s="27">
        <v>0.0</v>
      </c>
      <c r="J186" s="27">
        <v>0.0</v>
      </c>
      <c r="K186" s="28">
        <v>2.0</v>
      </c>
      <c r="L186" s="44" t="s">
        <v>120</v>
      </c>
      <c r="M186" s="30" t="s">
        <v>22</v>
      </c>
      <c r="N186" s="33" t="str">
        <f>HYPERLINK("https://scholar.google.com/citations?user=GDJJEhwAAAAJ&amp;hl=ru","https://scholar.google.com/citations?user=GDJJEhwAAAAJ&amp;hl=ru")</f>
        <v>https://scholar.google.com/citations?user=GDJJEhwAAAAJ&amp;hl=ru</v>
      </c>
      <c r="O186" s="30">
        <v>2.0</v>
      </c>
      <c r="P186" s="30">
        <v>1.0</v>
      </c>
      <c r="Q186" s="33" t="str">
        <f>HYPERLINK("https://nure.ua/staff/olena-vitaliyivna-dobrovolska","https://nure.ua/staff/olena-vitaliyivna-dobrovolska")</f>
        <v>https://nure.ua/staff/olena-vitaliyivna-dobrovolska</v>
      </c>
      <c r="R186" s="63" t="s">
        <v>632</v>
      </c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34">
        <v>994.0</v>
      </c>
      <c r="B187" s="49" t="s">
        <v>633</v>
      </c>
      <c r="C187" s="35"/>
      <c r="D187" s="36" t="s">
        <v>634</v>
      </c>
      <c r="E187" s="26">
        <v>878.0</v>
      </c>
      <c r="F187" s="87">
        <v>35254.0</v>
      </c>
      <c r="G187" s="26">
        <v>89.0</v>
      </c>
      <c r="H187" s="37">
        <v>393.0</v>
      </c>
      <c r="I187" s="37">
        <v>10134.0</v>
      </c>
      <c r="J187" s="37">
        <v>48.0</v>
      </c>
      <c r="K187" s="38">
        <v>0.0</v>
      </c>
      <c r="L187" s="40"/>
      <c r="M187" s="40" t="s">
        <v>79</v>
      </c>
      <c r="N187" s="41" t="str">
        <f>HYPERLINK("https://scholar.google.com/citations?user=seME_1wAAAAJ","https://scholar.google.com/citations?user=seME_1wAAAAJ")</f>
        <v>https://scholar.google.com/citations?user=seME_1wAAAAJ</v>
      </c>
      <c r="O187" s="40">
        <v>6556.0</v>
      </c>
      <c r="P187" s="40">
        <v>32.0</v>
      </c>
      <c r="Q187" s="41" t="str">
        <f>HYPERLINK("https://nure.ua/staff/dovbnja-anatolij-mikolajovich","https://nure.ua/staff/dovbnja-anatolij-mikolajovich")</f>
        <v>https://nure.ua/staff/dovbnja-anatolij-mikolajovich</v>
      </c>
      <c r="R187" s="77" t="s">
        <v>635</v>
      </c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22">
        <v>219.0</v>
      </c>
      <c r="B188" s="23" t="s">
        <v>636</v>
      </c>
      <c r="C188" s="24" t="s">
        <v>637</v>
      </c>
      <c r="D188" s="42" t="s">
        <v>638</v>
      </c>
      <c r="E188" s="26">
        <v>2.0</v>
      </c>
      <c r="F188" s="26">
        <v>0.0</v>
      </c>
      <c r="G188" s="26">
        <v>0.0</v>
      </c>
      <c r="H188" s="47"/>
      <c r="I188" s="47"/>
      <c r="J188" s="47"/>
      <c r="K188" s="28">
        <v>1.0</v>
      </c>
      <c r="L188" s="29" t="s">
        <v>329</v>
      </c>
      <c r="M188" s="30" t="s">
        <v>22</v>
      </c>
      <c r="N188" s="33" t="str">
        <f>HYPERLINK("https://scholar.google.com/citations?user=qhAcEwQAAAAJ","https://scholar.google.com/citations?user=qhAcEwQAAAAJ")</f>
        <v>https://scholar.google.com/citations?user=qhAcEwQAAAAJ</v>
      </c>
      <c r="O188" s="30">
        <v>73.0</v>
      </c>
      <c r="P188" s="30">
        <v>3.0</v>
      </c>
      <c r="Q188" s="33" t="str">
        <f>HYPERLINK("https://nure.ua/staff/nina-vasilivna-dovgopol","https://nure.ua/staff/nina-vasilivna-dovgopol")</f>
        <v>https://nure.ua/staff/nina-vasilivna-dovgopol</v>
      </c>
      <c r="R188" s="63" t="s">
        <v>639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998.0</v>
      </c>
      <c r="B189" s="23" t="s">
        <v>640</v>
      </c>
      <c r="C189" s="24" t="s">
        <v>641</v>
      </c>
      <c r="D189" s="42" t="s">
        <v>642</v>
      </c>
      <c r="E189" s="26">
        <v>21.0</v>
      </c>
      <c r="F189" s="26">
        <v>12.0</v>
      </c>
      <c r="G189" s="26">
        <v>2.0</v>
      </c>
      <c r="H189" s="27">
        <v>7.0</v>
      </c>
      <c r="I189" s="27">
        <v>1.0</v>
      </c>
      <c r="J189" s="27">
        <v>1.0</v>
      </c>
      <c r="K189" s="28">
        <v>7.0</v>
      </c>
      <c r="L189" s="44" t="s">
        <v>75</v>
      </c>
      <c r="M189" s="30" t="s">
        <v>22</v>
      </c>
      <c r="N189" s="33" t="str">
        <f>HYPERLINK("https://scholar.google.com/citations?user=Yn3tbSgAAAAJ","https://scholar.google.com/citations?user=Yn3tbSgAAAAJ")</f>
        <v>https://scholar.google.com/citations?user=Yn3tbSgAAAAJ</v>
      </c>
      <c r="O189" s="30">
        <v>31.0</v>
      </c>
      <c r="P189" s="30">
        <v>3.0</v>
      </c>
      <c r="Q189" s="33" t="str">
        <f>HYPERLINK("https://nure.ua/staff/volodimir-vasilovich-dolzhikov","https://nure.ua/staff/volodimir-vasilovich-dolzhikov")</f>
        <v>https://nure.ua/staff/volodimir-vasilovich-dolzhikov</v>
      </c>
      <c r="R189" s="63" t="s">
        <v>643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7631.0</v>
      </c>
      <c r="B190" s="23" t="s">
        <v>644</v>
      </c>
      <c r="C190" s="24" t="s">
        <v>645</v>
      </c>
      <c r="D190" s="42"/>
      <c r="E190" s="48"/>
      <c r="F190" s="48"/>
      <c r="G190" s="48"/>
      <c r="H190" s="27">
        <v>1.0</v>
      </c>
      <c r="I190" s="27">
        <v>1.0</v>
      </c>
      <c r="J190" s="27">
        <v>1.0</v>
      </c>
      <c r="K190" s="28">
        <v>0.0</v>
      </c>
      <c r="L190" s="44" t="s">
        <v>218</v>
      </c>
      <c r="M190" s="30" t="s">
        <v>22</v>
      </c>
      <c r="N190" s="33" t="str">
        <f>HYPERLINK("https://scholar.google.com/citations?user=zPb_tk4AAAAJ","https://scholar.google.com/citations?user=zPb_tk4AAAAJ")</f>
        <v>https://scholar.google.com/citations?user=zPb_tk4AAAAJ</v>
      </c>
      <c r="O190" s="30">
        <v>27.0</v>
      </c>
      <c r="P190" s="30">
        <v>3.0</v>
      </c>
      <c r="Q190" s="33" t="str">
        <f>HYPERLINK("https://nure.ua/staff/olena-ievgenivna-dolja","https://nure.ua/staff/olena-ievgenivna-dolja")</f>
        <v>https://nure.ua/staff/olena-ievgenivna-dolja</v>
      </c>
      <c r="R190" s="12" t="s">
        <v>646</v>
      </c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6519.0</v>
      </c>
      <c r="B191" s="23" t="s">
        <v>647</v>
      </c>
      <c r="C191" s="24" t="s">
        <v>648</v>
      </c>
      <c r="D191" s="42"/>
      <c r="E191" s="48"/>
      <c r="F191" s="48"/>
      <c r="G191" s="48"/>
      <c r="H191" s="47"/>
      <c r="I191" s="47"/>
      <c r="J191" s="47"/>
      <c r="K191" s="28">
        <v>2.0</v>
      </c>
      <c r="L191" s="44" t="s">
        <v>171</v>
      </c>
      <c r="M191" s="30"/>
      <c r="N191" s="30"/>
      <c r="O191" s="30"/>
      <c r="P191" s="30"/>
      <c r="Q191" s="30"/>
      <c r="R191" s="12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393.0</v>
      </c>
      <c r="B192" s="23" t="s">
        <v>649</v>
      </c>
      <c r="C192" s="24" t="s">
        <v>650</v>
      </c>
      <c r="D192" s="42" t="s">
        <v>651</v>
      </c>
      <c r="E192" s="26">
        <v>58.0</v>
      </c>
      <c r="F192" s="26">
        <v>75.0</v>
      </c>
      <c r="G192" s="26">
        <v>5.0</v>
      </c>
      <c r="H192" s="27">
        <v>27.0</v>
      </c>
      <c r="I192" s="27">
        <v>14.0</v>
      </c>
      <c r="J192" s="27">
        <v>3.0</v>
      </c>
      <c r="K192" s="28">
        <v>38.0</v>
      </c>
      <c r="L192" s="56"/>
      <c r="M192" s="30" t="s">
        <v>22</v>
      </c>
      <c r="N192" s="33" t="str">
        <f>HYPERLINK("https://scholar.google.com.ua/citations?user=44IY0OgAAAAJ&amp;hl","https://scholar.google.com.ua/citations?user=44IY0OgAAAAJ&amp;hl")</f>
        <v>https://scholar.google.com.ua/citations?user=44IY0OgAAAAJ&amp;hl</v>
      </c>
      <c r="O192" s="30">
        <v>143.0</v>
      </c>
      <c r="P192" s="30">
        <v>6.0</v>
      </c>
      <c r="Q192" s="33" t="str">
        <f>HYPERLINK("https://nure.ua/staff/volodimir-oleksiyovich-doroshenko","https://nure.ua/staff/volodimir-oleksiyovich-doroshenko")</f>
        <v>https://nure.ua/staff/volodimir-oleksiyovich-doroshenko</v>
      </c>
      <c r="R192" s="12" t="s">
        <v>652</v>
      </c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6120.0</v>
      </c>
      <c r="B193" s="23" t="s">
        <v>653</v>
      </c>
      <c r="C193" s="24"/>
      <c r="D193" s="42"/>
      <c r="E193" s="88"/>
      <c r="F193" s="50"/>
      <c r="G193" s="50"/>
      <c r="H193" s="47"/>
      <c r="I193" s="47"/>
      <c r="J193" s="47"/>
      <c r="K193" s="28">
        <v>1.0</v>
      </c>
      <c r="L193" s="39"/>
      <c r="M193" s="30" t="s">
        <v>22</v>
      </c>
      <c r="N193" s="30"/>
      <c r="O193" s="30"/>
      <c r="P193" s="30"/>
      <c r="Q193" s="30"/>
      <c r="R193" s="12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1647.0</v>
      </c>
      <c r="B194" s="23" t="s">
        <v>654</v>
      </c>
      <c r="C194" s="24" t="s">
        <v>655</v>
      </c>
      <c r="D194" s="42"/>
      <c r="E194" s="48"/>
      <c r="F194" s="48"/>
      <c r="G194" s="48"/>
      <c r="H194" s="47"/>
      <c r="I194" s="47"/>
      <c r="J194" s="47"/>
      <c r="K194" s="28">
        <v>6.0</v>
      </c>
      <c r="L194" s="39"/>
      <c r="M194" s="30" t="s">
        <v>22</v>
      </c>
      <c r="N194" s="33" t="str">
        <f>HYPERLINK("https://scholar.google.com/citations?user=XP2kGDQAAAAJ","https://scholar.google.com/citations?user=XP2kGDQAAAAJ")</f>
        <v>https://scholar.google.com/citations?user=XP2kGDQAAAAJ</v>
      </c>
      <c r="O194" s="30">
        <v>1.0</v>
      </c>
      <c r="P194" s="30">
        <v>1.0</v>
      </c>
      <c r="Q194" s="33" t="str">
        <f>HYPERLINK("https://nure.ua/staff/oksana-mihaylivna-draz","https://nure.ua/staff/oksana-mihaylivna-draz")</f>
        <v>https://nure.ua/staff/oksana-mihaylivna-draz</v>
      </c>
      <c r="R194" s="12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22">
        <v>7123.0</v>
      </c>
      <c r="B195" s="23" t="s">
        <v>656</v>
      </c>
      <c r="C195" s="24" t="s">
        <v>657</v>
      </c>
      <c r="D195" s="42"/>
      <c r="E195" s="48">
        <v>0.0</v>
      </c>
      <c r="F195" s="48">
        <v>0.0</v>
      </c>
      <c r="G195" s="48">
        <v>0.0</v>
      </c>
      <c r="H195" s="47">
        <v>0.0</v>
      </c>
      <c r="I195" s="47">
        <v>0.0</v>
      </c>
      <c r="J195" s="47">
        <v>0.0</v>
      </c>
      <c r="K195" s="28">
        <v>0.0</v>
      </c>
      <c r="L195" s="39" t="s">
        <v>385</v>
      </c>
      <c r="M195" s="30" t="s">
        <v>22</v>
      </c>
      <c r="N195" s="33" t="str">
        <f>HYPERLINK("https://scholar.google.com.ua/citations?user=mdtaK-EAAAAJ&amp;hl","https://scholar.google.com.ua/citations?user=mdtaK-EAAAAJ&amp;hl")</f>
        <v>https://scholar.google.com.ua/citations?user=mdtaK-EAAAAJ&amp;hl</v>
      </c>
      <c r="O195" s="30">
        <v>0.0</v>
      </c>
      <c r="P195" s="30">
        <v>0.0</v>
      </c>
      <c r="Q195" s="33" t="str">
        <f>HYPERLINK("https://nure.ua/staff/irina-valeriyivna-dronova-vartanyan","https://nure.ua/staff/irina-valeriyivna-dronova-vartanyan")</f>
        <v>https://nure.ua/staff/irina-valeriyivna-dronova-vartanyan</v>
      </c>
      <c r="R195" s="12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34">
        <v>7923.0</v>
      </c>
      <c r="B196" s="49" t="s">
        <v>658</v>
      </c>
      <c r="C196" s="89"/>
      <c r="D196" s="36"/>
      <c r="E196" s="50"/>
      <c r="F196" s="50"/>
      <c r="G196" s="50"/>
      <c r="H196" s="51"/>
      <c r="I196" s="51"/>
      <c r="J196" s="51"/>
      <c r="K196" s="38">
        <v>0.0</v>
      </c>
      <c r="L196" s="40"/>
      <c r="M196" s="40" t="s">
        <v>79</v>
      </c>
      <c r="N196" s="40"/>
      <c r="O196" s="40"/>
      <c r="P196" s="40"/>
      <c r="Q196" s="40"/>
      <c r="R196" s="52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22">
        <v>372.0</v>
      </c>
      <c r="B197" s="23" t="s">
        <v>659</v>
      </c>
      <c r="C197" s="24" t="s">
        <v>660</v>
      </c>
      <c r="D197" s="42" t="s">
        <v>661</v>
      </c>
      <c r="E197" s="64">
        <v>17.0</v>
      </c>
      <c r="F197" s="26">
        <v>23.0</v>
      </c>
      <c r="G197" s="26">
        <v>3.0</v>
      </c>
      <c r="H197" s="27">
        <v>8.0</v>
      </c>
      <c r="I197" s="27">
        <v>6.0</v>
      </c>
      <c r="J197" s="27">
        <v>1.0</v>
      </c>
      <c r="K197" s="28">
        <v>36.0</v>
      </c>
      <c r="L197" s="44" t="s">
        <v>41</v>
      </c>
      <c r="M197" s="30" t="s">
        <v>22</v>
      </c>
      <c r="N197" s="33" t="str">
        <f>HYPERLINK("https://scholar.google.com/citations?user=u8UmMIEAAAAJ","https://scholar.google.com/citations?user=u8UmMIEAAAAJ")</f>
        <v>https://scholar.google.com/citations?user=u8UmMIEAAAAJ</v>
      </c>
      <c r="O197" s="30">
        <v>273.0</v>
      </c>
      <c r="P197" s="30">
        <v>8.0</v>
      </c>
      <c r="Q197" s="33" t="str">
        <f>HYPERLINK("https://nure.ua/staff/zoya-volodimirivna-dudar","https://nure.ua/staff/zoya-volodimirivna-dudar")</f>
        <v>https://nure.ua/staff/zoya-volodimirivna-dudar</v>
      </c>
      <c r="R197" s="12" t="s">
        <v>662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4914.0</v>
      </c>
      <c r="B198" s="23" t="s">
        <v>663</v>
      </c>
      <c r="C198" s="24"/>
      <c r="D198" s="42" t="s">
        <v>664</v>
      </c>
      <c r="E198" s="64">
        <v>8.0</v>
      </c>
      <c r="F198" s="26">
        <v>4.0</v>
      </c>
      <c r="G198" s="26">
        <v>1.0</v>
      </c>
      <c r="H198" s="27">
        <v>0.0</v>
      </c>
      <c r="I198" s="27">
        <v>0.0</v>
      </c>
      <c r="J198" s="27">
        <v>0.0</v>
      </c>
      <c r="K198" s="28">
        <v>5.0</v>
      </c>
      <c r="L198" s="39"/>
      <c r="M198" s="30" t="s">
        <v>22</v>
      </c>
      <c r="N198" s="33" t="str">
        <f>HYPERLINK("https://scholar.google.com/citations?user=rOlMy0sAAAAJ","https://scholar.google.com/citations?user=rOlMy0sAAAAJ")</f>
        <v>https://scholar.google.com/citations?user=rOlMy0sAAAAJ</v>
      </c>
      <c r="O198" s="30">
        <v>11.0</v>
      </c>
      <c r="P198" s="30">
        <v>2.0</v>
      </c>
      <c r="Q198" s="33" t="str">
        <f>HYPERLINK("https://nure.ua/staff/oleksandra-oleksandrivna-dudka","https://nure.ua/staff/oleksandra-oleksandrivna-dudka")</f>
        <v>https://nure.ua/staff/oleksandra-oleksandrivna-dudka</v>
      </c>
      <c r="R198" s="63" t="s">
        <v>665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7113.0</v>
      </c>
      <c r="B199" s="23" t="s">
        <v>666</v>
      </c>
      <c r="C199" s="24" t="s">
        <v>667</v>
      </c>
      <c r="D199" s="42" t="s">
        <v>668</v>
      </c>
      <c r="E199" s="26">
        <v>1.0</v>
      </c>
      <c r="F199" s="26">
        <v>11.0</v>
      </c>
      <c r="G199" s="26">
        <v>1.0</v>
      </c>
      <c r="H199" s="27">
        <v>1.0</v>
      </c>
      <c r="I199" s="27">
        <v>0.0</v>
      </c>
      <c r="J199" s="27">
        <v>0.0</v>
      </c>
      <c r="K199" s="58">
        <v>5.0</v>
      </c>
      <c r="L199" s="29"/>
      <c r="M199" s="59" t="s">
        <v>22</v>
      </c>
      <c r="N199" s="60" t="str">
        <f>HYPERLINK("https://scholar.google.com/citations?user=cENJVaIAAAAJ&amp;hl=ru","https://scholar.google.com/citations?user=cENJVaIAAAAJ&amp;hl=ru")</f>
        <v>https://scholar.google.com/citations?user=cENJVaIAAAAJ&amp;hl=ru</v>
      </c>
      <c r="O199" s="59">
        <v>0.0</v>
      </c>
      <c r="P199" s="59">
        <v>0.0</v>
      </c>
      <c r="Q199" s="60" t="str">
        <f>HYPERLINK("https://nure.ua/staff/yana-viktorivna-duh","https://nure.ua/staff/yana-viktorivna-duh")</f>
        <v>https://nure.ua/staff/yana-viktorivna-duh</v>
      </c>
      <c r="R199" s="63" t="s">
        <v>669</v>
      </c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7943.0</v>
      </c>
      <c r="B200" s="23" t="s">
        <v>670</v>
      </c>
      <c r="C200" s="24"/>
      <c r="D200" s="42"/>
      <c r="E200" s="50"/>
      <c r="F200" s="50"/>
      <c r="G200" s="50"/>
      <c r="H200" s="47"/>
      <c r="I200" s="47"/>
      <c r="J200" s="47"/>
      <c r="K200" s="28">
        <v>0.0</v>
      </c>
      <c r="L200" s="39" t="s">
        <v>91</v>
      </c>
      <c r="M200" s="30" t="s">
        <v>22</v>
      </c>
      <c r="N200" s="30"/>
      <c r="O200" s="30"/>
      <c r="P200" s="30"/>
      <c r="Q200" s="30"/>
      <c r="R200" s="12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5038.0</v>
      </c>
      <c r="B201" s="23" t="s">
        <v>671</v>
      </c>
      <c r="C201" s="24" t="s">
        <v>672</v>
      </c>
      <c r="D201" s="42" t="s">
        <v>673</v>
      </c>
      <c r="E201" s="26">
        <v>4.0</v>
      </c>
      <c r="F201" s="26">
        <v>14.0</v>
      </c>
      <c r="G201" s="26">
        <v>2.0</v>
      </c>
      <c r="H201" s="47">
        <v>0.0</v>
      </c>
      <c r="I201" s="47">
        <v>0.0</v>
      </c>
      <c r="J201" s="47">
        <v>0.0</v>
      </c>
      <c r="K201" s="28">
        <v>5.0</v>
      </c>
      <c r="L201" s="29" t="s">
        <v>71</v>
      </c>
      <c r="M201" s="30" t="s">
        <v>22</v>
      </c>
      <c r="N201" s="33" t="str">
        <f>HYPERLINK("https://scholar.google.com/citations?user=dC3YvlwAAAAJ","https://scholar.google.com/citations?user=dC3YvlwAAAAJ")</f>
        <v>https://scholar.google.com/citations?user=dC3YvlwAAAAJ</v>
      </c>
      <c r="O201" s="30">
        <v>33.0</v>
      </c>
      <c r="P201" s="30">
        <v>4.0</v>
      </c>
      <c r="Q201" s="33" t="str">
        <f>HYPERLINK("https://nure.ua/staff/vladislav-oleksandrovich-djachenko","https://nure.ua/staff/vladislav-oleksandrovich-djachenko")</f>
        <v>https://nure.ua/staff/vladislav-oleksandrovich-djachenko</v>
      </c>
      <c r="R201" s="63" t="s">
        <v>674</v>
      </c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22">
        <v>7394.0</v>
      </c>
      <c r="B202" s="23" t="s">
        <v>675</v>
      </c>
      <c r="C202" s="24"/>
      <c r="D202" s="42"/>
      <c r="E202" s="48"/>
      <c r="F202" s="48"/>
      <c r="G202" s="48"/>
      <c r="H202" s="47"/>
      <c r="I202" s="47"/>
      <c r="J202" s="47"/>
      <c r="K202" s="28">
        <v>0.0</v>
      </c>
      <c r="L202" s="29"/>
      <c r="M202" s="30" t="s">
        <v>22</v>
      </c>
      <c r="N202" s="30"/>
      <c r="O202" s="30"/>
      <c r="P202" s="30"/>
      <c r="Q202" s="30"/>
      <c r="R202" s="12"/>
      <c r="S202" s="13"/>
      <c r="T202" s="13"/>
      <c r="U202" s="13"/>
      <c r="V202" s="13"/>
      <c r="W202" s="13"/>
      <c r="X202" s="13"/>
      <c r="Y202" s="13"/>
      <c r="Z202" s="13"/>
    </row>
    <row r="203" ht="18.75" customHeight="1">
      <c r="A203" s="22">
        <v>5794.0</v>
      </c>
      <c r="B203" s="23" t="s">
        <v>676</v>
      </c>
      <c r="C203" s="24" t="s">
        <v>677</v>
      </c>
      <c r="D203" s="42" t="s">
        <v>678</v>
      </c>
      <c r="E203" s="26">
        <v>72.0</v>
      </c>
      <c r="F203" s="26">
        <v>238.0</v>
      </c>
      <c r="G203" s="26">
        <v>9.0</v>
      </c>
      <c r="H203" s="27">
        <v>14.0</v>
      </c>
      <c r="I203" s="27">
        <v>6.0</v>
      </c>
      <c r="J203" s="27">
        <v>2.0</v>
      </c>
      <c r="K203" s="28">
        <v>18.0</v>
      </c>
      <c r="L203" s="29" t="s">
        <v>36</v>
      </c>
      <c r="M203" s="30" t="s">
        <v>22</v>
      </c>
      <c r="N203" s="33" t="str">
        <f>HYPERLINK("https://scholar.google.com/citations?user=UqiO84MAAAAJ","https://scholar.google.com/citations?user=UqiO84MAAAAJ")</f>
        <v>https://scholar.google.com/citations?user=UqiO84MAAAAJ</v>
      </c>
      <c r="O203" s="30">
        <v>195.0</v>
      </c>
      <c r="P203" s="30">
        <v>8.0</v>
      </c>
      <c r="Q203" s="33" t="str">
        <f>HYPERLINK("https://nure.ua/staff/marina-oleksandrivna-yevdokimenko","https://nure.ua/staff/marina-oleksandrivna-yevdokimenko")</f>
        <v>https://nure.ua/staff/marina-oleksandrivna-yevdokimenko</v>
      </c>
      <c r="R203" s="63" t="s">
        <v>679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17.0</v>
      </c>
      <c r="B204" s="23" t="s">
        <v>680</v>
      </c>
      <c r="C204" s="24" t="s">
        <v>681</v>
      </c>
      <c r="D204" s="42" t="s">
        <v>682</v>
      </c>
      <c r="E204" s="26">
        <v>10.0</v>
      </c>
      <c r="F204" s="26">
        <v>22.0</v>
      </c>
      <c r="G204" s="26">
        <v>3.0</v>
      </c>
      <c r="H204" s="47"/>
      <c r="I204" s="47"/>
      <c r="J204" s="47"/>
      <c r="K204" s="28">
        <v>82.0</v>
      </c>
      <c r="L204" s="44" t="s">
        <v>218</v>
      </c>
      <c r="M204" s="30" t="s">
        <v>22</v>
      </c>
      <c r="N204" s="33" t="str">
        <f>HYPERLINK("https://scholar.google.com/citations?user=0nW8LrIAAAAJ","https://scholar.google.com/citations?user=0nW8LrIAAAAJ")</f>
        <v>https://scholar.google.com/citations?user=0nW8LrIAAAAJ</v>
      </c>
      <c r="O204" s="30">
        <v>209.0</v>
      </c>
      <c r="P204" s="30">
        <v>6.0</v>
      </c>
      <c r="Q204" s="33" t="str">
        <f>HYPERLINK("https://nure.ua/staff/maksim-viktorovich-yevlanov","https://nure.ua/staff/maksim-viktorovich-yevlanov")</f>
        <v>https://nure.ua/staff/maksim-viktorovich-yevlanov</v>
      </c>
      <c r="R204" s="63" t="s">
        <v>683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1704.0</v>
      </c>
      <c r="B205" s="23" t="s">
        <v>684</v>
      </c>
      <c r="C205" s="24" t="s">
        <v>685</v>
      </c>
      <c r="D205" s="42" t="s">
        <v>686</v>
      </c>
      <c r="E205" s="26">
        <v>13.0</v>
      </c>
      <c r="F205" s="26">
        <v>16.0</v>
      </c>
      <c r="G205" s="26">
        <v>3.0</v>
      </c>
      <c r="H205" s="27">
        <v>4.0</v>
      </c>
      <c r="I205" s="27">
        <v>1.0</v>
      </c>
      <c r="J205" s="27">
        <v>1.0</v>
      </c>
      <c r="K205" s="28">
        <v>23.0</v>
      </c>
      <c r="L205" s="44" t="s">
        <v>60</v>
      </c>
      <c r="M205" s="30" t="s">
        <v>22</v>
      </c>
      <c r="N205" s="33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5" s="30">
        <v>67.0</v>
      </c>
      <c r="P205" s="30">
        <v>4.0</v>
      </c>
      <c r="Q205" s="33" t="str">
        <f>HYPERLINK("https://nure.ua/staff/vladislav-v-yacheslavovich-yevsyeyev","https://nure.ua/staff/vladislav-v-yacheslavovich-yevsyeyev")</f>
        <v>https://nure.ua/staff/vladislav-v-yacheslavovich-yevsyeyev</v>
      </c>
      <c r="R205" s="63" t="s">
        <v>687</v>
      </c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22">
        <v>529.0</v>
      </c>
      <c r="B206" s="23" t="s">
        <v>688</v>
      </c>
      <c r="C206" s="24"/>
      <c r="D206" s="42"/>
      <c r="E206" s="48"/>
      <c r="F206" s="48"/>
      <c r="G206" s="48"/>
      <c r="H206" s="47"/>
      <c r="I206" s="47"/>
      <c r="J206" s="47"/>
      <c r="K206" s="28">
        <v>5.0</v>
      </c>
      <c r="L206" s="44" t="s">
        <v>171</v>
      </c>
      <c r="M206" s="30" t="s">
        <v>22</v>
      </c>
      <c r="N206" s="30"/>
      <c r="O206" s="30"/>
      <c r="P206" s="30"/>
      <c r="Q206" s="33" t="str">
        <f>HYPERLINK("https://nure.ua/staff/mikola-dmitrovich-yevstratov","https://nure.ua/staff/mikola-dmitrovich-yevstratov")</f>
        <v>https://nure.ua/staff/mikola-dmitrovich-yevstratov</v>
      </c>
      <c r="R206" s="12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34">
        <v>5117.0</v>
      </c>
      <c r="B207" s="49" t="s">
        <v>689</v>
      </c>
      <c r="C207" s="35" t="s">
        <v>690</v>
      </c>
      <c r="D207" s="36"/>
      <c r="E207" s="48"/>
      <c r="F207" s="48"/>
      <c r="G207" s="48"/>
      <c r="H207" s="51"/>
      <c r="I207" s="51"/>
      <c r="J207" s="51"/>
      <c r="K207" s="38">
        <v>1.0</v>
      </c>
      <c r="L207" s="40" t="s">
        <v>116</v>
      </c>
      <c r="M207" s="40" t="s">
        <v>79</v>
      </c>
      <c r="N207" s="41" t="str">
        <f>HYPERLINK("https://scholar.google.com/citations?user=V3w8S_UAAAAJ","https://scholar.google.com/citations?user=V3w8S_UAAAAJ")</f>
        <v>https://scholar.google.com/citations?user=V3w8S_UAAAAJ</v>
      </c>
      <c r="O207" s="40">
        <v>7.0</v>
      </c>
      <c r="P207" s="40">
        <v>2.0</v>
      </c>
      <c r="Q207" s="41" t="str">
        <f>HYPERLINK("https://nure.ua/staff/onisiya-gennadiyivna-yevsyukova","https://nure.ua/staff/onisiya-gennadiyivna-yevsyukova")</f>
        <v>https://nure.ua/staff/onisiya-gennadiyivna-yevsyukova</v>
      </c>
      <c r="R207" s="52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22">
        <v>369.0</v>
      </c>
      <c r="B208" s="23" t="s">
        <v>691</v>
      </c>
      <c r="C208" s="24" t="s">
        <v>692</v>
      </c>
      <c r="D208" s="42" t="s">
        <v>693</v>
      </c>
      <c r="E208" s="26">
        <v>5.0</v>
      </c>
      <c r="F208" s="26">
        <v>5.0</v>
      </c>
      <c r="G208" s="26">
        <v>1.0</v>
      </c>
      <c r="H208" s="27">
        <v>3.0</v>
      </c>
      <c r="I208" s="27">
        <v>2.0</v>
      </c>
      <c r="J208" s="27">
        <v>1.0</v>
      </c>
      <c r="K208" s="58">
        <v>14.0</v>
      </c>
      <c r="L208" s="29" t="s">
        <v>594</v>
      </c>
      <c r="M208" s="59" t="s">
        <v>22</v>
      </c>
      <c r="N208" s="60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8" s="59">
        <v>4.0</v>
      </c>
      <c r="P208" s="59">
        <v>1.0</v>
      </c>
      <c r="Q208" s="60" t="str">
        <f>HYPERLINK("https://nure.ua/staff/andrij-borisovich-iegorov","https://nure.ua/staff/andrij-borisovich-iegorov")</f>
        <v>https://nure.ua/staff/andrij-borisovich-iegorov</v>
      </c>
      <c r="R208" s="12" t="s">
        <v>694</v>
      </c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813.0</v>
      </c>
      <c r="B209" s="23" t="s">
        <v>695</v>
      </c>
      <c r="C209" s="24" t="s">
        <v>696</v>
      </c>
      <c r="D209" s="42"/>
      <c r="E209" s="48">
        <v>0.0</v>
      </c>
      <c r="F209" s="48">
        <v>0.0</v>
      </c>
      <c r="G209" s="48">
        <v>0.0</v>
      </c>
      <c r="H209" s="47">
        <v>0.0</v>
      </c>
      <c r="I209" s="47">
        <v>0.0</v>
      </c>
      <c r="J209" s="47">
        <v>0.0</v>
      </c>
      <c r="K209" s="28">
        <v>6.0</v>
      </c>
      <c r="L209" s="44" t="s">
        <v>171</v>
      </c>
      <c r="M209" s="30" t="s">
        <v>22</v>
      </c>
      <c r="N209" s="33" t="str">
        <f>HYPERLINK("https://scholar.google.com.ua/citations?user=e6aRKvIAAAAJ&amp;hl","https://scholar.google.com.ua/citations?user=e6aRKvIAAAAJ&amp;hl")</f>
        <v>https://scholar.google.com.ua/citations?user=e6aRKvIAAAAJ&amp;hl</v>
      </c>
      <c r="O209" s="30">
        <v>34.0</v>
      </c>
      <c r="P209" s="30">
        <v>4.0</v>
      </c>
      <c r="Q209" s="33" t="str">
        <f>HYPERLINK("https://nure.ua/staff/irina-mikolayivna-yegorova","https://nure.ua/staff/irina-mikolayivna-yegorova")</f>
        <v>https://nure.ua/staff/irina-mikolayivna-yegorova</v>
      </c>
      <c r="R209" s="12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1137.0</v>
      </c>
      <c r="B210" s="23" t="s">
        <v>697</v>
      </c>
      <c r="C210" s="24" t="s">
        <v>698</v>
      </c>
      <c r="D210" s="42"/>
      <c r="E210" s="48"/>
      <c r="F210" s="48"/>
      <c r="G210" s="48"/>
      <c r="H210" s="47"/>
      <c r="I210" s="47"/>
      <c r="J210" s="47"/>
      <c r="K210" s="28">
        <v>6.0</v>
      </c>
      <c r="L210" s="44" t="s">
        <v>144</v>
      </c>
      <c r="M210" s="30" t="s">
        <v>22</v>
      </c>
      <c r="N210" s="33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10" s="30">
        <v>0.0</v>
      </c>
      <c r="P210" s="30">
        <v>0.0</v>
      </c>
      <c r="Q210" s="33" t="str">
        <f>HYPERLINK("https://nure.ua/staff/viktor-vasilovich-yemelyanov","https://nure.ua/staff/viktor-vasilovich-yemelyanov")</f>
        <v>https://nure.ua/staff/viktor-vasilovich-yemelyanov</v>
      </c>
      <c r="R210" s="12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4787.0</v>
      </c>
      <c r="B211" s="23" t="s">
        <v>699</v>
      </c>
      <c r="C211" s="24" t="s">
        <v>700</v>
      </c>
      <c r="D211" s="42"/>
      <c r="E211" s="48"/>
      <c r="F211" s="48"/>
      <c r="G211" s="48"/>
      <c r="H211" s="47"/>
      <c r="I211" s="47"/>
      <c r="J211" s="47"/>
      <c r="K211" s="28">
        <v>6.0</v>
      </c>
      <c r="L211" s="29" t="s">
        <v>36</v>
      </c>
      <c r="M211" s="30" t="s">
        <v>22</v>
      </c>
      <c r="N211" s="33" t="str">
        <f>HYPERLINK("https://scholar.google.com/citations?user=aeyjZxYAAAAJ","https://scholar.google.com/citations?user=aeyjZxYAAAAJ")</f>
        <v>https://scholar.google.com/citations?user=aeyjZxYAAAAJ</v>
      </c>
      <c r="O211" s="30">
        <v>0.0</v>
      </c>
      <c r="P211" s="30">
        <v>0.0</v>
      </c>
      <c r="Q211" s="33" t="str">
        <f>HYPERLINK("https://nure.ua/staff/sergiy-oleksiyovich-yepishkin","https://nure.ua/staff/sergiy-oleksiyovich-yepishkin")</f>
        <v>https://nure.ua/staff/sergiy-oleksiyovich-yepishkin</v>
      </c>
      <c r="R211" s="12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22">
        <v>4916.0</v>
      </c>
      <c r="B212" s="23" t="s">
        <v>701</v>
      </c>
      <c r="C212" s="24" t="s">
        <v>702</v>
      </c>
      <c r="D212" s="42" t="s">
        <v>703</v>
      </c>
      <c r="E212" s="26">
        <v>96.0</v>
      </c>
      <c r="F212" s="26">
        <v>615.0</v>
      </c>
      <c r="G212" s="26">
        <v>15.0</v>
      </c>
      <c r="H212" s="27">
        <v>37.0</v>
      </c>
      <c r="I212" s="27">
        <v>105.0</v>
      </c>
      <c r="J212" s="27">
        <v>7.0</v>
      </c>
      <c r="K212" s="28">
        <v>62.0</v>
      </c>
      <c r="L212" s="29" t="s">
        <v>36</v>
      </c>
      <c r="M212" s="30" t="s">
        <v>22</v>
      </c>
      <c r="N212" s="33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2" s="30">
        <v>744.0</v>
      </c>
      <c r="P212" s="30">
        <v>15.0</v>
      </c>
      <c r="Q212" s="33" t="str">
        <f>HYPERLINK("https://nure.ua/staff/oleksandra-sergiyivna-yeremenko","https://nure.ua/staff/oleksandra-sergiyivna-yeremenko")</f>
        <v>https://nure.ua/staff/oleksandra-sergiyivna-yeremenko</v>
      </c>
      <c r="R212" s="63" t="s">
        <v>704</v>
      </c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34">
        <v>7237.0</v>
      </c>
      <c r="B213" s="49" t="s">
        <v>705</v>
      </c>
      <c r="C213" s="35"/>
      <c r="D213" s="36"/>
      <c r="E213" s="48"/>
      <c r="F213" s="48"/>
      <c r="G213" s="48"/>
      <c r="H213" s="51"/>
      <c r="I213" s="51"/>
      <c r="J213" s="51"/>
      <c r="K213" s="38">
        <v>0.0</v>
      </c>
      <c r="L213" s="40" t="s">
        <v>78</v>
      </c>
      <c r="M213" s="40" t="s">
        <v>79</v>
      </c>
      <c r="N213" s="41" t="str">
        <f t="shared" ref="N213:N214" si="1">HYPERLINK("https://scholar.google.com/citations?user=Dqbw-E0AAAAJ","https://scholar.google.com/citations?user=Dqbw-E0AAAAJ")</f>
        <v>https://scholar.google.com/citations?user=Dqbw-E0AAAAJ</v>
      </c>
      <c r="O213" s="40">
        <v>137.0</v>
      </c>
      <c r="P213" s="40">
        <v>6.0</v>
      </c>
      <c r="Q213" s="41" t="str">
        <f t="shared" ref="Q213:Q214" si="2">HYPERLINK("https://nure.ua/staff/andriy-leonidovich-yerohin","https://nure.ua/staff/andriy-leonidovich-yerohin")</f>
        <v>https://nure.ua/staff/andriy-leonidovich-yerohin</v>
      </c>
      <c r="R213" s="52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22">
        <v>106.0</v>
      </c>
      <c r="B214" s="23" t="s">
        <v>706</v>
      </c>
      <c r="C214" s="24" t="s">
        <v>707</v>
      </c>
      <c r="D214" s="42" t="s">
        <v>708</v>
      </c>
      <c r="E214" s="26">
        <v>21.0</v>
      </c>
      <c r="F214" s="26">
        <v>37.0</v>
      </c>
      <c r="G214" s="26">
        <v>4.0</v>
      </c>
      <c r="H214" s="27">
        <v>9.0</v>
      </c>
      <c r="I214" s="27">
        <v>8.0</v>
      </c>
      <c r="J214" s="27">
        <v>2.0</v>
      </c>
      <c r="K214" s="28">
        <v>34.0</v>
      </c>
      <c r="L214" s="44" t="s">
        <v>41</v>
      </c>
      <c r="M214" s="30" t="s">
        <v>22</v>
      </c>
      <c r="N214" s="33" t="str">
        <f t="shared" si="1"/>
        <v>https://scholar.google.com/citations?user=Dqbw-E0AAAAJ</v>
      </c>
      <c r="O214" s="30">
        <v>137.0</v>
      </c>
      <c r="P214" s="30">
        <v>6.0</v>
      </c>
      <c r="Q214" s="33" t="str">
        <f t="shared" si="2"/>
        <v>https://nure.ua/staff/andriy-leonidovich-yerohin</v>
      </c>
      <c r="R214" s="63" t="s">
        <v>709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/>
      <c r="B215" s="23" t="s">
        <v>710</v>
      </c>
      <c r="C215" s="24" t="s">
        <v>711</v>
      </c>
      <c r="D215" s="42"/>
      <c r="E215" s="48"/>
      <c r="F215" s="48"/>
      <c r="G215" s="48"/>
      <c r="H215" s="47"/>
      <c r="I215" s="47"/>
      <c r="J215" s="47"/>
      <c r="K215" s="28"/>
      <c r="L215" s="29" t="s">
        <v>71</v>
      </c>
      <c r="M215" s="30" t="s">
        <v>22</v>
      </c>
      <c r="N215" s="33" t="str">
        <f>HYPERLINK("https://scholar.google.ru/citations?hl=ru&amp;user=znSveekAAAAJ","https://scholar.google.ru/citations?hl=ru&amp;user=znSveekAAAAJ")</f>
        <v>https://scholar.google.ru/citations?hl=ru&amp;user=znSveekAAAAJ</v>
      </c>
      <c r="O215" s="30">
        <v>16.0</v>
      </c>
      <c r="P215" s="30">
        <v>2.0</v>
      </c>
      <c r="Q215" s="33" t="str">
        <f>HYPERLINK("https://nure.ua/staff/olga-arturivna-ieroshenko","https://nure.ua/staff/olga-arturivna-ieroshenko")</f>
        <v>https://nure.ua/staff/olga-arturivna-ieroshenko</v>
      </c>
      <c r="R215" s="12" t="s">
        <v>712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7637.0</v>
      </c>
      <c r="B216" s="23" t="s">
        <v>713</v>
      </c>
      <c r="C216" s="24" t="s">
        <v>714</v>
      </c>
      <c r="D216" s="42" t="s">
        <v>715</v>
      </c>
      <c r="E216" s="26">
        <v>10.0</v>
      </c>
      <c r="F216" s="26">
        <v>36.0</v>
      </c>
      <c r="G216" s="26">
        <v>4.0</v>
      </c>
      <c r="H216" s="47"/>
      <c r="I216" s="47"/>
      <c r="J216" s="47"/>
      <c r="K216" s="28">
        <v>1.0</v>
      </c>
      <c r="L216" s="29" t="s">
        <v>71</v>
      </c>
      <c r="M216" s="30" t="s">
        <v>22</v>
      </c>
      <c r="N216" s="33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6" s="30">
        <v>35.0</v>
      </c>
      <c r="P216" s="30">
        <v>3.0</v>
      </c>
      <c r="Q216" s="30"/>
      <c r="R216" s="63" t="s">
        <v>716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223.0</v>
      </c>
      <c r="B217" s="23" t="s">
        <v>717</v>
      </c>
      <c r="C217" s="24" t="s">
        <v>718</v>
      </c>
      <c r="D217" s="42" t="s">
        <v>719</v>
      </c>
      <c r="E217" s="26">
        <v>4.0</v>
      </c>
      <c r="F217" s="26">
        <v>3.0</v>
      </c>
      <c r="G217" s="26">
        <v>1.0</v>
      </c>
      <c r="H217" s="27">
        <v>0.0</v>
      </c>
      <c r="I217" s="27">
        <v>0.0</v>
      </c>
      <c r="J217" s="27">
        <v>0.0</v>
      </c>
      <c r="K217" s="28">
        <v>4.0</v>
      </c>
      <c r="L217" s="44" t="s">
        <v>428</v>
      </c>
      <c r="M217" s="30" t="s">
        <v>22</v>
      </c>
      <c r="N217" s="33" t="str">
        <f>HYPERLINK("https://scholar.google.com.ua/citations?user=kXWtobgAAAAJ","https://scholar.google.com.ua/citations?user=kXWtobgAAAAJ")</f>
        <v>https://scholar.google.com.ua/citations?user=kXWtobgAAAAJ</v>
      </c>
      <c r="O217" s="30">
        <v>31.0</v>
      </c>
      <c r="P217" s="30">
        <v>4.0</v>
      </c>
      <c r="Q217" s="33" t="str">
        <f>HYPERLINK("https://nure.ua/staff/valentin-semenovich-yesilevskiy","https://nure.ua/staff/valentin-semenovich-yesilevskiy")</f>
        <v>https://nure.ua/staff/valentin-semenovich-yesilevskiy</v>
      </c>
      <c r="R217" s="63" t="s">
        <v>720</v>
      </c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6431.0</v>
      </c>
      <c r="B218" s="23" t="s">
        <v>721</v>
      </c>
      <c r="C218" s="24" t="s">
        <v>722</v>
      </c>
      <c r="D218" s="42"/>
      <c r="E218" s="48"/>
      <c r="F218" s="48"/>
      <c r="G218" s="48"/>
      <c r="H218" s="47"/>
      <c r="I218" s="47"/>
      <c r="J218" s="47"/>
      <c r="K218" s="28">
        <v>0.0</v>
      </c>
      <c r="L218" s="39" t="s">
        <v>91</v>
      </c>
      <c r="M218" s="30" t="s">
        <v>22</v>
      </c>
      <c r="N218" s="30"/>
      <c r="O218" s="30"/>
      <c r="P218" s="30"/>
      <c r="Q218" s="33" t="str">
        <f>HYPERLINK("https://nure.ua/staff/ieshhenko-julija-fedorivna","https://nure.ua/staff/ieshhenko-julija-fedorivna")</f>
        <v>https://nure.ua/staff/ieshhenko-julija-fedorivna</v>
      </c>
      <c r="R218" s="12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2224.0</v>
      </c>
      <c r="B219" s="23" t="s">
        <v>723</v>
      </c>
      <c r="C219" s="24" t="s">
        <v>724</v>
      </c>
      <c r="D219" s="42" t="s">
        <v>725</v>
      </c>
      <c r="E219" s="26">
        <v>4.0</v>
      </c>
      <c r="F219" s="26">
        <v>1.0</v>
      </c>
      <c r="G219" s="26">
        <v>1.0</v>
      </c>
      <c r="H219" s="27">
        <v>1.0</v>
      </c>
      <c r="I219" s="27">
        <v>0.0</v>
      </c>
      <c r="J219" s="27">
        <v>0.0</v>
      </c>
      <c r="K219" s="28">
        <v>40.0</v>
      </c>
      <c r="L219" s="29" t="s">
        <v>21</v>
      </c>
      <c r="M219" s="30" t="s">
        <v>22</v>
      </c>
      <c r="N219" s="33" t="str">
        <f>HYPERLINK("https://scholar.google.com/citations?user=reZK7dkAAAAJ","https://scholar.google.com/citations?user=reZK7dkAAAAJ")</f>
        <v>https://scholar.google.com/citations?user=reZK7dkAAAAJ</v>
      </c>
      <c r="O219" s="30">
        <v>67.0</v>
      </c>
      <c r="P219" s="30">
        <v>4.0</v>
      </c>
      <c r="Q219" s="33" t="str">
        <f>HYPERLINK("https://nure.ua/staff/tetyana-volodimirivna-zhemchuzhkina","https://nure.ua/staff/tetyana-volodimirivna-zhemchuzhkina")</f>
        <v>https://nure.ua/staff/tetyana-volodimirivna-zhemchuzhkina</v>
      </c>
      <c r="R219" s="63" t="s">
        <v>726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4848.0</v>
      </c>
      <c r="B220" s="23" t="s">
        <v>727</v>
      </c>
      <c r="C220" s="24" t="s">
        <v>728</v>
      </c>
      <c r="D220" s="42" t="s">
        <v>729</v>
      </c>
      <c r="E220" s="26">
        <v>10.0</v>
      </c>
      <c r="F220" s="26">
        <v>17.0</v>
      </c>
      <c r="G220" s="26">
        <v>3.0</v>
      </c>
      <c r="H220" s="27">
        <v>3.0</v>
      </c>
      <c r="I220" s="27">
        <v>4.0</v>
      </c>
      <c r="J220" s="27">
        <v>1.0</v>
      </c>
      <c r="K220" s="28">
        <v>8.0</v>
      </c>
      <c r="L220" s="44" t="s">
        <v>137</v>
      </c>
      <c r="M220" s="30" t="s">
        <v>22</v>
      </c>
      <c r="N220" s="33" t="str">
        <f>HYPERLINK("https://scholar.google.com/citations?user=nADejfQAAAAJ","https://scholar.google.com/citations?user=nADejfQAAAAJ")</f>
        <v>https://scholar.google.com/citations?user=nADejfQAAAAJ</v>
      </c>
      <c r="O220" s="30">
        <v>26.0</v>
      </c>
      <c r="P220" s="30">
        <v>4.0</v>
      </c>
      <c r="Q220" s="33" t="str">
        <f>HYPERLINK("https://nure.ua/staff/polina-yevgeniyivna-zhernova","https://nure.ua/staff/polina-yevgeniyivna-zhernova")</f>
        <v>https://nure.ua/staff/polina-yevgeniyivna-zhernova</v>
      </c>
      <c r="R220" s="63" t="s">
        <v>730</v>
      </c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729.0</v>
      </c>
      <c r="B221" s="23" t="s">
        <v>731</v>
      </c>
      <c r="C221" s="24" t="s">
        <v>732</v>
      </c>
      <c r="D221" s="42"/>
      <c r="E221" s="48"/>
      <c r="F221" s="48"/>
      <c r="G221" s="48"/>
      <c r="H221" s="47"/>
      <c r="I221" s="47"/>
      <c r="J221" s="47"/>
      <c r="K221" s="28">
        <v>13.0</v>
      </c>
      <c r="L221" s="44" t="s">
        <v>120</v>
      </c>
      <c r="M221" s="30" t="s">
        <v>22</v>
      </c>
      <c r="N221" s="33" t="str">
        <f>HYPERLINK("https://scholar.google.com/citations?user=d2U5q3YAAAAJ","https://scholar.google.com/citations?user=d2U5q3YAAAAJ")</f>
        <v>https://scholar.google.com/citations?user=d2U5q3YAAAAJ</v>
      </c>
      <c r="O221" s="30">
        <v>65.0</v>
      </c>
      <c r="P221" s="30">
        <v>3.0</v>
      </c>
      <c r="Q221" s="33" t="str">
        <f>HYPERLINK("https://nure.ua/staff/oksana-olegivna-zhidkova","https://nure.ua/staff/oksana-olegivna-zhidkova")</f>
        <v>https://nure.ua/staff/oksana-olegivna-zhidkova</v>
      </c>
      <c r="R221" s="12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>
        <v>6642.0</v>
      </c>
      <c r="B222" s="23" t="s">
        <v>733</v>
      </c>
      <c r="C222" s="24" t="s">
        <v>734</v>
      </c>
      <c r="D222" s="42" t="s">
        <v>735</v>
      </c>
      <c r="E222" s="26">
        <v>10.0</v>
      </c>
      <c r="F222" s="26">
        <v>8.0</v>
      </c>
      <c r="G222" s="26">
        <v>1.0</v>
      </c>
      <c r="H222" s="27">
        <v>8.0</v>
      </c>
      <c r="I222" s="27">
        <v>1.0</v>
      </c>
      <c r="J222" s="27">
        <v>1.0</v>
      </c>
      <c r="K222" s="28">
        <v>1.0</v>
      </c>
      <c r="L222" s="56" t="s">
        <v>94</v>
      </c>
      <c r="M222" s="30"/>
      <c r="N222" s="30"/>
      <c r="O222" s="30"/>
      <c r="P222" s="30"/>
      <c r="Q222" s="30"/>
      <c r="R222" s="63" t="s">
        <v>736</v>
      </c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/>
      <c r="B223" s="23" t="s">
        <v>737</v>
      </c>
      <c r="C223" s="24" t="s">
        <v>738</v>
      </c>
      <c r="D223" s="42"/>
      <c r="E223" s="48"/>
      <c r="F223" s="48"/>
      <c r="G223" s="48"/>
      <c r="H223" s="27"/>
      <c r="I223" s="27"/>
      <c r="J223" s="27"/>
      <c r="K223" s="28"/>
      <c r="L223" s="90"/>
      <c r="M223" s="30"/>
      <c r="N223" s="30"/>
      <c r="O223" s="30"/>
      <c r="P223" s="30"/>
      <c r="Q223" s="30"/>
      <c r="R223" s="12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4393.0</v>
      </c>
      <c r="B224" s="23" t="s">
        <v>739</v>
      </c>
      <c r="C224" s="24" t="s">
        <v>740</v>
      </c>
      <c r="D224" s="42" t="s">
        <v>741</v>
      </c>
      <c r="E224" s="26">
        <v>29.0</v>
      </c>
      <c r="F224" s="26">
        <v>273.0</v>
      </c>
      <c r="G224" s="26">
        <v>8.0</v>
      </c>
      <c r="H224" s="27">
        <v>25.0</v>
      </c>
      <c r="I224" s="27">
        <v>133.0</v>
      </c>
      <c r="J224" s="27">
        <v>5.0</v>
      </c>
      <c r="K224" s="28">
        <v>15.0</v>
      </c>
      <c r="L224" s="29" t="s">
        <v>21</v>
      </c>
      <c r="M224" s="30" t="s">
        <v>22</v>
      </c>
      <c r="N224" s="33" t="str">
        <f>HYPERLINK("https://scholar.google.com/citations?user=0T76MRcAAAAJ","https://scholar.google.com/citations?user=0T76MRcAAAAJ")</f>
        <v>https://scholar.google.com/citations?user=0T76MRcAAAAJ</v>
      </c>
      <c r="O224" s="30">
        <v>212.0</v>
      </c>
      <c r="P224" s="30">
        <v>7.0</v>
      </c>
      <c r="Q224" s="33" t="str">
        <f>HYPERLINK("https://nure.ua/staff/jurij-timofeevich-zholudov","https://nure.ua/staff/jurij-timofeevich-zholudov")</f>
        <v>https://nure.ua/staff/jurij-timofeevich-zholudov</v>
      </c>
      <c r="R224" s="63" t="s">
        <v>742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>
        <v>4174.0</v>
      </c>
      <c r="B225" s="23" t="s">
        <v>743</v>
      </c>
      <c r="C225" s="24"/>
      <c r="D225" s="42" t="s">
        <v>744</v>
      </c>
      <c r="E225" s="26">
        <v>6.0</v>
      </c>
      <c r="F225" s="26">
        <v>8.0</v>
      </c>
      <c r="G225" s="26">
        <v>2.0</v>
      </c>
      <c r="H225" s="47"/>
      <c r="I225" s="47"/>
      <c r="J225" s="47"/>
      <c r="K225" s="28">
        <v>0.0</v>
      </c>
      <c r="L225" s="29" t="s">
        <v>36</v>
      </c>
      <c r="M225" s="30" t="s">
        <v>22</v>
      </c>
      <c r="N225" s="33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5" s="30">
        <v>61.0</v>
      </c>
      <c r="P225" s="30">
        <v>3.0</v>
      </c>
      <c r="Q225" s="30"/>
      <c r="R225" s="63" t="s">
        <v>745</v>
      </c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/>
      <c r="B226" s="23" t="s">
        <v>746</v>
      </c>
      <c r="C226" s="24"/>
      <c r="D226" s="42"/>
      <c r="E226" s="48"/>
      <c r="F226" s="48"/>
      <c r="G226" s="48"/>
      <c r="H226" s="27"/>
      <c r="I226" s="27"/>
      <c r="J226" s="27"/>
      <c r="K226" s="28"/>
      <c r="L226" s="29" t="s">
        <v>71</v>
      </c>
      <c r="M226" s="30" t="s">
        <v>22</v>
      </c>
      <c r="N226" s="30"/>
      <c r="O226" s="30"/>
      <c r="P226" s="30"/>
      <c r="Q226" s="30"/>
      <c r="R226" s="12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1242.0</v>
      </c>
      <c r="B227" s="23" t="s">
        <v>747</v>
      </c>
      <c r="C227" s="24"/>
      <c r="D227" s="42" t="s">
        <v>748</v>
      </c>
      <c r="E227" s="26">
        <v>2.0</v>
      </c>
      <c r="F227" s="26">
        <v>0.0</v>
      </c>
      <c r="G227" s="26">
        <v>0.0</v>
      </c>
      <c r="H227" s="27"/>
      <c r="I227" s="27"/>
      <c r="J227" s="27"/>
      <c r="K227" s="28">
        <v>12.0</v>
      </c>
      <c r="L227" s="29" t="s">
        <v>356</v>
      </c>
      <c r="M227" s="30" t="s">
        <v>22</v>
      </c>
      <c r="N227" s="33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7" s="30">
        <v>6.0</v>
      </c>
      <c r="P227" s="30">
        <v>1.0</v>
      </c>
      <c r="Q227" s="33" t="str">
        <f>HYPERLINK("https://nure.ua/staff/volodimir-illich-zabolotniy","https://nure.ua/staff/volodimir-illich-zabolotniy")</f>
        <v>https://nure.ua/staff/volodimir-illich-zabolotniy</v>
      </c>
      <c r="R227" s="63" t="s">
        <v>749</v>
      </c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1096.0</v>
      </c>
      <c r="B228" s="23" t="s">
        <v>750</v>
      </c>
      <c r="C228" s="24"/>
      <c r="D228" s="42"/>
      <c r="E228" s="48"/>
      <c r="F228" s="48"/>
      <c r="G228" s="48"/>
      <c r="H228" s="47"/>
      <c r="I228" s="47"/>
      <c r="J228" s="47"/>
      <c r="K228" s="28">
        <v>3.0</v>
      </c>
      <c r="L228" s="29" t="s">
        <v>71</v>
      </c>
      <c r="M228" s="30" t="s">
        <v>22</v>
      </c>
      <c r="N228" s="33" t="str">
        <f>HYPERLINK("https://scholar.google.com/citations?user=yO7YAMUAAAAJ","https://scholar.google.com/citations?user=yO7YAMUAAAAJ")</f>
        <v>https://scholar.google.com/citations?user=yO7YAMUAAAAJ</v>
      </c>
      <c r="O228" s="30">
        <v>33.0</v>
      </c>
      <c r="P228" s="30">
        <v>3.0</v>
      </c>
      <c r="Q228" s="33" t="str">
        <f>HYPERLINK("https://nure.ua/staff/yuriy-yuriyovich-zavizistup","https://nure.ua/staff/yuriy-yuriyovich-zavizistup")</f>
        <v>https://nure.ua/staff/yuriy-yuriyovich-zavizistup</v>
      </c>
      <c r="R228" s="12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3839.0</v>
      </c>
      <c r="B229" s="23" t="s">
        <v>751</v>
      </c>
      <c r="C229" s="24" t="s">
        <v>752</v>
      </c>
      <c r="D229" s="42" t="s">
        <v>753</v>
      </c>
      <c r="E229" s="26">
        <v>26.0</v>
      </c>
      <c r="F229" s="26">
        <v>27.0</v>
      </c>
      <c r="G229" s="26">
        <v>3.0</v>
      </c>
      <c r="H229" s="27">
        <v>13.0</v>
      </c>
      <c r="I229" s="27">
        <v>0.0</v>
      </c>
      <c r="J229" s="27">
        <v>0.0</v>
      </c>
      <c r="K229" s="28">
        <v>61.0</v>
      </c>
      <c r="L229" s="44" t="s">
        <v>409</v>
      </c>
      <c r="M229" s="30" t="s">
        <v>22</v>
      </c>
      <c r="N229" s="33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9" s="30">
        <v>53.0</v>
      </c>
      <c r="P229" s="30">
        <v>4.0</v>
      </c>
      <c r="Q229" s="33" t="str">
        <f>HYPERLINK("https://nure.ua/staff/olga-borisivna-zaychenko","https://nure.ua/staff/olga-borisivna-zaychenko")</f>
        <v>https://nure.ua/staff/olga-borisivna-zaychenko</v>
      </c>
      <c r="R229" s="63" t="s">
        <v>754</v>
      </c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1079.0</v>
      </c>
      <c r="B230" s="23" t="s">
        <v>755</v>
      </c>
      <c r="C230" s="24" t="s">
        <v>756</v>
      </c>
      <c r="D230" s="42"/>
      <c r="E230" s="48"/>
      <c r="F230" s="48"/>
      <c r="G230" s="48"/>
      <c r="H230" s="47"/>
      <c r="I230" s="47"/>
      <c r="J230" s="47"/>
      <c r="K230" s="28">
        <v>1.0</v>
      </c>
      <c r="L230" s="39"/>
      <c r="M230" s="30" t="s">
        <v>22</v>
      </c>
      <c r="N230" s="33" t="str">
        <f>HYPERLINK("https://scholar.google.com/citations?user=cZx-RL4AAAAJ","https://scholar.google.com/citations?user=cZx-RL4AAAAJ")</f>
        <v>https://scholar.google.com/citations?user=cZx-RL4AAAAJ</v>
      </c>
      <c r="O230" s="30">
        <v>34.0</v>
      </c>
      <c r="P230" s="30">
        <v>4.0</v>
      </c>
      <c r="Q230" s="33" t="str">
        <f>HYPERLINK("https://nure.ua/staff/mikola-vasilovich-zamirets","https://nure.ua/staff/mikola-vasilovich-zamirets")</f>
        <v>https://nure.ua/staff/mikola-vasilovich-zamirets</v>
      </c>
      <c r="R230" s="12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6923.0</v>
      </c>
      <c r="B231" s="23" t="s">
        <v>757</v>
      </c>
      <c r="C231" s="24" t="s">
        <v>758</v>
      </c>
      <c r="D231" s="42"/>
      <c r="E231" s="48"/>
      <c r="F231" s="48"/>
      <c r="G231" s="48"/>
      <c r="H231" s="47"/>
      <c r="I231" s="47"/>
      <c r="J231" s="47"/>
      <c r="K231" s="28">
        <v>3.0</v>
      </c>
      <c r="L231" s="39"/>
      <c r="M231" s="30" t="s">
        <v>22</v>
      </c>
      <c r="N231" s="33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1" s="30">
        <v>26.0</v>
      </c>
      <c r="P231" s="30">
        <v>3.0</v>
      </c>
      <c r="Q231" s="33" t="str">
        <f>HYPERLINK("https://nure.ua/staff/oleg-mikolayovich-zamirets","https://nure.ua/staff/oleg-mikolayovich-zamirets")</f>
        <v>https://nure.ua/staff/oleg-mikolayovich-zamirets</v>
      </c>
      <c r="R231" s="12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6508.0</v>
      </c>
      <c r="B232" s="23" t="s">
        <v>759</v>
      </c>
      <c r="C232" s="24"/>
      <c r="D232" s="42"/>
      <c r="E232" s="48"/>
      <c r="F232" s="48"/>
      <c r="G232" s="48"/>
      <c r="H232" s="47"/>
      <c r="I232" s="47"/>
      <c r="J232" s="47"/>
      <c r="K232" s="28">
        <v>0.0</v>
      </c>
      <c r="L232" s="39" t="s">
        <v>78</v>
      </c>
      <c r="M232" s="30" t="s">
        <v>22</v>
      </c>
      <c r="N232" s="30"/>
      <c r="O232" s="30"/>
      <c r="P232" s="30"/>
      <c r="Q232" s="30"/>
      <c r="R232" s="12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65.0</v>
      </c>
      <c r="B233" s="23" t="s">
        <v>760</v>
      </c>
      <c r="C233" s="24" t="s">
        <v>761</v>
      </c>
      <c r="D233" s="42" t="s">
        <v>762</v>
      </c>
      <c r="E233" s="26">
        <v>4.0</v>
      </c>
      <c r="F233" s="26">
        <v>0.0</v>
      </c>
      <c r="G233" s="26">
        <v>0.0</v>
      </c>
      <c r="H233" s="27">
        <v>2.0</v>
      </c>
      <c r="I233" s="27">
        <v>0.0</v>
      </c>
      <c r="J233" s="27">
        <v>0.0</v>
      </c>
      <c r="K233" s="28">
        <v>19.0</v>
      </c>
      <c r="L233" s="29" t="s">
        <v>594</v>
      </c>
      <c r="M233" s="30" t="s">
        <v>22</v>
      </c>
      <c r="N233" s="33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3" s="30">
        <v>32.0</v>
      </c>
      <c r="P233" s="30">
        <v>4.0</v>
      </c>
      <c r="Q233" s="33" t="str">
        <f>HYPERLINK("https://nure.ua/staff/oleg-vasilovich-zaporozhec","https://nure.ua/staff/oleg-vasilovich-zaporozhec")</f>
        <v>https://nure.ua/staff/oleg-vasilovich-zaporozhec</v>
      </c>
      <c r="R233" s="63" t="s">
        <v>763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1085.0</v>
      </c>
      <c r="B234" s="23" t="s">
        <v>764</v>
      </c>
      <c r="C234" s="24" t="s">
        <v>765</v>
      </c>
      <c r="D234" s="42" t="s">
        <v>766</v>
      </c>
      <c r="E234" s="26">
        <v>11.0</v>
      </c>
      <c r="F234" s="26">
        <v>20.0</v>
      </c>
      <c r="G234" s="26">
        <v>2.0</v>
      </c>
      <c r="H234" s="27">
        <v>5.0</v>
      </c>
      <c r="I234" s="27">
        <v>7.0</v>
      </c>
      <c r="J234" s="27">
        <v>1.0</v>
      </c>
      <c r="K234" s="28">
        <v>20.0</v>
      </c>
      <c r="L234" s="44" t="s">
        <v>64</v>
      </c>
      <c r="M234" s="30" t="s">
        <v>22</v>
      </c>
      <c r="N234" s="33" t="str">
        <f>HYPERLINK("https://scholar.google.com/citations?user=JJ6U6owAAAAJ","https://scholar.google.com/citations?user=JJ6U6owAAAAJ")</f>
        <v>https://scholar.google.com/citations?user=JJ6U6owAAAAJ</v>
      </c>
      <c r="O234" s="30">
        <v>16.0</v>
      </c>
      <c r="P234" s="30">
        <v>2.0</v>
      </c>
      <c r="Q234" s="33" t="str">
        <f>HYPERLINK("https://nure.ua/staff/oleksandr-andriyovich-zarudniy","https://nure.ua/staff/oleksandr-andriyovich-zarudniy")</f>
        <v>https://nure.ua/staff/oleksandr-andriyovich-zarudniy</v>
      </c>
      <c r="R234" s="12" t="s">
        <v>767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374.0</v>
      </c>
      <c r="B235" s="23" t="s">
        <v>768</v>
      </c>
      <c r="C235" s="24" t="s">
        <v>769</v>
      </c>
      <c r="D235" s="42" t="s">
        <v>770</v>
      </c>
      <c r="E235" s="26">
        <v>30.0</v>
      </c>
      <c r="F235" s="26">
        <v>59.0</v>
      </c>
      <c r="G235" s="26">
        <v>5.0</v>
      </c>
      <c r="H235" s="27">
        <v>18.0</v>
      </c>
      <c r="I235" s="27">
        <v>35.0</v>
      </c>
      <c r="J235" s="27">
        <v>4.0</v>
      </c>
      <c r="K235" s="28">
        <v>54.0</v>
      </c>
      <c r="L235" s="29" t="s">
        <v>594</v>
      </c>
      <c r="M235" s="30" t="s">
        <v>22</v>
      </c>
      <c r="N235" s="30"/>
      <c r="O235" s="30"/>
      <c r="P235" s="30"/>
      <c r="Q235" s="30"/>
      <c r="R235" s="63" t="s">
        <v>771</v>
      </c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131.0</v>
      </c>
      <c r="B236" s="23" t="s">
        <v>772</v>
      </c>
      <c r="C236" s="24"/>
      <c r="D236" s="42"/>
      <c r="E236" s="48"/>
      <c r="F236" s="48"/>
      <c r="G236" s="48"/>
      <c r="H236" s="47"/>
      <c r="I236" s="47"/>
      <c r="J236" s="47"/>
      <c r="K236" s="28">
        <v>14.0</v>
      </c>
      <c r="L236" s="44" t="s">
        <v>272</v>
      </c>
      <c r="M236" s="30" t="s">
        <v>22</v>
      </c>
      <c r="N236" s="33" t="str">
        <f>HYPERLINK("https://scholar.google.com/citations?user=MqUJ4V0AAAAJ","https://scholar.google.com/citations?user=MqUJ4V0AAAAJ")</f>
        <v>https://scholar.google.com/citations?user=MqUJ4V0AAAAJ</v>
      </c>
      <c r="O236" s="30">
        <v>4.0</v>
      </c>
      <c r="P236" s="30">
        <v>1.0</v>
      </c>
      <c r="Q236" s="33" t="str">
        <f>HYPERLINK("https://nure.ua/staff/tetyana-yevgenivna-zahvatova","https://nure.ua/staff/tetyana-yevgenivna-zahvatova")</f>
        <v>https://nure.ua/staff/tetyana-yevgenivna-zahvatova</v>
      </c>
      <c r="R236" s="12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697.0</v>
      </c>
      <c r="B237" s="23" t="s">
        <v>773</v>
      </c>
      <c r="C237" s="24" t="s">
        <v>774</v>
      </c>
      <c r="D237" s="42" t="s">
        <v>775</v>
      </c>
      <c r="E237" s="26">
        <v>5.0</v>
      </c>
      <c r="F237" s="26">
        <v>6.0</v>
      </c>
      <c r="G237" s="26">
        <v>1.0</v>
      </c>
      <c r="H237" s="47"/>
      <c r="I237" s="47"/>
      <c r="J237" s="47"/>
      <c r="K237" s="28">
        <v>10.0</v>
      </c>
      <c r="L237" s="44" t="s">
        <v>171</v>
      </c>
      <c r="M237" s="30" t="s">
        <v>22</v>
      </c>
      <c r="N237" s="33" t="str">
        <f>HYPERLINK("https://scholar.google.com/citations?user=30fDiXYAAAAJ","https://scholar.google.com/citations?user=30fDiXYAAAAJ")</f>
        <v>https://scholar.google.com/citations?user=30fDiXYAAAAJ</v>
      </c>
      <c r="O237" s="30">
        <v>0.0</v>
      </c>
      <c r="P237" s="30">
        <v>0.0</v>
      </c>
      <c r="Q237" s="33" t="str">
        <f>HYPERLINK("https://nure.ua/staff/oleksandr-pavlovich-zeleniy","https://nure.ua/staff/oleksandr-pavlovich-zeleniy")</f>
        <v>https://nure.ua/staff/oleksandr-pavlovich-zeleniy</v>
      </c>
      <c r="R237" s="63" t="s">
        <v>776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1051.0</v>
      </c>
      <c r="B238" s="23" t="s">
        <v>777</v>
      </c>
      <c r="C238" s="24" t="s">
        <v>778</v>
      </c>
      <c r="D238" s="42" t="s">
        <v>779</v>
      </c>
      <c r="E238" s="26">
        <v>3.0</v>
      </c>
      <c r="F238" s="26">
        <v>0.0</v>
      </c>
      <c r="G238" s="26">
        <v>0.0</v>
      </c>
      <c r="H238" s="47">
        <v>0.0</v>
      </c>
      <c r="I238" s="47">
        <v>0.0</v>
      </c>
      <c r="J238" s="47">
        <v>0.0</v>
      </c>
      <c r="K238" s="28">
        <v>15.0</v>
      </c>
      <c r="L238" s="39"/>
      <c r="M238" s="30" t="s">
        <v>22</v>
      </c>
      <c r="N238" s="33" t="str">
        <f>HYPERLINK("https://scholar.google.com/citations?user=DLPqlAwAAAAJ","https://scholar.google.com/citations?user=DLPqlAwAAAAJ")</f>
        <v>https://scholar.google.com/citations?user=DLPqlAwAAAAJ</v>
      </c>
      <c r="O238" s="30">
        <v>71.0</v>
      </c>
      <c r="P238" s="30">
        <v>5.0</v>
      </c>
      <c r="Q238" s="33" t="str">
        <f>HYPERLINK("https://nure.ua/staff/anatoliy-mikolayovich-zelenin","https://nure.ua/staff/anatoliy-mikolayovich-zelenin")</f>
        <v>https://nure.ua/staff/anatoliy-mikolayovich-zelenin</v>
      </c>
      <c r="R238" s="63" t="s">
        <v>780</v>
      </c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6545.0</v>
      </c>
      <c r="B239" s="23" t="s">
        <v>781</v>
      </c>
      <c r="C239" s="24" t="s">
        <v>782</v>
      </c>
      <c r="D239" s="42"/>
      <c r="E239" s="48"/>
      <c r="F239" s="48"/>
      <c r="G239" s="48"/>
      <c r="H239" s="47"/>
      <c r="I239" s="47"/>
      <c r="J239" s="47"/>
      <c r="K239" s="28">
        <v>1.0</v>
      </c>
      <c r="L239" s="44" t="s">
        <v>41</v>
      </c>
      <c r="M239" s="30" t="s">
        <v>22</v>
      </c>
      <c r="N239" s="33" t="str">
        <f>HYPERLINK("https://scholar.google.com/citations?user=32cu3V8AAAAJ","https://scholar.google.com/citations?user=32cu3V8AAAAJ")</f>
        <v>https://scholar.google.com/citations?user=32cu3V8AAAAJ</v>
      </c>
      <c r="O239" s="30">
        <v>1.0</v>
      </c>
      <c r="P239" s="30">
        <v>1.0</v>
      </c>
      <c r="Q239" s="33" t="str">
        <f>HYPERLINK("https://nure.ua/staff/katerina-viktorivna-zibina","https://nure.ua/staff/katerina-viktorivna-zibina")</f>
        <v>https://nure.ua/staff/katerina-viktorivna-zibina</v>
      </c>
      <c r="R239" s="12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7438.0</v>
      </c>
      <c r="B240" s="23" t="s">
        <v>783</v>
      </c>
      <c r="C240" s="24" t="s">
        <v>784</v>
      </c>
      <c r="D240" s="42" t="s">
        <v>785</v>
      </c>
      <c r="E240" s="26">
        <v>1.0</v>
      </c>
      <c r="F240" s="26">
        <v>2.0</v>
      </c>
      <c r="G240" s="26">
        <v>1.0</v>
      </c>
      <c r="H240" s="47"/>
      <c r="I240" s="47"/>
      <c r="J240" s="47"/>
      <c r="K240" s="28">
        <v>0.0</v>
      </c>
      <c r="L240" s="29"/>
      <c r="M240" s="30" t="s">
        <v>22</v>
      </c>
      <c r="N240" s="33" t="str">
        <f>HYPERLINK("https://scholar.google.com/citations?user=HspFtJMAAAAJ","https://scholar.google.com/citations?user=HspFtJMAAAAJ")</f>
        <v>https://scholar.google.com/citations?user=HspFtJMAAAAJ</v>
      </c>
      <c r="O240" s="30">
        <v>13.0</v>
      </c>
      <c r="P240" s="30">
        <v>2.0</v>
      </c>
      <c r="Q240" s="33" t="str">
        <f>HYPERLINK("https://nure.ua/staff/vasil-grigorovich-znaydyuk","https://nure.ua/staff/vasil-grigorovich-znaydyuk")</f>
        <v>https://nure.ua/staff/vasil-grigorovich-znaydyuk</v>
      </c>
      <c r="R240" s="63" t="s">
        <v>786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186.0</v>
      </c>
      <c r="B241" s="23" t="s">
        <v>787</v>
      </c>
      <c r="C241" s="24"/>
      <c r="D241" s="42" t="s">
        <v>788</v>
      </c>
      <c r="E241" s="26">
        <v>1.0</v>
      </c>
      <c r="F241" s="26">
        <v>0.0</v>
      </c>
      <c r="G241" s="26">
        <v>0.0</v>
      </c>
      <c r="H241" s="27"/>
      <c r="I241" s="27"/>
      <c r="J241" s="27"/>
      <c r="K241" s="28">
        <v>8.0</v>
      </c>
      <c r="L241" s="44" t="s">
        <v>144</v>
      </c>
      <c r="M241" s="30" t="s">
        <v>22</v>
      </c>
      <c r="N241" s="33" t="str">
        <f>HYPERLINK("https://scholar.google.com/citations?user=4PmyHQYAAAAJ","https://scholar.google.com/citations?user=4PmyHQYAAAAJ")</f>
        <v>https://scholar.google.com/citations?user=4PmyHQYAAAAJ</v>
      </c>
      <c r="O241" s="30">
        <v>208.0</v>
      </c>
      <c r="P241" s="30">
        <v>7.0</v>
      </c>
      <c r="Q241" s="33" t="str">
        <f>HYPERLINK("https://nure.ua/staff/vadim-anatoliyovich-zolotarov","https://nure.ua/staff/vadim-anatoliyovich-zolotarov")</f>
        <v>https://nure.ua/staff/vadim-anatoliyovich-zolotarov</v>
      </c>
      <c r="R241" s="63" t="s">
        <v>789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22">
        <v>5232.0</v>
      </c>
      <c r="B242" s="23" t="s">
        <v>790</v>
      </c>
      <c r="C242" s="24" t="s">
        <v>791</v>
      </c>
      <c r="D242" s="42" t="s">
        <v>792</v>
      </c>
      <c r="E242" s="26">
        <v>5.0</v>
      </c>
      <c r="F242" s="26">
        <v>10.0</v>
      </c>
      <c r="G242" s="26">
        <v>2.0</v>
      </c>
      <c r="H242" s="27">
        <v>4.0</v>
      </c>
      <c r="I242" s="27">
        <v>3.0</v>
      </c>
      <c r="J242" s="27">
        <v>1.0</v>
      </c>
      <c r="K242" s="28">
        <v>7.0</v>
      </c>
      <c r="L242" s="44" t="s">
        <v>186</v>
      </c>
      <c r="M242" s="30" t="s">
        <v>22</v>
      </c>
      <c r="N242" s="33" t="str">
        <f>HYPERLINK("https://scholar.google.com/citations?user=B1sT8KsAAAAJ","https://scholar.google.com/citations?user=B1sT8KsAAAAJ")</f>
        <v>https://scholar.google.com/citations?user=B1sT8KsAAAAJ</v>
      </c>
      <c r="O242" s="30">
        <v>25.0</v>
      </c>
      <c r="P242" s="30">
        <v>3.0</v>
      </c>
      <c r="Q242" s="33" t="str">
        <f>HYPERLINK("https://nure.ua/staff/oleg-viktorovich-zolotuhin","https://nure.ua/staff/oleg-viktorovich-zolotuhin")</f>
        <v>https://nure.ua/staff/oleg-viktorovich-zolotuhin</v>
      </c>
      <c r="R242" s="63" t="s">
        <v>793</v>
      </c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34">
        <v>7206.0</v>
      </c>
      <c r="B243" s="49" t="s">
        <v>794</v>
      </c>
      <c r="C243" s="35"/>
      <c r="D243" s="36"/>
      <c r="E243" s="50"/>
      <c r="F243" s="50"/>
      <c r="G243" s="50"/>
      <c r="H243" s="51"/>
      <c r="I243" s="51"/>
      <c r="J243" s="51"/>
      <c r="K243" s="38">
        <v>0.0</v>
      </c>
      <c r="L243" s="40" t="s">
        <v>78</v>
      </c>
      <c r="M243" s="40" t="s">
        <v>79</v>
      </c>
      <c r="N243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3" s="40">
        <v>19.0</v>
      </c>
      <c r="P243" s="40">
        <v>2.0</v>
      </c>
      <c r="Q243" s="40"/>
      <c r="R243" s="52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22">
        <v>407.0</v>
      </c>
      <c r="B244" s="23" t="s">
        <v>795</v>
      </c>
      <c r="C244" s="24" t="s">
        <v>796</v>
      </c>
      <c r="D244" s="42" t="s">
        <v>797</v>
      </c>
      <c r="E244" s="26">
        <v>16.0</v>
      </c>
      <c r="F244" s="26">
        <v>88.0</v>
      </c>
      <c r="G244" s="26">
        <v>7.0</v>
      </c>
      <c r="H244" s="27">
        <v>3.0</v>
      </c>
      <c r="I244" s="27">
        <v>3.0</v>
      </c>
      <c r="J244" s="27">
        <v>1.0</v>
      </c>
      <c r="K244" s="28">
        <v>43.0</v>
      </c>
      <c r="L244" s="44" t="s">
        <v>381</v>
      </c>
      <c r="M244" s="30" t="s">
        <v>22</v>
      </c>
      <c r="N244" s="33" t="str">
        <f>HYPERLINK("https://scholar.google.com/citations?user=I232cRAAAAAJ","https://scholar.google.com/citations?user=I232cRAAAAAJ")</f>
        <v>https://scholar.google.com/citations?user=I232cRAAAAAJ</v>
      </c>
      <c r="O244" s="30">
        <v>30.0</v>
      </c>
      <c r="P244" s="30">
        <v>3.0</v>
      </c>
      <c r="Q244" s="33" t="str">
        <f>HYPERLINK("https://nure.ua/staff/oleg-viktorovich-zubkov","https://nure.ua/staff/oleg-viktorovich-zubkov")</f>
        <v>https://nure.ua/staff/oleg-viktorovich-zubkov</v>
      </c>
      <c r="R244" s="63" t="s">
        <v>798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34">
        <v>5622.0</v>
      </c>
      <c r="B245" s="23" t="s">
        <v>799</v>
      </c>
      <c r="C245" s="35"/>
      <c r="D245" s="36" t="s">
        <v>800</v>
      </c>
      <c r="E245" s="26">
        <v>5.0</v>
      </c>
      <c r="F245" s="26">
        <v>119.0</v>
      </c>
      <c r="G245" s="26">
        <v>3.0</v>
      </c>
      <c r="H245" s="37">
        <v>2.0</v>
      </c>
      <c r="I245" s="37">
        <v>30.0</v>
      </c>
      <c r="J245" s="37">
        <v>2.0</v>
      </c>
      <c r="K245" s="38">
        <v>11.0</v>
      </c>
      <c r="L245" s="29"/>
      <c r="M245" s="40" t="s">
        <v>22</v>
      </c>
      <c r="N245" s="40"/>
      <c r="O245" s="40"/>
      <c r="P245" s="40"/>
      <c r="Q245" s="41" t="str">
        <f>HYPERLINK("https://nure.ua/staff/dmitro-viktorovich-ivanenko","https://nure.ua/staff/dmitro-viktorovich-ivanenko")</f>
        <v>https://nure.ua/staff/dmitro-viktorovich-ivanenko</v>
      </c>
      <c r="R245" s="63" t="s">
        <v>801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5636.0</v>
      </c>
      <c r="B246" s="23" t="s">
        <v>802</v>
      </c>
      <c r="C246" s="24" t="s">
        <v>803</v>
      </c>
      <c r="D246" s="42" t="s">
        <v>804</v>
      </c>
      <c r="E246" s="26">
        <v>7.0</v>
      </c>
      <c r="F246" s="26">
        <v>12.0</v>
      </c>
      <c r="G246" s="26">
        <v>2.0</v>
      </c>
      <c r="H246" s="27">
        <v>3.0</v>
      </c>
      <c r="I246" s="27">
        <v>2.0</v>
      </c>
      <c r="J246" s="27">
        <v>1.0</v>
      </c>
      <c r="K246" s="28">
        <v>10.0</v>
      </c>
      <c r="L246" s="44" t="s">
        <v>144</v>
      </c>
      <c r="M246" s="30" t="s">
        <v>22</v>
      </c>
      <c r="N246" s="33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6" s="30">
        <v>4.0</v>
      </c>
      <c r="P246" s="30">
        <v>2.0</v>
      </c>
      <c r="Q246" s="33" t="str">
        <f>HYPERLINK("https://nure.ua/staff/stanislav-andriyovich-ivanenko","https://nure.ua/staff/stanislav-andriyovich-ivanenko")</f>
        <v>https://nure.ua/staff/stanislav-andriyovich-ivanenko</v>
      </c>
      <c r="R246" s="63" t="s">
        <v>805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323.0</v>
      </c>
      <c r="B247" s="23" t="s">
        <v>806</v>
      </c>
      <c r="C247" s="24" t="s">
        <v>807</v>
      </c>
      <c r="D247" s="42" t="s">
        <v>808</v>
      </c>
      <c r="E247" s="26">
        <v>10.0</v>
      </c>
      <c r="F247" s="26">
        <v>83.0</v>
      </c>
      <c r="G247" s="26">
        <v>6.0</v>
      </c>
      <c r="H247" s="27">
        <v>7.0</v>
      </c>
      <c r="I247" s="27">
        <v>17.0</v>
      </c>
      <c r="J247" s="27">
        <v>3.0</v>
      </c>
      <c r="K247" s="28">
        <v>22.0</v>
      </c>
      <c r="L247" s="29" t="s">
        <v>71</v>
      </c>
      <c r="M247" s="30" t="s">
        <v>22</v>
      </c>
      <c r="N247" s="33" t="str">
        <f>HYPERLINK("https://scholar.google.com/citations?user=LkOev_UAAAAJ","https://scholar.google.com/citations?user=LkOev_UAAAAJ")</f>
        <v>https://scholar.google.com/citations?user=LkOev_UAAAAJ</v>
      </c>
      <c r="O247" s="30">
        <v>118.0</v>
      </c>
      <c r="P247" s="30">
        <v>7.0</v>
      </c>
      <c r="Q247" s="33" t="str">
        <f>HYPERLINK("https://nure.ua/staff/igor-ivanisenko","https://nure.ua/staff/igor-ivanisenko")</f>
        <v>https://nure.ua/staff/igor-ivanisenko</v>
      </c>
      <c r="R247" s="12" t="s">
        <v>809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181.0</v>
      </c>
      <c r="B248" s="23" t="s">
        <v>810</v>
      </c>
      <c r="C248" s="24" t="s">
        <v>811</v>
      </c>
      <c r="D248" s="42" t="s">
        <v>812</v>
      </c>
      <c r="E248" s="26">
        <v>2.0</v>
      </c>
      <c r="F248" s="26">
        <v>8.0</v>
      </c>
      <c r="G248" s="26">
        <v>1.0</v>
      </c>
      <c r="H248" s="27">
        <v>1.0</v>
      </c>
      <c r="I248" s="27">
        <v>0.0</v>
      </c>
      <c r="J248" s="27">
        <v>0.0</v>
      </c>
      <c r="K248" s="28">
        <v>14.0</v>
      </c>
      <c r="L248" s="44" t="s">
        <v>137</v>
      </c>
      <c r="M248" s="30" t="s">
        <v>22</v>
      </c>
      <c r="N248" s="33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8" s="30">
        <v>23.0</v>
      </c>
      <c r="P248" s="30">
        <v>3.0</v>
      </c>
      <c r="Q248" s="33" t="str">
        <f>HYPERLINK("https://nure.ua/staff/valerij-gennadijovich-ivanov","https://nure.ua/staff/valerij-gennadijovich-ivanov")</f>
        <v>https://nure.ua/staff/valerij-gennadijovich-ivanov</v>
      </c>
      <c r="R248" s="63" t="s">
        <v>813</v>
      </c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22">
        <v>7985.0</v>
      </c>
      <c r="B249" s="23" t="s">
        <v>814</v>
      </c>
      <c r="C249" s="78" t="s">
        <v>815</v>
      </c>
      <c r="D249" s="91"/>
      <c r="E249" s="92"/>
      <c r="F249" s="92"/>
      <c r="G249" s="92"/>
      <c r="H249" s="24"/>
      <c r="I249" s="24"/>
      <c r="J249" s="24"/>
      <c r="K249" s="28">
        <v>0.0</v>
      </c>
      <c r="L249" s="44" t="s">
        <v>60</v>
      </c>
      <c r="M249" s="30" t="s">
        <v>22</v>
      </c>
      <c r="N249" s="33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9" s="30">
        <v>4.0</v>
      </c>
      <c r="P249" s="30">
        <v>1.0</v>
      </c>
      <c r="Q249" s="33" t="str">
        <f>HYPERLINK("https://nure.ua/staff/leonid-stanislavovich-ivanov","https://nure.ua/staff/leonid-stanislavovich-ivanov")</f>
        <v>https://nure.ua/staff/leonid-stanislavovich-ivanov</v>
      </c>
      <c r="R249" s="12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1702.0</v>
      </c>
      <c r="B250" s="23" t="s">
        <v>816</v>
      </c>
      <c r="C250" s="24"/>
      <c r="D250" s="42" t="s">
        <v>817</v>
      </c>
      <c r="E250" s="26">
        <v>1.0</v>
      </c>
      <c r="F250" s="26">
        <v>6.0</v>
      </c>
      <c r="G250" s="26">
        <v>1.0</v>
      </c>
      <c r="H250" s="79">
        <v>1.0</v>
      </c>
      <c r="I250" s="79">
        <v>0.0</v>
      </c>
      <c r="J250" s="79">
        <v>0.0</v>
      </c>
      <c r="K250" s="93">
        <v>0.0</v>
      </c>
      <c r="L250" s="39"/>
      <c r="M250" s="94" t="s">
        <v>818</v>
      </c>
      <c r="N250" s="30"/>
      <c r="O250" s="30"/>
      <c r="P250" s="30"/>
      <c r="Q250" s="30"/>
      <c r="R250" s="63" t="s">
        <v>819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3615.0</v>
      </c>
      <c r="B251" s="23" t="s">
        <v>820</v>
      </c>
      <c r="C251" s="24" t="s">
        <v>821</v>
      </c>
      <c r="D251" s="42"/>
      <c r="E251" s="48"/>
      <c r="F251" s="48"/>
      <c r="G251" s="48"/>
      <c r="H251" s="47"/>
      <c r="I251" s="47"/>
      <c r="J251" s="47"/>
      <c r="K251" s="28">
        <v>6.0</v>
      </c>
      <c r="L251" s="29"/>
      <c r="M251" s="30" t="s">
        <v>22</v>
      </c>
      <c r="N251" s="33" t="str">
        <f>HYPERLINK("https://scholar.google.com/citations?user=bupfBs0AAAAJ","https://scholar.google.com/citations?user=bupfBs0AAAAJ")</f>
        <v>https://scholar.google.com/citations?user=bupfBs0AAAAJ</v>
      </c>
      <c r="O251" s="30">
        <v>2.0</v>
      </c>
      <c r="P251" s="30">
        <v>1.0</v>
      </c>
      <c r="Q251" s="33" t="str">
        <f>HYPERLINK("https://nure.ua/staff/viktoriya-borisivna-ivanova","https://nure.ua/staff/viktoriya-borisivna-ivanova")</f>
        <v>https://nure.ua/staff/viktoriya-borisivna-ivanova</v>
      </c>
      <c r="R251" s="13" t="s">
        <v>822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3901.0</v>
      </c>
      <c r="B252" s="23" t="s">
        <v>823</v>
      </c>
      <c r="C252" s="24" t="s">
        <v>824</v>
      </c>
      <c r="D252" s="42" t="s">
        <v>825</v>
      </c>
      <c r="E252" s="26">
        <v>5.0</v>
      </c>
      <c r="F252" s="26">
        <v>4.0</v>
      </c>
      <c r="G252" s="26">
        <v>2.0</v>
      </c>
      <c r="H252" s="47"/>
      <c r="I252" s="47"/>
      <c r="J252" s="47"/>
      <c r="K252" s="28">
        <v>7.0</v>
      </c>
      <c r="L252" s="44" t="s">
        <v>75</v>
      </c>
      <c r="M252" s="30" t="s">
        <v>22</v>
      </c>
      <c r="N252" s="33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2" s="30">
        <v>122.0</v>
      </c>
      <c r="P252" s="30">
        <v>6.0</v>
      </c>
      <c r="Q252" s="33" t="str">
        <f>HYPERLINK("https://nure.ua/staff/olena-oleksandrivna-ivanova","https://nure.ua/staff/olena-oleksandrivna-ivanova")</f>
        <v>https://nure.ua/staff/olena-oleksandrivna-ivanova</v>
      </c>
      <c r="R252" s="63" t="s">
        <v>826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6400.0</v>
      </c>
      <c r="B253" s="23" t="s">
        <v>827</v>
      </c>
      <c r="C253" s="24" t="s">
        <v>828</v>
      </c>
      <c r="D253" s="42" t="s">
        <v>829</v>
      </c>
      <c r="E253" s="26">
        <v>3.0</v>
      </c>
      <c r="F253" s="26">
        <v>0.0</v>
      </c>
      <c r="G253" s="26">
        <v>0.0</v>
      </c>
      <c r="H253" s="47">
        <v>0.0</v>
      </c>
      <c r="I253" s="47">
        <v>0.0</v>
      </c>
      <c r="J253" s="47">
        <v>0.0</v>
      </c>
      <c r="K253" s="28">
        <v>22.0</v>
      </c>
      <c r="L253" s="29" t="s">
        <v>71</v>
      </c>
      <c r="M253" s="30" t="s">
        <v>22</v>
      </c>
      <c r="N253" s="33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3" s="30">
        <v>8.0</v>
      </c>
      <c r="P253" s="30">
        <v>2.0</v>
      </c>
      <c r="Q253" s="33" t="str">
        <f>HYPERLINK("https://nure.ua/staff/georgiy-stanislavovich-ivashhenko","https://nure.ua/staff/georgiy-stanislavovich-ivashhenko")</f>
        <v>https://nure.ua/staff/georgiy-stanislavovich-ivashhenko</v>
      </c>
      <c r="R253" s="63" t="s">
        <v>830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373.0</v>
      </c>
      <c r="B254" s="23" t="s">
        <v>831</v>
      </c>
      <c r="C254" s="24" t="s">
        <v>832</v>
      </c>
      <c r="D254" s="42" t="s">
        <v>833</v>
      </c>
      <c r="E254" s="26">
        <v>1.0</v>
      </c>
      <c r="F254" s="26">
        <v>0.0</v>
      </c>
      <c r="G254" s="26">
        <v>0.0</v>
      </c>
      <c r="H254" s="47"/>
      <c r="I254" s="47"/>
      <c r="J254" s="47"/>
      <c r="K254" s="28">
        <v>1.0</v>
      </c>
      <c r="L254" s="29" t="s">
        <v>329</v>
      </c>
      <c r="M254" s="30" t="s">
        <v>22</v>
      </c>
      <c r="N254" s="33" t="str">
        <f>HYPERLINK("https://scholar.google.com/citations?user=WzEJoboAAAAJ","https://scholar.google.com/citations?user=WzEJoboAAAAJ")</f>
        <v>https://scholar.google.com/citations?user=WzEJoboAAAAJ</v>
      </c>
      <c r="O254" s="30">
        <v>0.0</v>
      </c>
      <c r="P254" s="30">
        <v>0.0</v>
      </c>
      <c r="Q254" s="33" t="str">
        <f>HYPERLINK("https://nure.ua/staff/natalija-volodimirivna-igumenceva","https://nure.ua/staff/natalija-volodimirivna-igumenceva")</f>
        <v>https://nure.ua/staff/natalija-volodimirivna-igumenceva</v>
      </c>
      <c r="R254" s="63" t="s">
        <v>834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7866.0</v>
      </c>
      <c r="B255" s="23" t="s">
        <v>835</v>
      </c>
      <c r="C255" s="24"/>
      <c r="D255" s="42" t="s">
        <v>836</v>
      </c>
      <c r="E255" s="26">
        <v>6.0</v>
      </c>
      <c r="F255" s="26">
        <v>10.0</v>
      </c>
      <c r="G255" s="26">
        <v>2.0</v>
      </c>
      <c r="H255" s="27">
        <v>1.0</v>
      </c>
      <c r="I255" s="27">
        <v>0.0</v>
      </c>
      <c r="J255" s="27">
        <v>0.0</v>
      </c>
      <c r="K255" s="28">
        <v>0.0</v>
      </c>
      <c r="L255" s="29" t="s">
        <v>71</v>
      </c>
      <c r="M255" s="30" t="s">
        <v>22</v>
      </c>
      <c r="N255" s="33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5" s="30">
        <v>61.0</v>
      </c>
      <c r="P255" s="30">
        <v>4.0</v>
      </c>
      <c r="Q255" s="30"/>
      <c r="R255" s="63" t="s">
        <v>837</v>
      </c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625.0</v>
      </c>
      <c r="B256" s="23" t="s">
        <v>838</v>
      </c>
      <c r="C256" s="24"/>
      <c r="D256" s="42"/>
      <c r="E256" s="50"/>
      <c r="F256" s="50"/>
      <c r="G256" s="50"/>
      <c r="H256" s="47"/>
      <c r="I256" s="47"/>
      <c r="J256" s="47"/>
      <c r="K256" s="28">
        <v>0.0</v>
      </c>
      <c r="L256" s="39"/>
      <c r="M256" s="30"/>
      <c r="N256" s="30"/>
      <c r="O256" s="30"/>
      <c r="P256" s="30"/>
      <c r="Q256" s="30"/>
      <c r="R256" s="12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22">
        <v>305.0</v>
      </c>
      <c r="B257" s="23" t="s">
        <v>839</v>
      </c>
      <c r="C257" s="24" t="s">
        <v>840</v>
      </c>
      <c r="D257" s="42" t="s">
        <v>841</v>
      </c>
      <c r="E257" s="26">
        <v>1.0</v>
      </c>
      <c r="F257" s="26">
        <v>2.0</v>
      </c>
      <c r="G257" s="26">
        <v>1.0</v>
      </c>
      <c r="H257" s="47"/>
      <c r="I257" s="47"/>
      <c r="J257" s="47"/>
      <c r="K257" s="28">
        <v>4.0</v>
      </c>
      <c r="L257" s="44" t="s">
        <v>137</v>
      </c>
      <c r="M257" s="30" t="s">
        <v>22</v>
      </c>
      <c r="N257" s="33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7" s="30">
        <v>39.0</v>
      </c>
      <c r="P257" s="30">
        <v>5.0</v>
      </c>
      <c r="Q257" s="33" t="str">
        <f>HYPERLINK("https://nure.ua/staff/zulfiya-aliyivna-imangulova","https://nure.ua/staff/zulfiya-aliyivna-imangulova")</f>
        <v>https://nure.ua/staff/zulfiya-aliyivna-imangulova</v>
      </c>
      <c r="R257" s="63" t="s">
        <v>842</v>
      </c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2">
        <v>7911.0</v>
      </c>
      <c r="B258" s="23" t="s">
        <v>843</v>
      </c>
      <c r="C258" s="24"/>
      <c r="D258" s="42"/>
      <c r="E258" s="50"/>
      <c r="F258" s="50"/>
      <c r="G258" s="50"/>
      <c r="H258" s="47"/>
      <c r="I258" s="47"/>
      <c r="J258" s="47"/>
      <c r="K258" s="28">
        <v>0.0</v>
      </c>
      <c r="L258" s="30"/>
      <c r="M258" s="30"/>
      <c r="N258" s="30"/>
      <c r="O258" s="30"/>
      <c r="P258" s="30"/>
      <c r="Q258" s="30"/>
      <c r="R258" s="95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22">
        <v>848.0</v>
      </c>
      <c r="B259" s="23" t="s">
        <v>844</v>
      </c>
      <c r="C259" s="24" t="s">
        <v>845</v>
      </c>
      <c r="D259" s="42" t="s">
        <v>846</v>
      </c>
      <c r="E259" s="26">
        <v>2.0</v>
      </c>
      <c r="F259" s="26">
        <v>2.0</v>
      </c>
      <c r="G259" s="26">
        <v>1.0</v>
      </c>
      <c r="H259" s="27">
        <v>1.0</v>
      </c>
      <c r="I259" s="27">
        <v>1.0</v>
      </c>
      <c r="J259" s="27">
        <v>0.0</v>
      </c>
      <c r="K259" s="28">
        <v>10.0</v>
      </c>
      <c r="L259" s="29" t="s">
        <v>36</v>
      </c>
      <c r="M259" s="30" t="s">
        <v>22</v>
      </c>
      <c r="N259" s="33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9" s="30">
        <v>6.0</v>
      </c>
      <c r="P259" s="30">
        <v>1.0</v>
      </c>
      <c r="Q259" s="33" t="str">
        <f>HYPERLINK("https://nure.ua/staff/olga-yosipivna-kadatska","https://nure.ua/staff/olga-yosipivna-kadatska")</f>
        <v>https://nure.ua/staff/olga-yosipivna-kadatska</v>
      </c>
      <c r="R259" s="63" t="s">
        <v>847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>
        <v>7693.0</v>
      </c>
      <c r="B260" s="23" t="s">
        <v>848</v>
      </c>
      <c r="C260" s="24" t="s">
        <v>849</v>
      </c>
      <c r="D260" s="42" t="s">
        <v>850</v>
      </c>
      <c r="E260" s="26">
        <v>2.0</v>
      </c>
      <c r="F260" s="26">
        <v>1.0</v>
      </c>
      <c r="G260" s="26">
        <v>1.0</v>
      </c>
      <c r="H260" s="27">
        <v>1.0</v>
      </c>
      <c r="I260" s="27">
        <v>0.0</v>
      </c>
      <c r="J260" s="27">
        <v>0.0</v>
      </c>
      <c r="K260" s="28">
        <v>0.0</v>
      </c>
      <c r="L260" s="44" t="s">
        <v>137</v>
      </c>
      <c r="M260" s="30" t="s">
        <v>22</v>
      </c>
      <c r="N260" s="33" t="str">
        <f>HYPERLINK("https://scholar.google.com.ua/citations?user=X8ZeYRAAAAAJ","https://scholar.google.com.ua/citations?user=X8ZeYRAAAAAJ")</f>
        <v>https://scholar.google.com.ua/citations?user=X8ZeYRAAAAAJ</v>
      </c>
      <c r="O260" s="30">
        <v>0.0</v>
      </c>
      <c r="P260" s="30">
        <v>0.0</v>
      </c>
      <c r="Q260" s="33" t="str">
        <f>HYPERLINK("https://nure.ua/staff/nadija-stanislavivna-kalajda","https://nure.ua/staff/nadija-stanislavivna-kalajda")</f>
        <v>https://nure.ua/staff/nadija-stanislavivna-kalajda</v>
      </c>
      <c r="R260" s="63" t="s">
        <v>851</v>
      </c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319.0</v>
      </c>
      <c r="B261" s="23" t="s">
        <v>852</v>
      </c>
      <c r="C261" s="24"/>
      <c r="D261" s="42" t="s">
        <v>853</v>
      </c>
      <c r="E261" s="26">
        <v>1.0</v>
      </c>
      <c r="F261" s="26">
        <v>10.0</v>
      </c>
      <c r="G261" s="26">
        <v>1.0</v>
      </c>
      <c r="H261" s="27"/>
      <c r="I261" s="27"/>
      <c r="J261" s="27"/>
      <c r="K261" s="28">
        <v>9.0</v>
      </c>
      <c r="L261" s="44" t="s">
        <v>41</v>
      </c>
      <c r="M261" s="30" t="s">
        <v>22</v>
      </c>
      <c r="N261" s="30"/>
      <c r="O261" s="30"/>
      <c r="P261" s="30"/>
      <c r="Q261" s="33" t="str">
        <f>HYPERLINK("https://nure.ua/staff/olga-viktorivna-kalinichenko","https://nure.ua/staff/olga-viktorivna-kalinichenko")</f>
        <v>https://nure.ua/staff/olga-viktorivna-kalinichenko</v>
      </c>
      <c r="R261" s="63" t="s">
        <v>854</v>
      </c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289.0</v>
      </c>
      <c r="B262" s="23" t="s">
        <v>855</v>
      </c>
      <c r="C262" s="24" t="s">
        <v>856</v>
      </c>
      <c r="D262" s="42"/>
      <c r="E262" s="48"/>
      <c r="F262" s="48"/>
      <c r="G262" s="48"/>
      <c r="H262" s="47"/>
      <c r="I262" s="47"/>
      <c r="J262" s="47"/>
      <c r="K262" s="28">
        <v>8.0</v>
      </c>
      <c r="L262" s="44" t="s">
        <v>137</v>
      </c>
      <c r="M262" s="30" t="s">
        <v>22</v>
      </c>
      <c r="N262" s="33" t="str">
        <f>HYPERLINK("https://scholar.google.com.ua/citations?user=MV1W2rwAAAAJ","https://scholar.google.com.ua/citations?user=MV1W2rwAAAAJ")</f>
        <v>https://scholar.google.com.ua/citations?user=MV1W2rwAAAAJ</v>
      </c>
      <c r="O262" s="30">
        <v>28.0</v>
      </c>
      <c r="P262" s="30">
        <v>3.0</v>
      </c>
      <c r="Q262" s="33" t="str">
        <f>HYPERLINK("https://nure.ua/staff/nadiya-ivanivna-kalita","https://nure.ua/staff/nadiya-ivanivna-kalita")</f>
        <v>https://nure.ua/staff/nadiya-ivanivna-kalita</v>
      </c>
      <c r="R262" s="12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570.0</v>
      </c>
      <c r="B263" s="23" t="s">
        <v>857</v>
      </c>
      <c r="C263" s="24" t="s">
        <v>858</v>
      </c>
      <c r="D263" s="42"/>
      <c r="E263" s="48"/>
      <c r="F263" s="48"/>
      <c r="G263" s="48"/>
      <c r="H263" s="47"/>
      <c r="I263" s="47"/>
      <c r="J263" s="47"/>
      <c r="K263" s="28">
        <v>2.0</v>
      </c>
      <c r="L263" s="44" t="s">
        <v>859</v>
      </c>
      <c r="M263" s="30" t="s">
        <v>22</v>
      </c>
      <c r="N263" s="33" t="str">
        <f>HYPERLINK("https://scholar.google.com/citations?user=MaC_HU0AAAAJ","https://scholar.google.com/citations?user=MaC_HU0AAAAJ")</f>
        <v>https://scholar.google.com/citations?user=MaC_HU0AAAAJ</v>
      </c>
      <c r="O263" s="30">
        <v>5.0</v>
      </c>
      <c r="P263" s="30">
        <v>2.0</v>
      </c>
      <c r="Q263" s="33" t="str">
        <f>HYPERLINK("https://nure.ua/staff/vitaliy-veniaminovich-kalinin","https://nure.ua/staff/vitaliy-veniaminovich-kalinin")</f>
        <v>https://nure.ua/staff/vitaliy-veniaminovich-kalinin</v>
      </c>
      <c r="R263" s="12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7904.0</v>
      </c>
      <c r="B264" s="23" t="s">
        <v>860</v>
      </c>
      <c r="C264" s="24" t="s">
        <v>861</v>
      </c>
      <c r="D264" s="42" t="s">
        <v>862</v>
      </c>
      <c r="E264" s="26">
        <v>1.0</v>
      </c>
      <c r="F264" s="26">
        <v>1.0</v>
      </c>
      <c r="G264" s="26">
        <v>1.0</v>
      </c>
      <c r="H264" s="47"/>
      <c r="I264" s="47"/>
      <c r="J264" s="47"/>
      <c r="K264" s="28">
        <v>1.0</v>
      </c>
      <c r="L264" s="44" t="s">
        <v>108</v>
      </c>
      <c r="M264" s="30" t="s">
        <v>22</v>
      </c>
      <c r="N264" s="30"/>
      <c r="O264" s="30"/>
      <c r="P264" s="30"/>
      <c r="Q264" s="30"/>
      <c r="R264" s="12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22">
        <v>3605.0</v>
      </c>
      <c r="B265" s="23" t="s">
        <v>863</v>
      </c>
      <c r="C265" s="24" t="s">
        <v>864</v>
      </c>
      <c r="D265" s="42" t="s">
        <v>865</v>
      </c>
      <c r="E265" s="26">
        <v>1.0</v>
      </c>
      <c r="F265" s="26">
        <v>1.0</v>
      </c>
      <c r="G265" s="26">
        <v>1.0</v>
      </c>
      <c r="H265" s="47"/>
      <c r="I265" s="47"/>
      <c r="J265" s="47"/>
      <c r="K265" s="28">
        <v>7.0</v>
      </c>
      <c r="L265" s="44" t="s">
        <v>218</v>
      </c>
      <c r="M265" s="30" t="s">
        <v>22</v>
      </c>
      <c r="N265" s="33" t="str">
        <f>HYPERLINK("https://scholar.google.com/citations?user=R32QMd8AAAAJ","https://scholar.google.com/citations?user=R32QMd8AAAAJ")</f>
        <v>https://scholar.google.com/citations?user=R32QMd8AAAAJ</v>
      </c>
      <c r="O265" s="30">
        <v>9.0</v>
      </c>
      <c r="P265" s="30">
        <v>2.0</v>
      </c>
      <c r="Q265" s="33" t="str">
        <f>HYPERLINK("https://nure.ua/staff/anzhelika-yuriyivna-kalnitska","https://nure.ua/staff/anzhelika-yuriyivna-kalnitska")</f>
        <v>https://nure.ua/staff/anzhelika-yuriyivna-kalnitska</v>
      </c>
      <c r="R265" s="63" t="s">
        <v>866</v>
      </c>
      <c r="S265" s="13"/>
      <c r="T265" s="13"/>
      <c r="U265" s="13"/>
      <c r="V265" s="13"/>
      <c r="W265" s="13"/>
      <c r="X265" s="13"/>
      <c r="Y265" s="13"/>
      <c r="Z265" s="13"/>
    </row>
    <row r="266" ht="26.25" customHeight="1">
      <c r="A266" s="22">
        <v>4981.0</v>
      </c>
      <c r="B266" s="23" t="s">
        <v>867</v>
      </c>
      <c r="C266" s="24" t="s">
        <v>868</v>
      </c>
      <c r="D266" s="42" t="s">
        <v>869</v>
      </c>
      <c r="E266" s="26">
        <v>20.0</v>
      </c>
      <c r="F266" s="26">
        <v>10.0</v>
      </c>
      <c r="G266" s="26">
        <v>2.0</v>
      </c>
      <c r="H266" s="27">
        <v>4.0</v>
      </c>
      <c r="I266" s="27">
        <v>0.0</v>
      </c>
      <c r="J266" s="27">
        <v>0.0</v>
      </c>
      <c r="K266" s="28">
        <v>22.0</v>
      </c>
      <c r="L266" s="39" t="s">
        <v>144</v>
      </c>
      <c r="M266" s="30" t="s">
        <v>22</v>
      </c>
      <c r="N266" s="33" t="str">
        <f>HYPERLINK("https://scholar.google.com/citations?user=2Y6Mi8kAAAAJ","https://scholar.google.com/citations?user=2Y6Mi8kAAAAJ")</f>
        <v>https://scholar.google.com/citations?user=2Y6Mi8kAAAAJ</v>
      </c>
      <c r="O266" s="30">
        <v>1.0</v>
      </c>
      <c r="P266" s="30">
        <v>1.0</v>
      </c>
      <c r="Q266" s="33" t="str">
        <f>HYPERLINK("https://nure.ua/staff/mikola-mihaylovich-kalyuzhniy","https://nure.ua/staff/mikola-mihaylovich-kalyuzhniy")</f>
        <v>https://nure.ua/staff/mikola-mihaylovich-kalyuzhniy</v>
      </c>
      <c r="R266" s="63" t="s">
        <v>870</v>
      </c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22">
        <v>3609.0</v>
      </c>
      <c r="B267" s="23" t="s">
        <v>871</v>
      </c>
      <c r="C267" s="24"/>
      <c r="D267" s="42"/>
      <c r="E267" s="50"/>
      <c r="F267" s="50"/>
      <c r="G267" s="50"/>
      <c r="H267" s="47"/>
      <c r="I267" s="47"/>
      <c r="J267" s="47"/>
      <c r="K267" s="28">
        <v>5.0</v>
      </c>
      <c r="L267" s="29" t="s">
        <v>356</v>
      </c>
      <c r="M267" s="30" t="s">
        <v>22</v>
      </c>
      <c r="N267" s="33" t="str">
        <f>HYPERLINK("https://scholar.google.com/citations?hl=ru&amp;user=ITjZZ7oAAAAJ","https://scholar.google.com/citations?hl=ru&amp;user=ITjZZ7oAAAAJ")</f>
        <v>https://scholar.google.com/citations?hl=ru&amp;user=ITjZZ7oAAAAJ</v>
      </c>
      <c r="O267" s="30">
        <v>0.0</v>
      </c>
      <c r="P267" s="30">
        <v>0.0</v>
      </c>
      <c r="Q267" s="30"/>
      <c r="R267" s="12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34">
        <v>7163.0</v>
      </c>
      <c r="B268" s="23" t="s">
        <v>872</v>
      </c>
      <c r="C268" s="35" t="s">
        <v>873</v>
      </c>
      <c r="D268" s="36" t="s">
        <v>874</v>
      </c>
      <c r="E268" s="26">
        <v>17.0</v>
      </c>
      <c r="F268" s="26">
        <v>47.0</v>
      </c>
      <c r="G268" s="26">
        <v>4.0</v>
      </c>
      <c r="H268" s="51"/>
      <c r="I268" s="51"/>
      <c r="J268" s="51"/>
      <c r="K268" s="38">
        <v>0.0</v>
      </c>
      <c r="L268" s="29"/>
      <c r="M268" s="40" t="s">
        <v>22</v>
      </c>
      <c r="N268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68" s="40">
        <v>185.0</v>
      </c>
      <c r="P268" s="40">
        <v>7.0</v>
      </c>
      <c r="Q268" s="41" t="str">
        <f>HYPERLINK("https://nure.ua/staff/anatoliy-oleksiyovich-kargin","https://nure.ua/staff/anatoliy-oleksiyovich-kargin")</f>
        <v>https://nure.ua/staff/anatoliy-oleksiyovich-kargin</v>
      </c>
      <c r="R268" s="63" t="s">
        <v>875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1657.0</v>
      </c>
      <c r="B269" s="23" t="s">
        <v>876</v>
      </c>
      <c r="C269" s="24"/>
      <c r="D269" s="42" t="s">
        <v>877</v>
      </c>
      <c r="E269" s="26">
        <v>2.0</v>
      </c>
      <c r="F269" s="26">
        <v>0.0</v>
      </c>
      <c r="G269" s="26">
        <v>0.0</v>
      </c>
      <c r="H269" s="27"/>
      <c r="I269" s="27"/>
      <c r="J269" s="27"/>
      <c r="K269" s="28">
        <v>36.0</v>
      </c>
      <c r="L269" s="44" t="s">
        <v>108</v>
      </c>
      <c r="M269" s="30" t="s">
        <v>22</v>
      </c>
      <c r="N269" s="33" t="str">
        <f>HYPERLINK("https://scholar.google.com/citations?user=60AkdNQAAAAJ","https://scholar.google.com/citations?user=60AkdNQAAAAJ")</f>
        <v>https://scholar.google.com/citations?user=60AkdNQAAAAJ</v>
      </c>
      <c r="O269" s="30">
        <v>3.0</v>
      </c>
      <c r="P269" s="30">
        <v>1.0</v>
      </c>
      <c r="Q269" s="33" t="str">
        <f>HYPERLINK("https://nure.ua/staff/volodimir-petrovich-karnaushenko","https://nure.ua/staff/volodimir-petrovich-karnaushenko")</f>
        <v>https://nure.ua/staff/volodimir-petrovich-karnaushenko</v>
      </c>
      <c r="R269" s="63" t="s">
        <v>878</v>
      </c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2">
        <v>222.0</v>
      </c>
      <c r="B270" s="23" t="s">
        <v>879</v>
      </c>
      <c r="C270" s="24" t="s">
        <v>880</v>
      </c>
      <c r="D270" s="42" t="s">
        <v>881</v>
      </c>
      <c r="E270" s="26">
        <v>74.0</v>
      </c>
      <c r="F270" s="26">
        <v>232.0</v>
      </c>
      <c r="G270" s="26">
        <v>8.0</v>
      </c>
      <c r="H270" s="27">
        <v>17.0</v>
      </c>
      <c r="I270" s="27">
        <v>41.0</v>
      </c>
      <c r="J270" s="27">
        <v>5.0</v>
      </c>
      <c r="K270" s="28">
        <v>63.0</v>
      </c>
      <c r="L270" s="44" t="s">
        <v>210</v>
      </c>
      <c r="M270" s="30" t="s">
        <v>22</v>
      </c>
      <c r="N270" s="33" t="str">
        <f>HYPERLINK("https://scholar.google.com/citations?user=T9fjL7oAAAAJ","https://scholar.google.com/citations?user=T9fjL7oAAAAJ")</f>
        <v>https://scholar.google.com/citations?user=T9fjL7oAAAAJ</v>
      </c>
      <c r="O270" s="30">
        <v>332.0</v>
      </c>
      <c r="P270" s="30">
        <v>10.0</v>
      </c>
      <c r="Q270" s="33" t="str">
        <f>HYPERLINK("https://nure.ua/staff/volodimir-mihaylovich-kartashov","https://nure.ua/staff/volodimir-mihaylovich-kartashov")</f>
        <v>https://nure.ua/staff/volodimir-mihaylovich-kartashov</v>
      </c>
      <c r="R270" s="63" t="s">
        <v>882</v>
      </c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84.0</v>
      </c>
      <c r="B271" s="23" t="s">
        <v>883</v>
      </c>
      <c r="C271" s="24" t="s">
        <v>884</v>
      </c>
      <c r="D271" s="42"/>
      <c r="E271" s="48"/>
      <c r="F271" s="48"/>
      <c r="G271" s="48"/>
      <c r="H271" s="27"/>
      <c r="I271" s="27"/>
      <c r="J271" s="27"/>
      <c r="K271" s="28">
        <v>5.0</v>
      </c>
      <c r="L271" s="44" t="s">
        <v>41</v>
      </c>
      <c r="M271" s="30" t="s">
        <v>22</v>
      </c>
      <c r="N271" s="33" t="str">
        <f>HYPERLINK("https://scholar.google.com/citations?user=MCZKp2kAAAAJ","https://scholar.google.com/citations?user=MCZKp2kAAAAJ")</f>
        <v>https://scholar.google.com/citations?user=MCZKp2kAAAAJ</v>
      </c>
      <c r="O271" s="30">
        <v>8.0</v>
      </c>
      <c r="P271" s="30">
        <v>2.0</v>
      </c>
      <c r="Q271" s="33" t="str">
        <f>HYPERLINK("https://nure.ua/staff/viktor-ivanovich-kauk","https://nure.ua/staff/viktor-ivanovich-kauk")</f>
        <v>https://nure.ua/staff/viktor-ivanovich-kauk</v>
      </c>
      <c r="R271" s="12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1055.0</v>
      </c>
      <c r="B272" s="23" t="s">
        <v>885</v>
      </c>
      <c r="C272" s="24" t="s">
        <v>886</v>
      </c>
      <c r="D272" s="42" t="s">
        <v>887</v>
      </c>
      <c r="E272" s="26">
        <v>9.0</v>
      </c>
      <c r="F272" s="26">
        <v>21.0</v>
      </c>
      <c r="G272" s="26">
        <v>2.0</v>
      </c>
      <c r="H272" s="27">
        <v>1.0</v>
      </c>
      <c r="I272" s="27">
        <v>0.0</v>
      </c>
      <c r="J272" s="27">
        <v>0.0</v>
      </c>
      <c r="K272" s="28">
        <v>29.0</v>
      </c>
      <c r="L272" s="44" t="s">
        <v>41</v>
      </c>
      <c r="M272" s="30" t="s">
        <v>22</v>
      </c>
      <c r="N272" s="33" t="str">
        <f>HYPERLINK("https://scholar.google.com/citations?user=cYx-DCwAAAAJ","https://scholar.google.com/citations?user=cYx-DCwAAAAJ")</f>
        <v>https://scholar.google.com/citations?user=cYx-DCwAAAAJ</v>
      </c>
      <c r="O272" s="30">
        <v>162.0</v>
      </c>
      <c r="P272" s="30">
        <v>4.0</v>
      </c>
      <c r="Q272" s="33" t="str">
        <f>HYPERLINK("https://nure.ua/staff/olena-grigorivna-kachko","https://nure.ua/staff/olena-grigorivna-kachko")</f>
        <v>https://nure.ua/staff/olena-grigorivna-kachko</v>
      </c>
      <c r="R272" s="63" t="s">
        <v>888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6681.0</v>
      </c>
      <c r="B273" s="23" t="s">
        <v>889</v>
      </c>
      <c r="C273" s="24" t="s">
        <v>890</v>
      </c>
      <c r="D273" s="42" t="s">
        <v>891</v>
      </c>
      <c r="E273" s="26">
        <v>8.0</v>
      </c>
      <c r="F273" s="26">
        <v>21.0</v>
      </c>
      <c r="G273" s="26">
        <v>2.0</v>
      </c>
      <c r="H273" s="27">
        <v>2.0</v>
      </c>
      <c r="I273" s="27">
        <v>1.0</v>
      </c>
      <c r="J273" s="27">
        <v>1.0</v>
      </c>
      <c r="K273" s="28">
        <v>4.0</v>
      </c>
      <c r="L273" s="44" t="s">
        <v>41</v>
      </c>
      <c r="M273" s="30" t="s">
        <v>22</v>
      </c>
      <c r="N273" s="33" t="str">
        <f>HYPERLINK("https://scholar.google.com.ua/citations?user=ta3O6ioAAAAJ","https://scholar.google.com.ua/citations?user=ta3O6ioAAAAJ")</f>
        <v>https://scholar.google.com.ua/citations?user=ta3O6ioAAAAJ</v>
      </c>
      <c r="O273" s="30">
        <v>6.0</v>
      </c>
      <c r="P273" s="30">
        <v>1.0</v>
      </c>
      <c r="Q273" s="33" t="str">
        <f>HYPERLINK("https://nure.ua/staff/kirichenko-irina-vitaliivna","https://nure.ua/staff/kirichenko-irina-vitaliivna")</f>
        <v>https://nure.ua/staff/kirichenko-irina-vitaliivna</v>
      </c>
      <c r="R273" s="63" t="s">
        <v>892</v>
      </c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1703.0</v>
      </c>
      <c r="B274" s="23" t="s">
        <v>893</v>
      </c>
      <c r="C274" s="24" t="s">
        <v>894</v>
      </c>
      <c r="D274" s="42" t="s">
        <v>895</v>
      </c>
      <c r="E274" s="26">
        <v>2.0</v>
      </c>
      <c r="F274" s="26">
        <v>2.0</v>
      </c>
      <c r="G274" s="26">
        <v>1.0</v>
      </c>
      <c r="H274" s="47"/>
      <c r="I274" s="47"/>
      <c r="J274" s="47"/>
      <c r="K274" s="28">
        <v>61.0</v>
      </c>
      <c r="L274" s="29" t="s">
        <v>329</v>
      </c>
      <c r="M274" s="30" t="s">
        <v>22</v>
      </c>
      <c r="N274" s="33" t="str">
        <f>HYPERLINK("https://scholar.google.com/citations?user=g3bvUZYAAAAJ","https://scholar.google.com/citations?user=g3bvUZYAAAAJ")</f>
        <v>https://scholar.google.com/citations?user=g3bvUZYAAAAJ</v>
      </c>
      <c r="O274" s="30">
        <v>21.0</v>
      </c>
      <c r="P274" s="30">
        <v>3.0</v>
      </c>
      <c r="Q274" s="33" t="str">
        <f>HYPERLINK("https://nure.ua/staff/valentina-vasilivna-kiriy","https://nure.ua/staff/valentina-vasilivna-kiriy")</f>
        <v>https://nure.ua/staff/valentina-vasilivna-kiriy</v>
      </c>
      <c r="R274" s="65" t="s">
        <v>896</v>
      </c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3760.0</v>
      </c>
      <c r="B275" s="23" t="s">
        <v>897</v>
      </c>
      <c r="C275" s="24"/>
      <c r="D275" s="42"/>
      <c r="E275" s="48"/>
      <c r="F275" s="48"/>
      <c r="G275" s="48"/>
      <c r="H275" s="47"/>
      <c r="I275" s="47"/>
      <c r="J275" s="47"/>
      <c r="K275" s="28">
        <v>0.0</v>
      </c>
      <c r="L275" s="39"/>
      <c r="M275" s="30" t="s">
        <v>22</v>
      </c>
      <c r="N275" s="30"/>
      <c r="O275" s="30"/>
      <c r="P275" s="30"/>
      <c r="Q275" s="33" t="str">
        <f>HYPERLINK("https://nure.ua/staff/grigoriy-silvestrovich-kiktyev","https://nure.ua/staff/grigoriy-silvestrovich-kiktyev")</f>
        <v>https://nure.ua/staff/grigoriy-silvestrovich-kiktyev</v>
      </c>
      <c r="R275" s="12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4873.0</v>
      </c>
      <c r="B276" s="23" t="s">
        <v>898</v>
      </c>
      <c r="C276" s="24"/>
      <c r="D276" s="42" t="s">
        <v>899</v>
      </c>
      <c r="E276" s="26">
        <v>7.0</v>
      </c>
      <c r="F276" s="26">
        <v>9.0</v>
      </c>
      <c r="G276" s="26">
        <v>2.0</v>
      </c>
      <c r="H276" s="27">
        <v>7.0</v>
      </c>
      <c r="I276" s="27">
        <v>5.0</v>
      </c>
      <c r="J276" s="27">
        <v>2.0</v>
      </c>
      <c r="K276" s="28">
        <v>0.0</v>
      </c>
      <c r="L276" s="29" t="s">
        <v>167</v>
      </c>
      <c r="M276" s="30" t="s">
        <v>22</v>
      </c>
      <c r="N276" s="33" t="str">
        <f>HYPERLINK("https://scholar.google.com/citations?user=Dxkuc9YAAAAJ","https://scholar.google.com/citations?user=Dxkuc9YAAAAJ")</f>
        <v>https://scholar.google.com/citations?user=Dxkuc9YAAAAJ</v>
      </c>
      <c r="O276" s="30">
        <v>78.0</v>
      </c>
      <c r="P276" s="30">
        <v>5.0</v>
      </c>
      <c r="Q276" s="33" t="str">
        <f>HYPERLINK("https://nure.ua/staff/dmitro-kostyantinovich-kinoshenko","https://nure.ua/staff/dmitro-kostyantinovich-kinoshenko")</f>
        <v>https://nure.ua/staff/dmitro-kostyantinovich-kinoshenko</v>
      </c>
      <c r="R276" s="63" t="s">
        <v>900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302.0</v>
      </c>
      <c r="B277" s="23" t="s">
        <v>901</v>
      </c>
      <c r="C277" s="24" t="s">
        <v>902</v>
      </c>
      <c r="D277" s="42" t="s">
        <v>903</v>
      </c>
      <c r="E277" s="26">
        <v>47.0</v>
      </c>
      <c r="F277" s="26">
        <v>507.0</v>
      </c>
      <c r="G277" s="26">
        <v>15.0</v>
      </c>
      <c r="H277" s="27">
        <v>15.0</v>
      </c>
      <c r="I277" s="27">
        <v>32.0</v>
      </c>
      <c r="J277" s="27">
        <v>4.0</v>
      </c>
      <c r="K277" s="28">
        <v>67.0</v>
      </c>
      <c r="L277" s="44" t="s">
        <v>428</v>
      </c>
      <c r="M277" s="30" t="s">
        <v>22</v>
      </c>
      <c r="N277" s="33" t="str">
        <f>HYPERLINK("https://scholar.google.com/citations?user=9XTJQyUAAAAJ","https://scholar.google.com/citations?user=9XTJQyUAAAAJ")</f>
        <v>https://scholar.google.com/citations?user=9XTJQyUAAAAJ</v>
      </c>
      <c r="O277" s="30">
        <v>773.0</v>
      </c>
      <c r="P277" s="30">
        <v>17.0</v>
      </c>
      <c r="Q277" s="33" t="str">
        <f>HYPERLINK("https://nure.ua/staff/lyudmila-olegivna-kirichenko","https://nure.ua/staff/lyudmila-olegivna-kirichenko")</f>
        <v>https://nure.ua/staff/lyudmila-olegivna-kirichenko</v>
      </c>
      <c r="R277" s="63" t="s">
        <v>904</v>
      </c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4031.0</v>
      </c>
      <c r="B278" s="23" t="s">
        <v>905</v>
      </c>
      <c r="C278" s="24" t="s">
        <v>906</v>
      </c>
      <c r="D278" s="42" t="s">
        <v>907</v>
      </c>
      <c r="E278" s="26">
        <v>4.0</v>
      </c>
      <c r="F278" s="26">
        <v>6.0</v>
      </c>
      <c r="G278" s="26">
        <v>2.0</v>
      </c>
      <c r="H278" s="27">
        <v>0.0</v>
      </c>
      <c r="I278" s="27">
        <v>0.0</v>
      </c>
      <c r="J278" s="27">
        <v>0.0</v>
      </c>
      <c r="K278" s="28">
        <v>5.0</v>
      </c>
      <c r="L278" s="44" t="s">
        <v>137</v>
      </c>
      <c r="M278" s="30" t="s">
        <v>22</v>
      </c>
      <c r="N278" s="33" t="str">
        <f>HYPERLINK("https://scholar.google.com/citations?user=V-1gK7oAAAAJ","https://scholar.google.com/citations?user=V-1gK7oAAAAJ")</f>
        <v>https://scholar.google.com/citations?user=V-1gK7oAAAAJ</v>
      </c>
      <c r="O278" s="30">
        <v>2.0</v>
      </c>
      <c r="P278" s="30">
        <v>1.0</v>
      </c>
      <c r="Q278" s="33" t="str">
        <f>HYPERLINK("https://nure.ua/staff/irina-mikolayivna-klimova","https://nure.ua/staff/irina-mikolayivna-klimova")</f>
        <v>https://nure.ua/staff/irina-mikolayivna-klimova</v>
      </c>
      <c r="R278" s="63" t="s">
        <v>908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386.0</v>
      </c>
      <c r="B279" s="23" t="s">
        <v>909</v>
      </c>
      <c r="C279" s="24" t="s">
        <v>910</v>
      </c>
      <c r="D279" s="42" t="s">
        <v>911</v>
      </c>
      <c r="E279" s="26">
        <v>3.0</v>
      </c>
      <c r="F279" s="26">
        <v>0.0</v>
      </c>
      <c r="G279" s="26">
        <v>0.0</v>
      </c>
      <c r="H279" s="27"/>
      <c r="I279" s="27"/>
      <c r="J279" s="27"/>
      <c r="K279" s="28">
        <v>7.0</v>
      </c>
      <c r="L279" s="56" t="s">
        <v>94</v>
      </c>
      <c r="M279" s="30" t="s">
        <v>22</v>
      </c>
      <c r="N279" s="33" t="str">
        <f>HYPERLINK("https://scholar.google.com/citations?user=y0CmNrMAAAAJ","https://scholar.google.com/citations?user=y0CmNrMAAAAJ")</f>
        <v>https://scholar.google.com/citations?user=y0CmNrMAAAAJ</v>
      </c>
      <c r="O279" s="30">
        <v>10.0</v>
      </c>
      <c r="P279" s="30">
        <v>1.0</v>
      </c>
      <c r="Q279" s="33" t="str">
        <f>HYPERLINK("https://nure.ua/staff/nataliya-pavlivna-klimova","https://nure.ua/staff/nataliya-pavlivna-klimova")</f>
        <v>https://nure.ua/staff/nataliya-pavlivna-klimova</v>
      </c>
      <c r="R279" s="63" t="s">
        <v>912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22">
        <v>812.0</v>
      </c>
      <c r="B280" s="23" t="s">
        <v>913</v>
      </c>
      <c r="C280" s="24" t="s">
        <v>914</v>
      </c>
      <c r="D280" s="42" t="s">
        <v>915</v>
      </c>
      <c r="E280" s="26">
        <v>9.0</v>
      </c>
      <c r="F280" s="26">
        <v>32.0</v>
      </c>
      <c r="G280" s="26">
        <v>4.0</v>
      </c>
      <c r="H280" s="27">
        <v>3.0</v>
      </c>
      <c r="I280" s="27">
        <v>4.0</v>
      </c>
      <c r="J280" s="27">
        <v>1.0</v>
      </c>
      <c r="K280" s="28">
        <v>9.0</v>
      </c>
      <c r="L280" s="44" t="s">
        <v>409</v>
      </c>
      <c r="M280" s="30" t="s">
        <v>22</v>
      </c>
      <c r="N280" s="33" t="str">
        <f>HYPERLINK("https://scholar.google.com/citations?user=NaQrwYUAAAAJ","https://scholar.google.com/citations?user=NaQrwYUAAAAJ")</f>
        <v>https://scholar.google.com/citations?user=NaQrwYUAAAAJ</v>
      </c>
      <c r="O280" s="30">
        <v>51.0</v>
      </c>
      <c r="P280" s="30">
        <v>4.0</v>
      </c>
      <c r="Q280" s="33" t="str">
        <f>HYPERLINK("https://nure.ua/staff/igor-ivanovich-klyuchnik","https://nure.ua/staff/igor-ivanovich-klyuchnik")</f>
        <v>https://nure.ua/staff/igor-ivanovich-klyuchnik</v>
      </c>
      <c r="R280" s="63" t="s">
        <v>916</v>
      </c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34">
        <v>5260.0</v>
      </c>
      <c r="B281" s="49" t="s">
        <v>917</v>
      </c>
      <c r="C281" s="35" t="s">
        <v>918</v>
      </c>
      <c r="D281" s="36"/>
      <c r="E281" s="50">
        <v>0.0</v>
      </c>
      <c r="F281" s="50">
        <v>0.0</v>
      </c>
      <c r="G281" s="50">
        <v>0.0</v>
      </c>
      <c r="H281" s="51">
        <v>0.0</v>
      </c>
      <c r="I281" s="51">
        <v>0.0</v>
      </c>
      <c r="J281" s="51">
        <v>0.0</v>
      </c>
      <c r="K281" s="38">
        <v>15.0</v>
      </c>
      <c r="L281" s="40"/>
      <c r="M281" s="40" t="s">
        <v>79</v>
      </c>
      <c r="N281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1" s="40">
        <v>25.0</v>
      </c>
      <c r="P281" s="40">
        <v>3.0</v>
      </c>
      <c r="Q281" s="41" t="str">
        <f>HYPERLINK("https://nure.ua/staff/igor-volodimirovich-kobziev","https://nure.ua/staff/igor-volodimirovich-kobziev")</f>
        <v>https://nure.ua/staff/igor-volodimirovich-kobziev</v>
      </c>
      <c r="R281" s="52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22">
        <v>3604.0</v>
      </c>
      <c r="B282" s="23" t="s">
        <v>919</v>
      </c>
      <c r="C282" s="24" t="s">
        <v>918</v>
      </c>
      <c r="D282" s="42" t="s">
        <v>920</v>
      </c>
      <c r="E282" s="26">
        <v>2.0</v>
      </c>
      <c r="F282" s="26">
        <v>0.0</v>
      </c>
      <c r="G282" s="26">
        <v>0.0</v>
      </c>
      <c r="H282" s="27">
        <v>0.0</v>
      </c>
      <c r="I282" s="27">
        <v>0.0</v>
      </c>
      <c r="J282" s="27">
        <v>0.0</v>
      </c>
      <c r="K282" s="28">
        <v>43.0</v>
      </c>
      <c r="L282" s="44" t="s">
        <v>41</v>
      </c>
      <c r="M282" s="30" t="s">
        <v>22</v>
      </c>
      <c r="N282" s="33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2" s="30">
        <v>34.0</v>
      </c>
      <c r="P282" s="30">
        <v>3.0</v>
      </c>
      <c r="Q282" s="33" t="str">
        <f>HYPERLINK("https://nure.ua/ru/staff/vladimir-grigorevich-kobzev","https://nure.ua/ru/staff/vladimir-grigorevich-kobzev")</f>
        <v>https://nure.ua/ru/staff/vladimir-grigorevich-kobzev</v>
      </c>
      <c r="R282" s="63" t="s">
        <v>921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2">
        <v>6143.0</v>
      </c>
      <c r="B283" s="23" t="s">
        <v>922</v>
      </c>
      <c r="C283" s="24"/>
      <c r="D283" s="42" t="s">
        <v>923</v>
      </c>
      <c r="E283" s="26">
        <v>3.0</v>
      </c>
      <c r="F283" s="26">
        <v>10.0</v>
      </c>
      <c r="G283" s="26">
        <v>2.0</v>
      </c>
      <c r="H283" s="27">
        <v>3.0</v>
      </c>
      <c r="I283" s="27">
        <v>5.0</v>
      </c>
      <c r="J283" s="27">
        <v>1.0</v>
      </c>
      <c r="K283" s="28">
        <v>1.0</v>
      </c>
      <c r="L283" s="29" t="s">
        <v>167</v>
      </c>
      <c r="M283" s="30" t="s">
        <v>22</v>
      </c>
      <c r="N283" s="33" t="str">
        <f>HYPERLINK("https://scholar.google.com/citations?hl=ru&amp;user=vGcQFhkAAAAJ","https://scholar.google.com/citations?hl=ru&amp;user=vGcQFhkAAAAJ")</f>
        <v>https://scholar.google.com/citations?hl=ru&amp;user=vGcQFhkAAAAJ</v>
      </c>
      <c r="O283" s="30">
        <v>23.0</v>
      </c>
      <c r="P283" s="30">
        <v>4.0</v>
      </c>
      <c r="Q283" s="30"/>
      <c r="R283" s="63" t="s">
        <v>924</v>
      </c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2">
        <v>332.0</v>
      </c>
      <c r="B284" s="23" t="s">
        <v>925</v>
      </c>
      <c r="C284" s="24" t="s">
        <v>926</v>
      </c>
      <c r="D284" s="42" t="s">
        <v>927</v>
      </c>
      <c r="E284" s="26">
        <v>14.0</v>
      </c>
      <c r="F284" s="26">
        <v>50.0</v>
      </c>
      <c r="G284" s="26">
        <v>4.0</v>
      </c>
      <c r="H284" s="27">
        <v>8.0</v>
      </c>
      <c r="I284" s="27">
        <v>9.0</v>
      </c>
      <c r="J284" s="27">
        <v>2.0</v>
      </c>
      <c r="K284" s="28">
        <v>18.0</v>
      </c>
      <c r="L284" s="29" t="s">
        <v>167</v>
      </c>
      <c r="M284" s="30" t="s">
        <v>22</v>
      </c>
      <c r="N284" s="33" t="str">
        <f>HYPERLINK("https://scholar.google.com.ua/citations?user=ty0eOewAAAAJ","https://scholar.google.com.ua/citations?user=ty0eOewAAAAJ")</f>
        <v>https://scholar.google.com.ua/citations?user=ty0eOewAAAAJ</v>
      </c>
      <c r="O284" s="30">
        <v>273.0</v>
      </c>
      <c r="P284" s="30">
        <v>11.0</v>
      </c>
      <c r="Q284" s="33" t="str">
        <f>HYPERLINK("https://nure.ua/staff/oleg-anatoliyovich-kobilin","https://nure.ua/staff/oleg-anatoliyovich-kobilin")</f>
        <v>https://nure.ua/staff/oleg-anatoliyovich-kobilin</v>
      </c>
      <c r="R284" s="63" t="s">
        <v>928</v>
      </c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7664.0</v>
      </c>
      <c r="B285" s="23" t="s">
        <v>929</v>
      </c>
      <c r="C285" s="24" t="s">
        <v>930</v>
      </c>
      <c r="D285" s="42"/>
      <c r="E285" s="48"/>
      <c r="F285" s="48"/>
      <c r="G285" s="48"/>
      <c r="H285" s="27"/>
      <c r="I285" s="27"/>
      <c r="J285" s="27"/>
      <c r="K285" s="28">
        <v>2.0</v>
      </c>
      <c r="L285" s="44" t="s">
        <v>144</v>
      </c>
      <c r="M285" s="30" t="s">
        <v>22</v>
      </c>
      <c r="N285" s="33" t="str">
        <f>HYPERLINK("https://scholar.google.com/citations?user=NLSaZLoAAAAJ","https://scholar.google.com/citations?user=NLSaZLoAAAAJ")</f>
        <v>https://scholar.google.com/citations?user=NLSaZLoAAAAJ</v>
      </c>
      <c r="O285" s="30">
        <v>0.0</v>
      </c>
      <c r="P285" s="30">
        <v>0.0</v>
      </c>
      <c r="Q285" s="33" t="str">
        <f>HYPERLINK("https://nure.ua/staff/veronika-mihajlivna-kobceva","https://nure.ua/staff/veronika-mihajlivna-kobceva")</f>
        <v>https://nure.ua/staff/veronika-mihajlivna-kobceva</v>
      </c>
      <c r="R285" s="12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4316.0</v>
      </c>
      <c r="B286" s="23" t="s">
        <v>931</v>
      </c>
      <c r="C286" s="24" t="s">
        <v>932</v>
      </c>
      <c r="D286" s="42" t="s">
        <v>933</v>
      </c>
      <c r="E286" s="26">
        <v>39.0</v>
      </c>
      <c r="F286" s="26">
        <v>195.0</v>
      </c>
      <c r="G286" s="26">
        <v>10.0</v>
      </c>
      <c r="H286" s="27">
        <v>7.0</v>
      </c>
      <c r="I286" s="27">
        <v>13.0</v>
      </c>
      <c r="J286" s="27">
        <v>2.0</v>
      </c>
      <c r="K286" s="28">
        <v>0.0</v>
      </c>
      <c r="L286" s="29" t="s">
        <v>71</v>
      </c>
      <c r="M286" s="30" t="s">
        <v>22</v>
      </c>
      <c r="N286" s="33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6" s="30">
        <v>865.0</v>
      </c>
      <c r="P286" s="30">
        <v>16.0</v>
      </c>
      <c r="Q286" s="33" t="str">
        <f>HYPERLINK("https://nure.ua/staff/andriy-anatoliyovich-kovalenko","https://nure.ua/staff/andriy-anatoliyovich-kovalenko")</f>
        <v>https://nure.ua/staff/andriy-anatoliyovich-kovalenko</v>
      </c>
      <c r="R286" s="63" t="s">
        <v>934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5011.0</v>
      </c>
      <c r="B287" s="23" t="s">
        <v>935</v>
      </c>
      <c r="C287" s="24" t="s">
        <v>936</v>
      </c>
      <c r="D287" s="42" t="s">
        <v>937</v>
      </c>
      <c r="E287" s="26">
        <v>6.0</v>
      </c>
      <c r="F287" s="26">
        <v>6.0</v>
      </c>
      <c r="G287" s="26">
        <v>2.0</v>
      </c>
      <c r="H287" s="27">
        <v>2.0</v>
      </c>
      <c r="I287" s="27">
        <v>1.0</v>
      </c>
      <c r="J287" s="27">
        <v>1.0</v>
      </c>
      <c r="K287" s="28">
        <v>4.0</v>
      </c>
      <c r="L287" s="44" t="s">
        <v>137</v>
      </c>
      <c r="M287" s="30" t="s">
        <v>22</v>
      </c>
      <c r="N287" s="33" t="str">
        <f>HYPERLINK("https://scholar.google.com.ua/citations?user=l4-VWeAAAAAJ","https://scholar.google.com.ua/citations?user=l4-VWeAAAAAJ")</f>
        <v>https://scholar.google.com.ua/citations?user=l4-VWeAAAAAJ</v>
      </c>
      <c r="O287" s="30">
        <v>14.0</v>
      </c>
      <c r="P287" s="30">
        <v>2.0</v>
      </c>
      <c r="Q287" s="33" t="str">
        <f>HYPERLINK("https://nure.ua/staff/andriy-ivanovich-kovalenko","https://nure.ua/staff/andriy-ivanovich-kovalenko")</f>
        <v>https://nure.ua/staff/andriy-ivanovich-kovalenko</v>
      </c>
      <c r="R287" s="63" t="s">
        <v>938</v>
      </c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6913.0</v>
      </c>
      <c r="B288" s="23" t="s">
        <v>939</v>
      </c>
      <c r="C288" s="24" t="s">
        <v>940</v>
      </c>
      <c r="D288" s="42" t="s">
        <v>941</v>
      </c>
      <c r="E288" s="64">
        <v>6.0</v>
      </c>
      <c r="F288" s="26">
        <v>83.0</v>
      </c>
      <c r="G288" s="26">
        <v>4.0</v>
      </c>
      <c r="H288" s="27">
        <v>3.0</v>
      </c>
      <c r="I288" s="27">
        <v>13.0</v>
      </c>
      <c r="J288" s="27">
        <v>2.0</v>
      </c>
      <c r="K288" s="28">
        <v>1.0</v>
      </c>
      <c r="L288" s="39"/>
      <c r="M288" s="30" t="s">
        <v>22</v>
      </c>
      <c r="N288" s="33" t="str">
        <f>HYPERLINK("https://scholar.google.com/citations?user=fxEbxKEAAAAJ","https://scholar.google.com/citations?user=fxEbxKEAAAAJ")</f>
        <v>https://scholar.google.com/citations?user=fxEbxKEAAAAJ</v>
      </c>
      <c r="O288" s="30">
        <v>63.0</v>
      </c>
      <c r="P288" s="30">
        <v>3.0</v>
      </c>
      <c r="Q288" s="33" t="str">
        <f>HYPERLINK("https://nure.ua/staff/ganna-andriivna-kovalenko","https://nure.ua/staff/ganna-andriivna-kovalenko")</f>
        <v>https://nure.ua/staff/ganna-andriivna-kovalenko</v>
      </c>
      <c r="R288" s="63" t="s">
        <v>942</v>
      </c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6467.0</v>
      </c>
      <c r="B289" s="23" t="s">
        <v>943</v>
      </c>
      <c r="C289" s="24" t="s">
        <v>944</v>
      </c>
      <c r="D289" s="42"/>
      <c r="E289" s="50"/>
      <c r="F289" s="50"/>
      <c r="G289" s="50"/>
      <c r="H289" s="47"/>
      <c r="I289" s="47"/>
      <c r="J289" s="47"/>
      <c r="K289" s="28">
        <v>5.0</v>
      </c>
      <c r="L289" s="39" t="s">
        <v>116</v>
      </c>
      <c r="M289" s="30" t="s">
        <v>22</v>
      </c>
      <c r="N289" s="33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89" s="30">
        <v>31.0</v>
      </c>
      <c r="P289" s="30">
        <v>3.0</v>
      </c>
      <c r="Q289" s="33" t="str">
        <f>HYPERLINK("https://nure.ua/staff/eduard-anatoliyovich-kovalenko","https://nure.ua/staff/eduard-anatoliyovich-kovalenko")</f>
        <v>https://nure.ua/staff/eduard-anatoliyovich-kovalenko</v>
      </c>
      <c r="R289" s="12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2219.0</v>
      </c>
      <c r="B290" s="23" t="s">
        <v>945</v>
      </c>
      <c r="C290" s="24" t="s">
        <v>946</v>
      </c>
      <c r="D290" s="42" t="s">
        <v>947</v>
      </c>
      <c r="E290" s="64">
        <v>57.0</v>
      </c>
      <c r="F290" s="26">
        <v>178.0</v>
      </c>
      <c r="G290" s="26">
        <v>6.0</v>
      </c>
      <c r="H290" s="27">
        <v>21.0</v>
      </c>
      <c r="I290" s="27">
        <v>90.0</v>
      </c>
      <c r="J290" s="27">
        <v>3.0</v>
      </c>
      <c r="K290" s="28">
        <v>23.0</v>
      </c>
      <c r="L290" s="44" t="s">
        <v>859</v>
      </c>
      <c r="M290" s="30" t="s">
        <v>22</v>
      </c>
      <c r="N290" s="33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90" s="30">
        <v>292.0</v>
      </c>
      <c r="P290" s="30">
        <v>9.0</v>
      </c>
      <c r="Q290" s="33" t="str">
        <f>HYPERLINK("https://nure.ua/staff/olena-mikolayivna-kovalenko","https://nure.ua/staff/olena-mikolayivna-kovalenko")</f>
        <v>https://nure.ua/staff/olena-mikolayivna-kovalenko</v>
      </c>
      <c r="R290" s="63" t="s">
        <v>948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22">
        <v>3636.0</v>
      </c>
      <c r="B291" s="23" t="s">
        <v>949</v>
      </c>
      <c r="C291" s="24" t="s">
        <v>950</v>
      </c>
      <c r="D291" s="42" t="s">
        <v>951</v>
      </c>
      <c r="E291" s="64">
        <v>7.0</v>
      </c>
      <c r="F291" s="26">
        <v>11.0</v>
      </c>
      <c r="G291" s="26">
        <v>2.0</v>
      </c>
      <c r="H291" s="27">
        <v>2.0</v>
      </c>
      <c r="I291" s="27">
        <v>0.0</v>
      </c>
      <c r="J291" s="27">
        <v>0.0</v>
      </c>
      <c r="K291" s="28">
        <v>8.0</v>
      </c>
      <c r="L291" s="29" t="s">
        <v>36</v>
      </c>
      <c r="M291" s="30" t="s">
        <v>22</v>
      </c>
      <c r="N291" s="33" t="str">
        <f>HYPERLINK("https://scholar.google.com.ua/citations?user=eBK50z8AAAAJ","https://scholar.google.com.ua/citations?user=eBK50z8AAAAJ")</f>
        <v>https://scholar.google.com.ua/citations?user=eBK50z8AAAAJ</v>
      </c>
      <c r="O291" s="30">
        <v>14.0</v>
      </c>
      <c r="P291" s="30">
        <v>2.0</v>
      </c>
      <c r="Q291" s="33" t="str">
        <f>HYPERLINK("https://nure.ua/staff/tetyana-mikolayivna-kovalenko","https://nure.ua/staff/tetyana-mikolayivna-kovalenko")</f>
        <v>https://nure.ua/staff/tetyana-mikolayivna-kovalenko</v>
      </c>
      <c r="R291" s="63" t="s">
        <v>952</v>
      </c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34">
        <v>7257.0</v>
      </c>
      <c r="B292" s="49" t="s">
        <v>953</v>
      </c>
      <c r="C292" s="35"/>
      <c r="D292" s="36"/>
      <c r="E292" s="50"/>
      <c r="F292" s="50"/>
      <c r="G292" s="50"/>
      <c r="H292" s="51"/>
      <c r="I292" s="51"/>
      <c r="J292" s="51"/>
      <c r="K292" s="38">
        <v>0.0</v>
      </c>
      <c r="L292" s="40" t="s">
        <v>78</v>
      </c>
      <c r="M292" s="40" t="s">
        <v>79</v>
      </c>
      <c r="N292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2" s="40">
        <v>5.0</v>
      </c>
      <c r="P292" s="40">
        <v>1.0</v>
      </c>
      <c r="Q292" s="40"/>
      <c r="R292" s="52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22">
        <v>6512.0</v>
      </c>
      <c r="B293" s="23" t="s">
        <v>954</v>
      </c>
      <c r="C293" s="24"/>
      <c r="D293" s="42"/>
      <c r="E293" s="50"/>
      <c r="F293" s="50"/>
      <c r="G293" s="50"/>
      <c r="H293" s="47"/>
      <c r="I293" s="47"/>
      <c r="J293" s="47"/>
      <c r="K293" s="28">
        <v>0.0</v>
      </c>
      <c r="L293" s="29"/>
      <c r="M293" s="30" t="s">
        <v>22</v>
      </c>
      <c r="N293" s="33" t="str">
        <f>HYPERLINK("https://scholar.google.com/citations?user=2sQOJngAAAAJ","https://scholar.google.com/citations?user=2sQOJngAAAAJ")</f>
        <v>https://scholar.google.com/citations?user=2sQOJngAAAAJ</v>
      </c>
      <c r="O293" s="30">
        <v>0.0</v>
      </c>
      <c r="P293" s="30">
        <v>0.0</v>
      </c>
      <c r="Q293" s="33" t="str">
        <f>HYPERLINK("https://nure.ua/staff/irina-volodimirivna-kovalova","https://nure.ua/staff/irina-volodimirivna-kovalova")</f>
        <v>https://nure.ua/staff/irina-volodimirivna-kovalova</v>
      </c>
      <c r="R293" s="12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2">
        <v>614.0</v>
      </c>
      <c r="B294" s="23" t="s">
        <v>955</v>
      </c>
      <c r="C294" s="24" t="s">
        <v>956</v>
      </c>
      <c r="D294" s="42"/>
      <c r="E294" s="48"/>
      <c r="F294" s="48"/>
      <c r="G294" s="48"/>
      <c r="H294" s="27"/>
      <c r="I294" s="27"/>
      <c r="J294" s="27"/>
      <c r="K294" s="28">
        <v>2.0</v>
      </c>
      <c r="L294" s="29" t="s">
        <v>36</v>
      </c>
      <c r="M294" s="30" t="s">
        <v>22</v>
      </c>
      <c r="N294" s="33" t="str">
        <f>HYPERLINK("https://scholar.google.com/citations?user=hzzbYZoAAAAJ","https://scholar.google.com/citations?user=hzzbYZoAAAAJ")</f>
        <v>https://scholar.google.com/citations?user=hzzbYZoAAAAJ</v>
      </c>
      <c r="O294" s="30">
        <v>4.0</v>
      </c>
      <c r="P294" s="30">
        <v>1.0</v>
      </c>
      <c r="Q294" s="33" t="str">
        <f>HYPERLINK("https://nure.ua/staff/kovalchuk-valentina-kostyantinivna","https://nure.ua/staff/kovalchuk-valentina-kostyantinivna")</f>
        <v>https://nure.ua/staff/kovalchuk-valentina-kostyantinivna</v>
      </c>
      <c r="R294" s="12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2">
        <v>990.0</v>
      </c>
      <c r="B295" s="23" t="s">
        <v>957</v>
      </c>
      <c r="C295" s="24" t="s">
        <v>958</v>
      </c>
      <c r="D295" s="42" t="s">
        <v>959</v>
      </c>
      <c r="E295" s="26">
        <v>15.0</v>
      </c>
      <c r="F295" s="26">
        <v>13.0</v>
      </c>
      <c r="G295" s="26">
        <v>2.0</v>
      </c>
      <c r="H295" s="27">
        <v>3.0</v>
      </c>
      <c r="I295" s="27">
        <v>0.0</v>
      </c>
      <c r="J295" s="27">
        <v>0.0</v>
      </c>
      <c r="K295" s="28">
        <v>14.0</v>
      </c>
      <c r="L295" s="44" t="s">
        <v>859</v>
      </c>
      <c r="M295" s="30" t="s">
        <v>22</v>
      </c>
      <c r="N295" s="33" t="str">
        <f>HYPERLINK("https://scholar.google.com/citations?hl=ru&amp;user=xDXyxdwAAAAJ","https://scholar.google.com/citations?hl=ru&amp;user=xDXyxdwAAAAJ")</f>
        <v>https://scholar.google.com/citations?hl=ru&amp;user=xDXyxdwAAAAJ</v>
      </c>
      <c r="O295" s="30">
        <v>48.0</v>
      </c>
      <c r="P295" s="30">
        <v>4.0</v>
      </c>
      <c r="Q295" s="30"/>
      <c r="R295" s="63" t="s">
        <v>960</v>
      </c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6019.0</v>
      </c>
      <c r="B296" s="23" t="s">
        <v>961</v>
      </c>
      <c r="C296" s="24" t="s">
        <v>962</v>
      </c>
      <c r="D296" s="42"/>
      <c r="E296" s="48"/>
      <c r="F296" s="48"/>
      <c r="G296" s="48"/>
      <c r="H296" s="27"/>
      <c r="I296" s="27"/>
      <c r="J296" s="27"/>
      <c r="K296" s="28">
        <v>1.0</v>
      </c>
      <c r="L296" s="39"/>
      <c r="M296" s="30" t="s">
        <v>22</v>
      </c>
      <c r="N296" s="33" t="str">
        <f>HYPERLINK("https://scholar.google.com/citations?hl=ru&amp;user=s3GE7LQAAAAJ","https://scholar.google.com/citations?hl=ru&amp;user=s3GE7LQAAAAJ")</f>
        <v>https://scholar.google.com/citations?hl=ru&amp;user=s3GE7LQAAAAJ</v>
      </c>
      <c r="O296" s="30">
        <v>0.0</v>
      </c>
      <c r="P296" s="30">
        <v>0.0</v>
      </c>
      <c r="Q296" s="33" t="str">
        <f>HYPERLINK("https://nure.ua/staff/natalya-borisivna-kozel","https://nure.ua/staff/natalya-borisivna-kozel")</f>
        <v>https://nure.ua/staff/natalya-borisivna-kozel</v>
      </c>
      <c r="R296" s="12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843.0</v>
      </c>
      <c r="B297" s="23" t="s">
        <v>963</v>
      </c>
      <c r="C297" s="24"/>
      <c r="D297" s="42"/>
      <c r="E297" s="50"/>
      <c r="F297" s="50"/>
      <c r="G297" s="50"/>
      <c r="H297" s="27">
        <v>1.0</v>
      </c>
      <c r="I297" s="27">
        <v>0.0</v>
      </c>
      <c r="J297" s="27">
        <v>0.0</v>
      </c>
      <c r="K297" s="28">
        <v>2.0</v>
      </c>
      <c r="L297" s="44" t="s">
        <v>428</v>
      </c>
      <c r="M297" s="30" t="s">
        <v>22</v>
      </c>
      <c r="N297" s="33" t="str">
        <f>HYPERLINK("https://scholar.google.com/citations?user=08O64igAAAAJ","https://scholar.google.com/citations?user=08O64igAAAAJ")</f>
        <v>https://scholar.google.com/citations?user=08O64igAAAAJ</v>
      </c>
      <c r="O297" s="30">
        <v>29.0</v>
      </c>
      <c r="P297" s="30">
        <v>3.0</v>
      </c>
      <c r="Q297" s="33" t="str">
        <f>HYPERLINK("https://nure.ua/staff/svitlana-ivanivna-kozirenko","https://nure.ua/staff/svitlana-ivanivna-kozirenko")</f>
        <v>https://nure.ua/staff/svitlana-ivanivna-kozirenko</v>
      </c>
      <c r="R297" s="12" t="s">
        <v>964</v>
      </c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4713.0</v>
      </c>
      <c r="B298" s="23" t="s">
        <v>965</v>
      </c>
      <c r="C298" s="24" t="s">
        <v>966</v>
      </c>
      <c r="D298" s="42"/>
      <c r="E298" s="48"/>
      <c r="F298" s="48"/>
      <c r="G298" s="48"/>
      <c r="H298" s="27"/>
      <c r="I298" s="27"/>
      <c r="J298" s="27"/>
      <c r="K298" s="28">
        <v>7.0</v>
      </c>
      <c r="L298" s="29" t="s">
        <v>594</v>
      </c>
      <c r="M298" s="30" t="s">
        <v>22</v>
      </c>
      <c r="N298" s="33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298" s="30">
        <v>37.0</v>
      </c>
      <c r="P298" s="30">
        <v>3.0</v>
      </c>
      <c r="Q298" s="33" t="str">
        <f>HYPERLINK("https://nure.ua/staff/jurij-valentinovich-kozlov","https://nure.ua/staff/jurij-valentinovich-kozlov")</f>
        <v>https://nure.ua/staff/jurij-valentinovich-kozlov</v>
      </c>
      <c r="R298" s="12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7477.0</v>
      </c>
      <c r="B299" s="23" t="s">
        <v>967</v>
      </c>
      <c r="C299" s="24" t="s">
        <v>968</v>
      </c>
      <c r="D299" s="42" t="s">
        <v>969</v>
      </c>
      <c r="E299" s="26">
        <v>11.0</v>
      </c>
      <c r="F299" s="26">
        <v>24.0</v>
      </c>
      <c r="G299" s="26">
        <v>3.0</v>
      </c>
      <c r="H299" s="27">
        <v>5.0</v>
      </c>
      <c r="I299" s="27">
        <v>17.0</v>
      </c>
      <c r="J299" s="27">
        <v>2.0</v>
      </c>
      <c r="K299" s="28">
        <v>0.0</v>
      </c>
      <c r="L299" s="44" t="s">
        <v>128</v>
      </c>
      <c r="M299" s="30"/>
      <c r="N299" s="30"/>
      <c r="O299" s="30"/>
      <c r="P299" s="30"/>
      <c r="Q299" s="30"/>
      <c r="R299" s="63" t="s">
        <v>970</v>
      </c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7962.0</v>
      </c>
      <c r="B300" s="23" t="s">
        <v>971</v>
      </c>
      <c r="C300" s="24" t="s">
        <v>972</v>
      </c>
      <c r="D300" s="42"/>
      <c r="E300" s="48"/>
      <c r="F300" s="48"/>
      <c r="G300" s="48"/>
      <c r="H300" s="27"/>
      <c r="I300" s="27"/>
      <c r="J300" s="27"/>
      <c r="K300" s="28">
        <v>5.0</v>
      </c>
      <c r="L300" s="29" t="s">
        <v>21</v>
      </c>
      <c r="M300" s="30" t="s">
        <v>22</v>
      </c>
      <c r="N300" s="33" t="str">
        <f>HYPERLINK("https://scholar.google.com/citations?user=o91NCKsAAAAJ","https://scholar.google.com/citations?user=o91NCKsAAAAJ")</f>
        <v>https://scholar.google.com/citations?user=o91NCKsAAAAJ</v>
      </c>
      <c r="O300" s="30">
        <v>0.0</v>
      </c>
      <c r="P300" s="30">
        <v>0.0</v>
      </c>
      <c r="Q300" s="33" t="str">
        <f>HYPERLINK("https://nure.ua/staff/andrij-eduardovich-kokorev","https://nure.ua/staff/andrij-eduardovich-kokorev")</f>
        <v>https://nure.ua/staff/andrij-eduardovich-kokorev</v>
      </c>
      <c r="R300" s="12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1758.0</v>
      </c>
      <c r="B301" s="23" t="s">
        <v>973</v>
      </c>
      <c r="C301" s="24" t="s">
        <v>974</v>
      </c>
      <c r="D301" s="42" t="s">
        <v>975</v>
      </c>
      <c r="E301" s="26">
        <v>14.0</v>
      </c>
      <c r="F301" s="26">
        <v>31.0</v>
      </c>
      <c r="G301" s="26">
        <v>3.0</v>
      </c>
      <c r="H301" s="27">
        <v>4.0</v>
      </c>
      <c r="I301" s="27">
        <v>8.0</v>
      </c>
      <c r="J301" s="27">
        <v>2.0</v>
      </c>
      <c r="K301" s="28">
        <v>5.0</v>
      </c>
      <c r="L301" s="44" t="s">
        <v>210</v>
      </c>
      <c r="M301" s="30" t="s">
        <v>22</v>
      </c>
      <c r="N301" s="33" t="str">
        <f>HYPERLINK("https://scholar.google.com.ua/citations?user=jvMhCqAAAAAJ","https://scholar.google.com.ua/citations?user=jvMhCqAAAAAJ")</f>
        <v>https://scholar.google.com.ua/citations?user=jvMhCqAAAAAJ</v>
      </c>
      <c r="O301" s="30">
        <v>24.0</v>
      </c>
      <c r="P301" s="30">
        <v>3.0</v>
      </c>
      <c r="Q301" s="33" t="str">
        <f>HYPERLINK("https://nure.ua/staff/marina-miroslavivna-kolendovska","https://nure.ua/staff/marina-miroslavivna-kolendovska")</f>
        <v>https://nure.ua/staff/marina-miroslavivna-kolendovska</v>
      </c>
      <c r="R301" s="63" t="s">
        <v>976</v>
      </c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617.0</v>
      </c>
      <c r="B302" s="23" t="s">
        <v>977</v>
      </c>
      <c r="C302" s="24"/>
      <c r="D302" s="42"/>
      <c r="E302" s="48"/>
      <c r="F302" s="48"/>
      <c r="G302" s="48"/>
      <c r="H302" s="27"/>
      <c r="I302" s="27"/>
      <c r="J302" s="27"/>
      <c r="K302" s="28">
        <v>0.0</v>
      </c>
      <c r="L302" s="39"/>
      <c r="M302" s="30" t="s">
        <v>22</v>
      </c>
      <c r="N302" s="33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2" s="30">
        <v>0.0</v>
      </c>
      <c r="P302" s="30">
        <v>0.0</v>
      </c>
      <c r="Q302" s="33" t="str">
        <f>HYPERLINK("https://nure.ua/staff/bronislav-oleksiyovich-kolesnik","https://nure.ua/staff/bronislav-oleksiyovich-kolesnik")</f>
        <v>https://nure.ua/staff/bronislav-oleksiyovich-kolesnik</v>
      </c>
      <c r="R302" s="12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2273.0</v>
      </c>
      <c r="B303" s="23" t="s">
        <v>978</v>
      </c>
      <c r="C303" s="24" t="s">
        <v>979</v>
      </c>
      <c r="D303" s="42" t="s">
        <v>980</v>
      </c>
      <c r="E303" s="26">
        <v>2.0</v>
      </c>
      <c r="F303" s="26">
        <v>2.0</v>
      </c>
      <c r="G303" s="26">
        <v>1.0</v>
      </c>
      <c r="H303" s="27"/>
      <c r="I303" s="27"/>
      <c r="J303" s="27"/>
      <c r="K303" s="28">
        <v>3.0</v>
      </c>
      <c r="L303" s="44" t="s">
        <v>137</v>
      </c>
      <c r="M303" s="30" t="s">
        <v>22</v>
      </c>
      <c r="N303" s="33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3" s="30">
        <v>28.0</v>
      </c>
      <c r="P303" s="30">
        <v>3.0</v>
      </c>
      <c r="Q303" s="33" t="str">
        <f>HYPERLINK("https://nure.ua/staff/lyudmila-volodimirivna-kolesnik","https://nure.ua/staff/lyudmila-volodimirivna-kolesnik")</f>
        <v>https://nure.ua/staff/lyudmila-volodimirivna-kolesnik</v>
      </c>
      <c r="R303" s="63" t="s">
        <v>981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313.0</v>
      </c>
      <c r="B304" s="23" t="s">
        <v>982</v>
      </c>
      <c r="C304" s="24" t="s">
        <v>983</v>
      </c>
      <c r="D304" s="42" t="s">
        <v>984</v>
      </c>
      <c r="E304" s="26">
        <v>3.0</v>
      </c>
      <c r="F304" s="26">
        <v>0.0</v>
      </c>
      <c r="G304" s="26">
        <v>0.0</v>
      </c>
      <c r="H304" s="27">
        <v>1.0</v>
      </c>
      <c r="I304" s="27">
        <v>0.0</v>
      </c>
      <c r="J304" s="27">
        <v>0.0</v>
      </c>
      <c r="K304" s="28">
        <v>4.0</v>
      </c>
      <c r="L304" s="44" t="s">
        <v>41</v>
      </c>
      <c r="M304" s="30" t="s">
        <v>22</v>
      </c>
      <c r="N304" s="33" t="str">
        <f>HYPERLINK("https://scholar.google.com/citations?user=Gb4zBF4AAAAJ","https://scholar.google.com/citations?user=Gb4zBF4AAAAJ")</f>
        <v>https://scholar.google.com/citations?user=Gb4zBF4AAAAJ</v>
      </c>
      <c r="O304" s="30">
        <v>0.0</v>
      </c>
      <c r="P304" s="30">
        <v>0.0</v>
      </c>
      <c r="Q304" s="33" t="str">
        <f>HYPERLINK("https://nure.ua/staff/dmitro-olegovich-kolesnikov","https://nure.ua/staff/dmitro-olegovich-kolesnikov")</f>
        <v>https://nure.ua/staff/dmitro-olegovich-kolesnikov</v>
      </c>
      <c r="R304" s="63" t="s">
        <v>985</v>
      </c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22">
        <v>3480.0</v>
      </c>
      <c r="B305" s="23" t="s">
        <v>986</v>
      </c>
      <c r="C305" s="24" t="s">
        <v>987</v>
      </c>
      <c r="D305" s="42"/>
      <c r="E305" s="48"/>
      <c r="F305" s="48"/>
      <c r="G305" s="48"/>
      <c r="H305" s="27"/>
      <c r="I305" s="27"/>
      <c r="J305" s="27"/>
      <c r="K305" s="28">
        <v>28.0</v>
      </c>
      <c r="L305" s="44" t="s">
        <v>171</v>
      </c>
      <c r="M305" s="30" t="s">
        <v>22</v>
      </c>
      <c r="N305" s="33" t="str">
        <f>HYPERLINK("https://scholar.google.com/citations?user=QWKhXDQAAAAJ&amp;hl=ru","https://scholar.google.com/citations?user=QWKhXDQAAAAJ&amp;hl=ru")</f>
        <v>https://scholar.google.com/citations?user=QWKhXDQAAAAJ&amp;hl=ru</v>
      </c>
      <c r="O305" s="30">
        <v>19.0</v>
      </c>
      <c r="P305" s="30">
        <v>2.0</v>
      </c>
      <c r="Q305" s="33" t="str">
        <f>HYPERLINK("https://nure.ua/staff/tetyana-anatoliyivna-kolesnikova","https://nure.ua/staff/tetyana-anatoliyivna-kolesnikova")</f>
        <v>https://nure.ua/staff/tetyana-anatoliyivna-kolesnikova</v>
      </c>
      <c r="R305" s="12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34">
        <v>7771.0</v>
      </c>
      <c r="B306" s="23" t="s">
        <v>988</v>
      </c>
      <c r="C306" s="35"/>
      <c r="D306" s="36" t="s">
        <v>989</v>
      </c>
      <c r="E306" s="26">
        <v>21.0</v>
      </c>
      <c r="F306" s="26">
        <v>82.0</v>
      </c>
      <c r="G306" s="26">
        <v>5.0</v>
      </c>
      <c r="H306" s="37">
        <v>5.0</v>
      </c>
      <c r="I306" s="37">
        <v>1.0</v>
      </c>
      <c r="J306" s="37">
        <v>1.0</v>
      </c>
      <c r="K306" s="38">
        <v>0.0</v>
      </c>
      <c r="L306" s="39"/>
      <c r="M306" s="40"/>
      <c r="N306" s="40"/>
      <c r="O306" s="40"/>
      <c r="P306" s="40"/>
      <c r="Q306" s="40"/>
      <c r="R306" s="63" t="s">
        <v>990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7751.0</v>
      </c>
      <c r="B307" s="23" t="s">
        <v>991</v>
      </c>
      <c r="C307" s="24" t="s">
        <v>992</v>
      </c>
      <c r="D307" s="42" t="s">
        <v>993</v>
      </c>
      <c r="E307" s="26">
        <v>4.0</v>
      </c>
      <c r="F307" s="26">
        <v>1.0</v>
      </c>
      <c r="G307" s="26">
        <v>1.0</v>
      </c>
      <c r="H307" s="27"/>
      <c r="I307" s="27"/>
      <c r="J307" s="27"/>
      <c r="K307" s="28">
        <v>1.0</v>
      </c>
      <c r="L307" s="29" t="s">
        <v>329</v>
      </c>
      <c r="M307" s="30" t="s">
        <v>22</v>
      </c>
      <c r="N307" s="33" t="str">
        <f>HYPERLINK("https://nure.ua/staff/maksim-mikolajovich-kolisnik","https://nure.ua/staff/maksim-mikolajovich-kolisnik")</f>
        <v>https://nure.ua/staff/maksim-mikolajovich-kolisnik</v>
      </c>
      <c r="O307" s="30">
        <v>16.0</v>
      </c>
      <c r="P307" s="30">
        <v>2.0</v>
      </c>
      <c r="Q307" s="33" t="str">
        <f>HYPERLINK("https://nure.ua/staff/maksim-mikolajovich-kolisnik","https://nure.ua/staff/maksim-mikolajovich-kolisnik")</f>
        <v>https://nure.ua/staff/maksim-mikolajovich-kolisnik</v>
      </c>
      <c r="R307" s="63" t="s">
        <v>994</v>
      </c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22">
        <v>4083.0</v>
      </c>
      <c r="B308" s="23" t="s">
        <v>995</v>
      </c>
      <c r="C308" s="24" t="s">
        <v>996</v>
      </c>
      <c r="D308" s="42" t="s">
        <v>997</v>
      </c>
      <c r="E308" s="26">
        <v>3.0</v>
      </c>
      <c r="F308" s="26">
        <v>5.0</v>
      </c>
      <c r="G308" s="26">
        <v>1.0</v>
      </c>
      <c r="H308" s="27">
        <v>1.0</v>
      </c>
      <c r="I308" s="27">
        <v>0.0</v>
      </c>
      <c r="J308" s="27">
        <v>0.0</v>
      </c>
      <c r="K308" s="28">
        <v>23.0</v>
      </c>
      <c r="L308" s="29" t="s">
        <v>329</v>
      </c>
      <c r="M308" s="30" t="s">
        <v>22</v>
      </c>
      <c r="N308" s="33" t="str">
        <f>HYPERLINK("https://scholar.google.com.ua/citations?user=QabHApcAAAAJ","https://scholar.google.com.ua/citations?user=QabHApcAAAAJ")</f>
        <v>https://scholar.google.com.ua/citations?user=QabHApcAAAAJ</v>
      </c>
      <c r="O308" s="30">
        <v>104.0</v>
      </c>
      <c r="P308" s="30">
        <v>5.0</v>
      </c>
      <c r="Q308" s="33" t="str">
        <f>HYPERLINK("https://nure.ua/staff/olga-volodimirivna-kolisnik","https://nure.ua/staff/olga-volodimirivna-kolisnik")</f>
        <v>https://nure.ua/staff/olga-volodimirivna-kolisnik</v>
      </c>
      <c r="R308" s="63" t="s">
        <v>998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34">
        <v>4819.0</v>
      </c>
      <c r="B309" s="23" t="s">
        <v>999</v>
      </c>
      <c r="C309" s="35"/>
      <c r="D309" s="36" t="s">
        <v>1000</v>
      </c>
      <c r="E309" s="26">
        <v>6.0</v>
      </c>
      <c r="F309" s="26">
        <v>58.0</v>
      </c>
      <c r="G309" s="26">
        <v>2.0</v>
      </c>
      <c r="H309" s="37">
        <v>2.0</v>
      </c>
      <c r="I309" s="37">
        <v>25.0</v>
      </c>
      <c r="J309" s="37">
        <v>2.0</v>
      </c>
      <c r="K309" s="38">
        <v>8.0</v>
      </c>
      <c r="L309" s="29"/>
      <c r="M309" s="40" t="s">
        <v>22</v>
      </c>
      <c r="N309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09" s="40">
        <v>12.0</v>
      </c>
      <c r="P309" s="40">
        <v>2.0</v>
      </c>
      <c r="Q309" s="40"/>
      <c r="R309" s="63" t="s">
        <v>1001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22">
        <v>952.0</v>
      </c>
      <c r="B310" s="23" t="s">
        <v>1002</v>
      </c>
      <c r="C310" s="24" t="s">
        <v>1003</v>
      </c>
      <c r="D310" s="42" t="s">
        <v>1004</v>
      </c>
      <c r="E310" s="26">
        <v>1.0</v>
      </c>
      <c r="F310" s="26">
        <v>0.0</v>
      </c>
      <c r="G310" s="26">
        <v>0.0</v>
      </c>
      <c r="H310" s="27">
        <v>2.0</v>
      </c>
      <c r="I310" s="27">
        <v>2.0</v>
      </c>
      <c r="J310" s="27">
        <v>1.0</v>
      </c>
      <c r="K310" s="28">
        <v>13.0</v>
      </c>
      <c r="L310" s="39"/>
      <c r="M310" s="30" t="s">
        <v>22</v>
      </c>
      <c r="N310" s="33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10" s="30">
        <v>54.0</v>
      </c>
      <c r="P310" s="30">
        <v>5.0</v>
      </c>
      <c r="Q310" s="33" t="str">
        <f>HYPERLINK("https://nure.ua/staff/svitlana-vasilivna-kolosova","https://nure.ua/staff/svitlana-vasilivna-kolosova")</f>
        <v>https://nure.ua/staff/svitlana-vasilivna-kolosova</v>
      </c>
      <c r="R310" s="12" t="s">
        <v>1005</v>
      </c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34">
        <v>6547.0</v>
      </c>
      <c r="B311" s="49" t="s">
        <v>1006</v>
      </c>
      <c r="C311" s="35"/>
      <c r="D311" s="36"/>
      <c r="E311" s="48"/>
      <c r="F311" s="48"/>
      <c r="G311" s="48"/>
      <c r="H311" s="37"/>
      <c r="I311" s="37"/>
      <c r="J311" s="37"/>
      <c r="K311" s="38">
        <v>0.0</v>
      </c>
      <c r="L311" s="40" t="s">
        <v>78</v>
      </c>
      <c r="M311" s="40" t="s">
        <v>79</v>
      </c>
      <c r="N311" s="40"/>
      <c r="O311" s="40"/>
      <c r="P311" s="40"/>
      <c r="Q311" s="40"/>
      <c r="R311" s="52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22">
        <v>466.0</v>
      </c>
      <c r="B312" s="23" t="s">
        <v>1007</v>
      </c>
      <c r="C312" s="24" t="s">
        <v>1008</v>
      </c>
      <c r="D312" s="42" t="s">
        <v>1009</v>
      </c>
      <c r="E312" s="26">
        <v>6.0</v>
      </c>
      <c r="F312" s="26">
        <v>5.0</v>
      </c>
      <c r="G312" s="26">
        <v>1.0</v>
      </c>
      <c r="H312" s="27">
        <v>1.0</v>
      </c>
      <c r="I312" s="27">
        <v>1.0</v>
      </c>
      <c r="J312" s="27">
        <v>1.0</v>
      </c>
      <c r="K312" s="28">
        <v>7.0</v>
      </c>
      <c r="L312" s="44" t="s">
        <v>144</v>
      </c>
      <c r="M312" s="30" t="s">
        <v>22</v>
      </c>
      <c r="N312" s="33" t="str">
        <f>HYPERLINK("https://scholar.google.com/citations?user=D-X2UwkAAAAJ","https://scholar.google.com/citations?user=D-X2UwkAAAAJ")</f>
        <v>https://scholar.google.com/citations?user=D-X2UwkAAAAJ</v>
      </c>
      <c r="O312" s="30">
        <v>11.0</v>
      </c>
      <c r="P312" s="30">
        <v>2.0</v>
      </c>
      <c r="Q312" s="33" t="str">
        <f>HYPERLINK("https://nure.ua/staff/yuriy-mikolayovich-koltun","https://nure.ua/staff/yuriy-mikolayovich-koltun")</f>
        <v>https://nure.ua/staff/yuriy-mikolayovich-koltun</v>
      </c>
      <c r="R312" s="63" t="s">
        <v>1010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34"/>
      <c r="B313" s="23" t="s">
        <v>1011</v>
      </c>
      <c r="C313" s="35" t="s">
        <v>1012</v>
      </c>
      <c r="D313" s="36" t="s">
        <v>1013</v>
      </c>
      <c r="E313" s="26">
        <v>3.0</v>
      </c>
      <c r="F313" s="26">
        <v>19.0</v>
      </c>
      <c r="G313" s="26">
        <v>3.0</v>
      </c>
      <c r="H313" s="37">
        <v>8.0</v>
      </c>
      <c r="I313" s="37">
        <v>2.0</v>
      </c>
      <c r="J313" s="37">
        <v>1.0</v>
      </c>
      <c r="K313" s="38"/>
      <c r="L313" s="29" t="s">
        <v>329</v>
      </c>
      <c r="M313" s="40" t="s">
        <v>22</v>
      </c>
      <c r="N313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3" s="40">
        <v>118.0</v>
      </c>
      <c r="P313" s="40">
        <v>6.0</v>
      </c>
      <c r="Q313" s="41" t="str">
        <f>HYPERLINK("https://nure.ua/staff/irina-volodimirivna-kolupaieva","https://nure.ua/staff/irina-volodimirivna-kolupaieva")</f>
        <v>https://nure.ua/staff/irina-volodimirivna-kolupaieva</v>
      </c>
      <c r="R313" s="12" t="s">
        <v>1014</v>
      </c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2">
        <v>299.0</v>
      </c>
      <c r="B314" s="23" t="s">
        <v>1015</v>
      </c>
      <c r="C314" s="24" t="s">
        <v>1016</v>
      </c>
      <c r="D314" s="42" t="s">
        <v>1017</v>
      </c>
      <c r="E314" s="26">
        <v>9.0</v>
      </c>
      <c r="F314" s="26">
        <v>1.0</v>
      </c>
      <c r="G314" s="26">
        <v>1.0</v>
      </c>
      <c r="H314" s="27">
        <v>6.0</v>
      </c>
      <c r="I314" s="27">
        <v>2.0</v>
      </c>
      <c r="J314" s="27">
        <v>1.0</v>
      </c>
      <c r="K314" s="28">
        <v>30.0</v>
      </c>
      <c r="L314" s="29" t="s">
        <v>36</v>
      </c>
      <c r="M314" s="30" t="s">
        <v>22</v>
      </c>
      <c r="N314" s="33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4" s="30">
        <v>33.0</v>
      </c>
      <c r="P314" s="30">
        <v>3.0</v>
      </c>
      <c r="Q314" s="33" t="str">
        <f>HYPERLINK("https://nure.ua/staff/yuliya-yuriyivna-kolyadenko","https://nure.ua/staff/yuliya-yuriyivna-kolyadenko")</f>
        <v>https://nure.ua/staff/yuliya-yuriyivna-kolyadenko</v>
      </c>
      <c r="R314" s="63" t="s">
        <v>1018</v>
      </c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2">
        <v>50.0</v>
      </c>
      <c r="B315" s="23" t="s">
        <v>1019</v>
      </c>
      <c r="C315" s="24"/>
      <c r="D315" s="42"/>
      <c r="E315" s="48"/>
      <c r="F315" s="48"/>
      <c r="G315" s="48"/>
      <c r="H315" s="27"/>
      <c r="I315" s="27"/>
      <c r="J315" s="27"/>
      <c r="K315" s="28">
        <v>2.0</v>
      </c>
      <c r="L315" s="39"/>
      <c r="M315" s="30" t="s">
        <v>22</v>
      </c>
      <c r="N315" s="33" t="str">
        <f>HYPERLINK("https://scholar.google.com/citations?hl=ru&amp;user=8t3vna4AAAAJ","https://scholar.google.com/citations?hl=ru&amp;user=8t3vna4AAAAJ")</f>
        <v>https://scholar.google.com/citations?hl=ru&amp;user=8t3vna4AAAAJ</v>
      </c>
      <c r="O315" s="30">
        <v>16.0</v>
      </c>
      <c r="P315" s="30">
        <v>2.0</v>
      </c>
      <c r="Q315" s="33" t="str">
        <f>HYPERLINK("https://nure.ua/staff/tetyana-gennadiyivna-komarova","https://nure.ua/staff/tetyana-gennadiyivna-komarova")</f>
        <v>https://nure.ua/staff/tetyana-gennadiyivna-komarova</v>
      </c>
      <c r="R315" s="12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100.0</v>
      </c>
      <c r="B316" s="23" t="s">
        <v>1020</v>
      </c>
      <c r="C316" s="24" t="s">
        <v>1021</v>
      </c>
      <c r="D316" s="42" t="s">
        <v>1022</v>
      </c>
      <c r="E316" s="26">
        <v>1.0</v>
      </c>
      <c r="F316" s="26">
        <v>0.0</v>
      </c>
      <c r="G316" s="26">
        <v>0.0</v>
      </c>
      <c r="H316" s="27">
        <v>0.0</v>
      </c>
      <c r="I316" s="27">
        <v>0.0</v>
      </c>
      <c r="J316" s="27">
        <v>0.0</v>
      </c>
      <c r="K316" s="28">
        <v>5.0</v>
      </c>
      <c r="L316" s="44" t="s">
        <v>272</v>
      </c>
      <c r="M316" s="30" t="s">
        <v>22</v>
      </c>
      <c r="N316" s="33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6" s="30">
        <v>4.0</v>
      </c>
      <c r="P316" s="30">
        <v>1.0</v>
      </c>
      <c r="Q316" s="33" t="str">
        <f>HYPERLINK("https://nure.ua/staff/oksana-kostyantinivna-konovalenko","https://nure.ua/staff/oksana-kostyantinivna-konovalenko")</f>
        <v>https://nure.ua/staff/oksana-kostyantinivna-konovalenko</v>
      </c>
      <c r="R316" s="63" t="s">
        <v>1023</v>
      </c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7446.0</v>
      </c>
      <c r="B317" s="23" t="s">
        <v>1024</v>
      </c>
      <c r="C317" s="24"/>
      <c r="D317" s="42"/>
      <c r="E317" s="48"/>
      <c r="F317" s="48"/>
      <c r="G317" s="48"/>
      <c r="H317" s="27"/>
      <c r="I317" s="27"/>
      <c r="J317" s="27"/>
      <c r="K317" s="28">
        <v>1.0</v>
      </c>
      <c r="L317" s="44" t="s">
        <v>272</v>
      </c>
      <c r="M317" s="30" t="s">
        <v>22</v>
      </c>
      <c r="N317" s="30"/>
      <c r="O317" s="30"/>
      <c r="P317" s="30"/>
      <c r="Q317" s="33" t="str">
        <f>HYPERLINK("https://nure.ua/staff/dmitro-oleksandrovich-konovalov","https://nure.ua/staff/dmitro-oleksandrovich-konovalov")</f>
        <v>https://nure.ua/staff/dmitro-oleksandrovich-konovalov</v>
      </c>
      <c r="R317" s="12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1458.0</v>
      </c>
      <c r="B318" s="23" t="s">
        <v>1025</v>
      </c>
      <c r="C318" s="24"/>
      <c r="D318" s="42"/>
      <c r="E318" s="48"/>
      <c r="F318" s="48"/>
      <c r="G318" s="48"/>
      <c r="H318" s="27"/>
      <c r="I318" s="27"/>
      <c r="J318" s="27"/>
      <c r="K318" s="28">
        <v>0.0</v>
      </c>
      <c r="L318" s="39"/>
      <c r="M318" s="30" t="s">
        <v>22</v>
      </c>
      <c r="N318" s="30"/>
      <c r="O318" s="30"/>
      <c r="P318" s="30"/>
      <c r="Q318" s="33" t="str">
        <f>HYPERLINK("https://nure.ua/staff/irina-yuriyivna-kononenko","https://nure.ua/staff/irina-yuriyivna-kononenko")</f>
        <v>https://nure.ua/staff/irina-yuriyivna-kononenko</v>
      </c>
      <c r="R318" s="12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22">
        <v>6.0</v>
      </c>
      <c r="B319" s="23" t="s">
        <v>1026</v>
      </c>
      <c r="C319" s="24" t="s">
        <v>1027</v>
      </c>
      <c r="D319" s="42"/>
      <c r="E319" s="48"/>
      <c r="F319" s="48"/>
      <c r="G319" s="48"/>
      <c r="H319" s="27"/>
      <c r="I319" s="27"/>
      <c r="J319" s="27"/>
      <c r="K319" s="28">
        <v>1.0</v>
      </c>
      <c r="L319" s="39" t="s">
        <v>91</v>
      </c>
      <c r="M319" s="30" t="s">
        <v>22</v>
      </c>
      <c r="N319" s="33" t="str">
        <f>HYPERLINK("https://scholar.google.com/citations?user=9JJtIuUAAAAJ","https://scholar.google.com/citations?user=9JJtIuUAAAAJ")</f>
        <v>https://scholar.google.com/citations?user=9JJtIuUAAAAJ</v>
      </c>
      <c r="O319" s="30">
        <v>0.0</v>
      </c>
      <c r="P319" s="30">
        <v>0.0</v>
      </c>
      <c r="Q319" s="33" t="str">
        <f>HYPERLINK("https://nure.ua/staff/tetyana-mikolayivna-konkova","https://nure.ua/staff/tetyana-mikolayivna-konkova")</f>
        <v>https://nure.ua/staff/tetyana-mikolayivna-konkova</v>
      </c>
      <c r="R319" s="12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34">
        <v>3561.0</v>
      </c>
      <c r="B320" s="49" t="s">
        <v>1028</v>
      </c>
      <c r="C320" s="35" t="s">
        <v>1029</v>
      </c>
      <c r="D320" s="36" t="s">
        <v>1030</v>
      </c>
      <c r="E320" s="64">
        <v>28.0</v>
      </c>
      <c r="F320" s="26">
        <v>57.0</v>
      </c>
      <c r="G320" s="26">
        <v>4.0</v>
      </c>
      <c r="H320" s="37">
        <v>12.0</v>
      </c>
      <c r="I320" s="37">
        <v>9.0</v>
      </c>
      <c r="J320" s="37">
        <v>2.0</v>
      </c>
      <c r="K320" s="38">
        <v>15.0</v>
      </c>
      <c r="L320" s="40" t="s">
        <v>41</v>
      </c>
      <c r="M320" s="40" t="s">
        <v>79</v>
      </c>
      <c r="N320" s="41" t="str">
        <f>HYPERLINK("https://scholar.google.com/citations?user=xJMUvYcAAAAJ","https://scholar.google.com/citations?user=xJMUvYcAAAAJ")</f>
        <v>https://scholar.google.com/citations?user=xJMUvYcAAAAJ</v>
      </c>
      <c r="O320" s="40">
        <v>16.0</v>
      </c>
      <c r="P320" s="40">
        <v>1.0</v>
      </c>
      <c r="Q320" s="41" t="str">
        <f>HYPERLINK("https://nure.ua/staff/mihaylo-andriyovich-kopot","https://nure.ua/staff/mihaylo-andriyovich-kopot")</f>
        <v>https://nure.ua/staff/mihaylo-andriyovich-kopot</v>
      </c>
      <c r="R320" s="77" t="s">
        <v>1031</v>
      </c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22">
        <v>497.0</v>
      </c>
      <c r="B321" s="23" t="s">
        <v>1032</v>
      </c>
      <c r="C321" s="24" t="s">
        <v>1033</v>
      </c>
      <c r="D321" s="42" t="s">
        <v>1034</v>
      </c>
      <c r="E321" s="64">
        <v>11.0</v>
      </c>
      <c r="F321" s="26">
        <v>17.0</v>
      </c>
      <c r="G321" s="26">
        <v>2.0</v>
      </c>
      <c r="H321" s="27"/>
      <c r="I321" s="27"/>
      <c r="J321" s="27"/>
      <c r="K321" s="28">
        <v>17.0</v>
      </c>
      <c r="L321" s="44" t="s">
        <v>51</v>
      </c>
      <c r="M321" s="30" t="s">
        <v>22</v>
      </c>
      <c r="N321" s="33" t="str">
        <f>HYPERLINK("https://scholar.google.com/citations?user=_lN_j3YAAAAJ","https://scholar.google.com/citations?user=_lN_j3YAAAAJ")</f>
        <v>https://scholar.google.com/citations?user=_lN_j3YAAAAJ</v>
      </c>
      <c r="O321" s="30">
        <v>91.0</v>
      </c>
      <c r="P321" s="30">
        <v>5.0</v>
      </c>
      <c r="Q321" s="33" t="str">
        <f>HYPERLINK("https://nure.ua/staff/mikola-mihajlovich-korablov","https://nure.ua/staff/mikola-mihajlovich-korablov")</f>
        <v>https://nure.ua/staff/mikola-mihajlovich-korablov</v>
      </c>
      <c r="R321" s="63" t="s">
        <v>1035</v>
      </c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22">
        <v>548.0</v>
      </c>
      <c r="B322" s="23" t="s">
        <v>1036</v>
      </c>
      <c r="C322" s="24" t="s">
        <v>1037</v>
      </c>
      <c r="D322" s="42" t="s">
        <v>1038</v>
      </c>
      <c r="E322" s="64">
        <v>9.0</v>
      </c>
      <c r="F322" s="26">
        <v>55.0</v>
      </c>
      <c r="G322" s="26">
        <v>5.0</v>
      </c>
      <c r="H322" s="27">
        <v>2.0</v>
      </c>
      <c r="I322" s="27">
        <v>3.0</v>
      </c>
      <c r="J322" s="27">
        <v>1.0</v>
      </c>
      <c r="K322" s="28">
        <v>22.0</v>
      </c>
      <c r="L322" s="44" t="s">
        <v>210</v>
      </c>
      <c r="M322" s="30" t="s">
        <v>22</v>
      </c>
      <c r="N322" s="33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2" s="30">
        <v>64.0</v>
      </c>
      <c r="P322" s="30">
        <v>5.0</v>
      </c>
      <c r="Q322" s="33" t="str">
        <f>HYPERLINK("https://nure.ua/staff/igor-vasilovich-korittsev","https://nure.ua/staff/igor-vasilovich-korittsev")</f>
        <v>https://nure.ua/staff/igor-vasilovich-korittsev</v>
      </c>
      <c r="R322" s="63" t="s">
        <v>1039</v>
      </c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34">
        <v>1857.0</v>
      </c>
      <c r="B323" s="49" t="s">
        <v>1040</v>
      </c>
      <c r="C323" s="35"/>
      <c r="D323" s="36"/>
      <c r="E323" s="50"/>
      <c r="F323" s="50"/>
      <c r="G323" s="50"/>
      <c r="H323" s="51"/>
      <c r="I323" s="51"/>
      <c r="J323" s="51"/>
      <c r="K323" s="38">
        <v>0.0</v>
      </c>
      <c r="L323" s="40"/>
      <c r="M323" s="40" t="s">
        <v>79</v>
      </c>
      <c r="N323" s="40"/>
      <c r="O323" s="40"/>
      <c r="P323" s="40"/>
      <c r="Q323" s="41" t="str">
        <f>HYPERLINK("https://nure.ua/staff/julija-borisivna-kornilova","https://nure.ua/staff/julija-borisivna-kornilova")</f>
        <v>https://nure.ua/staff/julija-borisivna-kornilova</v>
      </c>
      <c r="R323" s="52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22">
        <v>233.0</v>
      </c>
      <c r="B324" s="23" t="s">
        <v>1041</v>
      </c>
      <c r="C324" s="24" t="s">
        <v>1042</v>
      </c>
      <c r="D324" s="42"/>
      <c r="E324" s="48"/>
      <c r="F324" s="48"/>
      <c r="G324" s="48"/>
      <c r="H324" s="27"/>
      <c r="I324" s="27"/>
      <c r="J324" s="27"/>
      <c r="K324" s="28">
        <v>9.0</v>
      </c>
      <c r="L324" s="44" t="s">
        <v>120</v>
      </c>
      <c r="M324" s="30" t="s">
        <v>22</v>
      </c>
      <c r="N324" s="33" t="str">
        <f>HYPERLINK("https://scholar.google.com/citations?user=QOtArJUAAAAJ","https://scholar.google.com/citations?user=QOtArJUAAAAJ")</f>
        <v>https://scholar.google.com/citations?user=QOtArJUAAAAJ</v>
      </c>
      <c r="O324" s="30">
        <v>1.0</v>
      </c>
      <c r="P324" s="30">
        <v>1.0</v>
      </c>
      <c r="Q324" s="33" t="str">
        <f>HYPERLINK("https://nure.ua/staff/tetyana-volodimirivna-korobkina","https://nure.ua/staff/tetyana-volodimirivna-korobkina")</f>
        <v>https://nure.ua/staff/tetyana-volodimirivna-korobkina</v>
      </c>
      <c r="R324" s="12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22">
        <v>7227.0</v>
      </c>
      <c r="B325" s="23" t="s">
        <v>1043</v>
      </c>
      <c r="C325" s="24" t="s">
        <v>1044</v>
      </c>
      <c r="D325" s="42" t="s">
        <v>1045</v>
      </c>
      <c r="E325" s="26">
        <v>11.0</v>
      </c>
      <c r="F325" s="26">
        <v>60.0</v>
      </c>
      <c r="G325" s="26">
        <v>3.0</v>
      </c>
      <c r="H325" s="27">
        <v>1.0</v>
      </c>
      <c r="I325" s="27">
        <v>0.0</v>
      </c>
      <c r="J325" s="27">
        <v>0.0</v>
      </c>
      <c r="K325" s="28">
        <v>6.0</v>
      </c>
      <c r="L325" s="39"/>
      <c r="M325" s="30" t="s">
        <v>22</v>
      </c>
      <c r="N325" s="33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5" s="30">
        <v>249.0</v>
      </c>
      <c r="P325" s="30">
        <v>7.0</v>
      </c>
      <c r="Q325" s="33" t="str">
        <f>HYPERLINK("https://nure.ua/staff/viktor-vasilovich-kosenko","https://nure.ua/staff/viktor-vasilovich-kosenko")</f>
        <v>https://nure.ua/staff/viktor-vasilovich-kosenko</v>
      </c>
      <c r="R325" s="63" t="s">
        <v>1046</v>
      </c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34">
        <v>6725.0</v>
      </c>
      <c r="B326" s="23" t="s">
        <v>1047</v>
      </c>
      <c r="C326" s="35" t="s">
        <v>1048</v>
      </c>
      <c r="D326" s="36" t="s">
        <v>1049</v>
      </c>
      <c r="E326" s="26">
        <v>5.0</v>
      </c>
      <c r="F326" s="26">
        <v>52.0</v>
      </c>
      <c r="G326" s="26">
        <v>3.0</v>
      </c>
      <c r="H326" s="37"/>
      <c r="I326" s="37"/>
      <c r="J326" s="37"/>
      <c r="K326" s="38">
        <v>0.0</v>
      </c>
      <c r="L326" s="39"/>
      <c r="M326" s="40" t="s">
        <v>22</v>
      </c>
      <c r="N326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6" s="40">
        <v>116.0</v>
      </c>
      <c r="P326" s="40">
        <v>6.0</v>
      </c>
      <c r="Q326" s="41" t="str">
        <f>HYPERLINK("https://nure.ua/staff/nataliya-viktorivna-kosenko","https://nure.ua/staff/nataliya-viktorivna-kosenko")</f>
        <v>https://nure.ua/staff/nataliya-viktorivna-kosenko</v>
      </c>
      <c r="R326" s="63" t="s">
        <v>1050</v>
      </c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5365.0</v>
      </c>
      <c r="B327" s="23" t="s">
        <v>1051</v>
      </c>
      <c r="C327" s="24" t="s">
        <v>1052</v>
      </c>
      <c r="D327" s="42"/>
      <c r="E327" s="48"/>
      <c r="F327" s="48"/>
      <c r="G327" s="48"/>
      <c r="H327" s="27"/>
      <c r="I327" s="27"/>
      <c r="J327" s="27"/>
      <c r="K327" s="28">
        <v>14.0</v>
      </c>
      <c r="L327" s="29" t="s">
        <v>21</v>
      </c>
      <c r="M327" s="30" t="s">
        <v>22</v>
      </c>
      <c r="N327" s="33" t="str">
        <f>HYPERLINK("https://scholar.google.com.ua/citations?user=y-bDGUUAAAAJ","https://scholar.google.com.ua/citations?user=y-bDGUUAAAAJ")</f>
        <v>https://scholar.google.com.ua/citations?user=y-bDGUUAAAAJ</v>
      </c>
      <c r="O327" s="30">
        <v>25.0</v>
      </c>
      <c r="P327" s="30">
        <v>3.0</v>
      </c>
      <c r="Q327" s="33" t="str">
        <f>HYPERLINK("https://nure.ua/staff/denis-oleksandrovich-kostin","https://nure.ua/staff/denis-oleksandrovich-kostin")</f>
        <v>https://nure.ua/staff/denis-oleksandrovich-kostin</v>
      </c>
      <c r="R327" s="12" t="s">
        <v>1053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2">
        <v>955.0</v>
      </c>
      <c r="B328" s="23" t="s">
        <v>1054</v>
      </c>
      <c r="C328" s="24" t="s">
        <v>1055</v>
      </c>
      <c r="D328" s="42" t="s">
        <v>1056</v>
      </c>
      <c r="E328" s="26">
        <v>1.0</v>
      </c>
      <c r="F328" s="26">
        <v>0.0</v>
      </c>
      <c r="G328" s="26">
        <v>0.0</v>
      </c>
      <c r="H328" s="27"/>
      <c r="I328" s="27"/>
      <c r="J328" s="27"/>
      <c r="K328" s="28">
        <v>2.0</v>
      </c>
      <c r="L328" s="29" t="s">
        <v>329</v>
      </c>
      <c r="M328" s="30" t="s">
        <v>22</v>
      </c>
      <c r="N328" s="33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28" s="30">
        <v>99.0</v>
      </c>
      <c r="P328" s="30">
        <v>5.0</v>
      </c>
      <c r="Q328" s="33" t="str">
        <f>HYPERLINK("https://nure.ua/staff/yuriy-dmitrovich-kostin","https://nure.ua/staff/yuriy-dmitrovich-kostin")</f>
        <v>https://nure.ua/staff/yuriy-dmitrovich-kostin</v>
      </c>
      <c r="R328" s="63" t="s">
        <v>1057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467.0</v>
      </c>
      <c r="B329" s="23" t="s">
        <v>1058</v>
      </c>
      <c r="C329" s="24" t="s">
        <v>1059</v>
      </c>
      <c r="D329" s="42" t="s">
        <v>1060</v>
      </c>
      <c r="E329" s="26">
        <v>3.0</v>
      </c>
      <c r="F329" s="26">
        <v>1.0</v>
      </c>
      <c r="G329" s="26">
        <v>1.0</v>
      </c>
      <c r="H329" s="27">
        <v>1.0</v>
      </c>
      <c r="I329" s="27">
        <v>1.0</v>
      </c>
      <c r="J329" s="27">
        <v>1.0</v>
      </c>
      <c r="K329" s="28">
        <v>9.0</v>
      </c>
      <c r="L329" s="44" t="s">
        <v>144</v>
      </c>
      <c r="M329" s="30" t="s">
        <v>22</v>
      </c>
      <c r="N329" s="33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29" s="30">
        <v>37.0</v>
      </c>
      <c r="P329" s="30">
        <v>2.0</v>
      </c>
      <c r="Q329" s="33" t="str">
        <f>HYPERLINK("https://nure.ua/staff/andriy-ivanovich-kostromitskiy","https://nure.ua/staff/andriy-ivanovich-kostromitskiy")</f>
        <v>https://nure.ua/staff/andriy-ivanovich-kostromitskiy</v>
      </c>
      <c r="R329" s="63" t="s">
        <v>1061</v>
      </c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7924.0</v>
      </c>
      <c r="B330" s="23" t="s">
        <v>1062</v>
      </c>
      <c r="C330" s="24"/>
      <c r="D330" s="42"/>
      <c r="E330" s="48"/>
      <c r="F330" s="48"/>
      <c r="G330" s="48"/>
      <c r="H330" s="27"/>
      <c r="I330" s="27"/>
      <c r="J330" s="27"/>
      <c r="K330" s="28">
        <v>0.0</v>
      </c>
      <c r="L330" s="39" t="s">
        <v>91</v>
      </c>
      <c r="M330" s="30" t="s">
        <v>22</v>
      </c>
      <c r="N330" s="30"/>
      <c r="O330" s="30"/>
      <c r="P330" s="30"/>
      <c r="Q330" s="30"/>
      <c r="R330" s="12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287.0</v>
      </c>
      <c r="B331" s="23" t="s">
        <v>1063</v>
      </c>
      <c r="C331" s="24"/>
      <c r="D331" s="42"/>
      <c r="E331" s="48"/>
      <c r="F331" s="48"/>
      <c r="G331" s="48"/>
      <c r="H331" s="27">
        <v>1.0</v>
      </c>
      <c r="I331" s="27">
        <v>0.0</v>
      </c>
      <c r="J331" s="27">
        <v>0.0</v>
      </c>
      <c r="K331" s="28">
        <v>2.0</v>
      </c>
      <c r="L331" s="44" t="s">
        <v>41</v>
      </c>
      <c r="M331" s="30" t="s">
        <v>22</v>
      </c>
      <c r="N331" s="33" t="str">
        <f>HYPERLINK("https://scholar.google.com/citations?user=wnxpkmsAAAAJ","https://scholar.google.com/citations?user=wnxpkmsAAAAJ")</f>
        <v>https://scholar.google.com/citations?user=wnxpkmsAAAAJ</v>
      </c>
      <c r="O331" s="30">
        <v>50.0</v>
      </c>
      <c r="P331" s="30">
        <v>4.0</v>
      </c>
      <c r="Q331" s="33" t="str">
        <f>HYPERLINK("https://nure.ua/staff/natalja-sergiivna-kravec","https://nure.ua/staff/natalja-sergiivna-kravec")</f>
        <v>https://nure.ua/staff/natalja-sergiivna-kravec</v>
      </c>
      <c r="R331" s="12" t="s">
        <v>1064</v>
      </c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7921.0</v>
      </c>
      <c r="B332" s="23" t="s">
        <v>1065</v>
      </c>
      <c r="C332" s="24"/>
      <c r="D332" s="42"/>
      <c r="E332" s="48"/>
      <c r="F332" s="48"/>
      <c r="G332" s="48"/>
      <c r="H332" s="27"/>
      <c r="I332" s="27"/>
      <c r="J332" s="27"/>
      <c r="K332" s="28">
        <v>0.0</v>
      </c>
      <c r="L332" s="39" t="s">
        <v>91</v>
      </c>
      <c r="M332" s="30" t="s">
        <v>22</v>
      </c>
      <c r="N332" s="30"/>
      <c r="O332" s="30"/>
      <c r="P332" s="30"/>
      <c r="Q332" s="30"/>
      <c r="R332" s="12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>
        <v>6453.0</v>
      </c>
      <c r="B333" s="23" t="s">
        <v>1066</v>
      </c>
      <c r="C333" s="24" t="s">
        <v>1067</v>
      </c>
      <c r="D333" s="42" t="s">
        <v>1068</v>
      </c>
      <c r="E333" s="26">
        <v>1.0</v>
      </c>
      <c r="F333" s="26">
        <v>2.0</v>
      </c>
      <c r="G333" s="26">
        <v>1.0</v>
      </c>
      <c r="H333" s="27">
        <v>1.0</v>
      </c>
      <c r="I333" s="27">
        <v>2.0</v>
      </c>
      <c r="J333" s="27">
        <v>1.0</v>
      </c>
      <c r="K333" s="28">
        <v>2.0</v>
      </c>
      <c r="L333" s="39"/>
      <c r="M333" s="30" t="s">
        <v>22</v>
      </c>
      <c r="N333" s="33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3" s="30">
        <v>3.0</v>
      </c>
      <c r="P333" s="30">
        <v>1.0</v>
      </c>
      <c r="Q333" s="33" t="str">
        <f>HYPERLINK("https://nure.ua/staff/sergiy-gennadiyovich-kravchenko","https://nure.ua/staff/sergiy-gennadiyovich-kravchenko")</f>
        <v>https://nure.ua/staff/sergiy-gennadiyovich-kravchenko</v>
      </c>
      <c r="R333" s="63" t="s">
        <v>1069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/>
      <c r="B334" s="23" t="s">
        <v>1070</v>
      </c>
      <c r="C334" s="96" t="s">
        <v>1071</v>
      </c>
      <c r="D334" s="42" t="s">
        <v>1072</v>
      </c>
      <c r="E334" s="97">
        <v>7.0</v>
      </c>
      <c r="F334" s="26">
        <v>5.0</v>
      </c>
      <c r="G334" s="26">
        <v>1.0</v>
      </c>
      <c r="H334" s="27">
        <v>2.0</v>
      </c>
      <c r="I334" s="27">
        <v>0.0</v>
      </c>
      <c r="J334" s="27">
        <v>0.0</v>
      </c>
      <c r="K334" s="28"/>
      <c r="L334" s="29" t="s">
        <v>21</v>
      </c>
      <c r="M334" s="30" t="s">
        <v>22</v>
      </c>
      <c r="N334" s="30"/>
      <c r="O334" s="30"/>
      <c r="P334" s="30"/>
      <c r="Q334" s="30"/>
      <c r="R334" s="63" t="s">
        <v>1073</v>
      </c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198.0</v>
      </c>
      <c r="B335" s="23" t="s">
        <v>1074</v>
      </c>
      <c r="C335" s="24" t="s">
        <v>1067</v>
      </c>
      <c r="D335" s="42" t="s">
        <v>1075</v>
      </c>
      <c r="E335" s="97">
        <v>16.0</v>
      </c>
      <c r="F335" s="26">
        <v>72.0</v>
      </c>
      <c r="G335" s="26">
        <v>7.0</v>
      </c>
      <c r="H335" s="27">
        <v>13.0</v>
      </c>
      <c r="I335" s="27">
        <v>26.0</v>
      </c>
      <c r="J335" s="27">
        <v>3.0</v>
      </c>
      <c r="K335" s="28">
        <v>14.0</v>
      </c>
      <c r="L335" s="44" t="s">
        <v>144</v>
      </c>
      <c r="M335" s="30" t="s">
        <v>22</v>
      </c>
      <c r="N335" s="33" t="str">
        <f>HYPERLINK("https://scholar.google.com/citations?user=6Z-FruIAAAAJ","https://scholar.google.com/citations?user=6Z-FruIAAAAJ")</f>
        <v>https://scholar.google.com/citations?user=6Z-FruIAAAAJ</v>
      </c>
      <c r="O335" s="30">
        <v>51.0</v>
      </c>
      <c r="P335" s="30">
        <v>5.0</v>
      </c>
      <c r="Q335" s="33" t="str">
        <f>HYPERLINK("https://nure.ua/staff/stanislav-anatoliyovich-krivenko","https://nure.ua/staff/stanislav-anatoliyovich-krivenko")</f>
        <v>https://nure.ua/staff/stanislav-anatoliyovich-krivenko</v>
      </c>
      <c r="R335" s="63" t="s">
        <v>1076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>
        <v>1048.0</v>
      </c>
      <c r="B336" s="23" t="s">
        <v>1077</v>
      </c>
      <c r="C336" s="24" t="s">
        <v>1078</v>
      </c>
      <c r="D336" s="42" t="s">
        <v>1079</v>
      </c>
      <c r="E336" s="26">
        <v>2.0</v>
      </c>
      <c r="F336" s="26">
        <v>3.0</v>
      </c>
      <c r="G336" s="26">
        <v>1.0</v>
      </c>
      <c r="H336" s="27">
        <v>1.0</v>
      </c>
      <c r="I336" s="27">
        <v>0.0</v>
      </c>
      <c r="J336" s="27">
        <v>0.0</v>
      </c>
      <c r="K336" s="28">
        <v>0.0</v>
      </c>
      <c r="L336" s="44" t="s">
        <v>428</v>
      </c>
      <c r="M336" s="30" t="s">
        <v>22</v>
      </c>
      <c r="N336" s="33" t="str">
        <f>HYPERLINK("https://scholar.google.com/citations?user=mo1-LL4AAAAJ","https://scholar.google.com/citations?user=mo1-LL4AAAAJ")</f>
        <v>https://scholar.google.com/citations?user=mo1-LL4AAAAJ</v>
      </c>
      <c r="O336" s="30">
        <v>14.0</v>
      </c>
      <c r="P336" s="30">
        <v>1.0</v>
      </c>
      <c r="Q336" s="33" t="str">
        <f>HYPERLINK("https://nure.ua/staff/galina-mikolayivna-krivosheyeva","https://nure.ua/staff/galina-mikolayivna-krivosheyeva")</f>
        <v>https://nure.ua/staff/galina-mikolayivna-krivosheyeva</v>
      </c>
      <c r="R336" s="63" t="s">
        <v>1080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941.0</v>
      </c>
      <c r="B337" s="23" t="s">
        <v>1081</v>
      </c>
      <c r="C337" s="24" t="s">
        <v>1082</v>
      </c>
      <c r="D337" s="42" t="s">
        <v>1083</v>
      </c>
      <c r="E337" s="64">
        <v>18.0</v>
      </c>
      <c r="F337" s="26">
        <v>29.0</v>
      </c>
      <c r="G337" s="26">
        <v>3.0</v>
      </c>
      <c r="H337" s="27">
        <v>7.0</v>
      </c>
      <c r="I337" s="27">
        <v>2.0</v>
      </c>
      <c r="J337" s="27">
        <v>1.0</v>
      </c>
      <c r="K337" s="28">
        <v>47.0</v>
      </c>
      <c r="L337" s="45" t="s">
        <v>46</v>
      </c>
      <c r="M337" s="30" t="s">
        <v>22</v>
      </c>
      <c r="N337" s="33" t="str">
        <f>HYPERLINK("https://scholar.google.com/citations?user=hK_-ciUAAAAJ","https://scholar.google.com/citations?user=hK_-ciUAAAAJ")</f>
        <v>https://scholar.google.com/citations?user=hK_-ciUAAAAJ</v>
      </c>
      <c r="O337" s="30">
        <v>228.0</v>
      </c>
      <c r="P337" s="30">
        <v>6.0</v>
      </c>
      <c r="Q337" s="33" t="str">
        <f>HYPERLINK("https://nure.ua/staff/gennadiy-fedorovich-krivulya","https://nure.ua/staff/gennadiy-fedorovich-krivulya")</f>
        <v>https://nure.ua/staff/gennadiy-fedorovich-krivulya</v>
      </c>
      <c r="R337" s="63" t="s">
        <v>1084</v>
      </c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7671.0</v>
      </c>
      <c r="B338" s="23" t="s">
        <v>1085</v>
      </c>
      <c r="C338" s="24"/>
      <c r="D338" s="42"/>
      <c r="E338" s="48"/>
      <c r="F338" s="48"/>
      <c r="G338" s="48"/>
      <c r="H338" s="27"/>
      <c r="I338" s="27"/>
      <c r="J338" s="27"/>
      <c r="K338" s="28">
        <v>1.0</v>
      </c>
      <c r="L338" s="39" t="s">
        <v>91</v>
      </c>
      <c r="M338" s="30" t="s">
        <v>22</v>
      </c>
      <c r="N338" s="33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38" s="30">
        <v>27.0</v>
      </c>
      <c r="P338" s="30">
        <v>3.0</v>
      </c>
      <c r="Q338" s="30"/>
      <c r="R338" s="12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444.0</v>
      </c>
      <c r="B339" s="23" t="s">
        <v>1086</v>
      </c>
      <c r="C339" s="24" t="s">
        <v>1087</v>
      </c>
      <c r="D339" s="42"/>
      <c r="E339" s="50">
        <v>0.0</v>
      </c>
      <c r="F339" s="50">
        <v>0.0</v>
      </c>
      <c r="G339" s="50">
        <v>0.0</v>
      </c>
      <c r="H339" s="27"/>
      <c r="I339" s="27"/>
      <c r="J339" s="27"/>
      <c r="K339" s="28">
        <v>2.0</v>
      </c>
      <c r="L339" s="44" t="s">
        <v>272</v>
      </c>
      <c r="M339" s="30" t="s">
        <v>22</v>
      </c>
      <c r="N339" s="33" t="str">
        <f>HYPERLINK("https://scholar.google.com.ua/citations?user=pVz8Y_IAAAAJ&amp;hl","https://scholar.google.com.ua/citations?user=pVz8Y_IAAAAJ&amp;hl")</f>
        <v>https://scholar.google.com.ua/citations?user=pVz8Y_IAAAAJ&amp;hl</v>
      </c>
      <c r="O339" s="30">
        <v>77.0</v>
      </c>
      <c r="P339" s="30">
        <v>4.0</v>
      </c>
      <c r="Q339" s="33" t="str">
        <f>HYPERLINK("https://nure.ua/staff/olena-volodimirivna-krivyentsova","https://nure.ua/staff/olena-volodimirivna-krivyentsova")</f>
        <v>https://nure.ua/staff/olena-volodimirivna-krivyentsova</v>
      </c>
      <c r="R339" s="12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1258.0</v>
      </c>
      <c r="B340" s="23" t="s">
        <v>1088</v>
      </c>
      <c r="C340" s="24"/>
      <c r="D340" s="42"/>
      <c r="E340" s="48"/>
      <c r="F340" s="48"/>
      <c r="G340" s="48"/>
      <c r="H340" s="27"/>
      <c r="I340" s="27"/>
      <c r="J340" s="27"/>
      <c r="K340" s="28">
        <v>1.0</v>
      </c>
      <c r="L340" s="44" t="s">
        <v>272</v>
      </c>
      <c r="M340" s="30" t="s">
        <v>22</v>
      </c>
      <c r="N340" s="33" t="str">
        <f>HYPERLINK("https://scholar.google.com/citations?user=28dbEnkAAAAJ","https://scholar.google.com/citations?user=28dbEnkAAAAJ")</f>
        <v>https://scholar.google.com/citations?user=28dbEnkAAAAJ</v>
      </c>
      <c r="O340" s="30">
        <v>0.0</v>
      </c>
      <c r="P340" s="30">
        <v>0.0</v>
      </c>
      <c r="Q340" s="33" t="str">
        <f>HYPERLINK("https://nure.ua/staff/georgiy-igorovich-krukovskiy","https://nure.ua/staff/georgiy-igorovich-krukovskiy")</f>
        <v>https://nure.ua/staff/georgiy-igorovich-krukovskiy</v>
      </c>
      <c r="R340" s="12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5019.0</v>
      </c>
      <c r="B341" s="23" t="s">
        <v>1089</v>
      </c>
      <c r="C341" s="24" t="s">
        <v>1090</v>
      </c>
      <c r="D341" s="42" t="s">
        <v>1091</v>
      </c>
      <c r="E341" s="26">
        <v>4.0</v>
      </c>
      <c r="F341" s="26">
        <v>8.0</v>
      </c>
      <c r="G341" s="26">
        <v>2.0</v>
      </c>
      <c r="H341" s="27">
        <v>2.0</v>
      </c>
      <c r="I341" s="27">
        <v>2.0</v>
      </c>
      <c r="J341" s="27">
        <v>1.0</v>
      </c>
      <c r="K341" s="28">
        <v>10.0</v>
      </c>
      <c r="L341" s="44" t="s">
        <v>218</v>
      </c>
      <c r="M341" s="30" t="s">
        <v>22</v>
      </c>
      <c r="N341" s="33" t="str">
        <f>HYPERLINK("https://scholar.google.com/citations?user=KmMt5qAAAAAJ","https://scholar.google.com/citations?user=KmMt5qAAAAAJ")</f>
        <v>https://scholar.google.com/citations?user=KmMt5qAAAAAJ</v>
      </c>
      <c r="O341" s="30">
        <v>5.0</v>
      </c>
      <c r="P341" s="30">
        <v>1.0</v>
      </c>
      <c r="Q341" s="33" t="str">
        <f>HYPERLINK("https://nure.ua/staff/marina-sergiyivna-kudryavtseva","https://nure.ua/staff/marina-sergiyivna-kudryavtseva")</f>
        <v>https://nure.ua/staff/marina-sergiyivna-kudryavtseva</v>
      </c>
      <c r="R341" s="63" t="s">
        <v>1092</v>
      </c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7283.0</v>
      </c>
      <c r="B342" s="23" t="s">
        <v>1093</v>
      </c>
      <c r="C342" s="24" t="s">
        <v>1094</v>
      </c>
      <c r="D342" s="42"/>
      <c r="E342" s="48"/>
      <c r="F342" s="48"/>
      <c r="G342" s="48"/>
      <c r="H342" s="27"/>
      <c r="I342" s="27"/>
      <c r="J342" s="27"/>
      <c r="K342" s="28">
        <v>2.0</v>
      </c>
      <c r="L342" s="39" t="s">
        <v>91</v>
      </c>
      <c r="M342" s="30" t="s">
        <v>22</v>
      </c>
      <c r="N342" s="33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2" s="30">
        <v>0.0</v>
      </c>
      <c r="P342" s="30">
        <v>0.0</v>
      </c>
      <c r="Q342" s="33" t="str">
        <f>HYPERLINK("https://nure.ua/staff/ganna-sergiyivna-kuznetsova","https://nure.ua/staff/ganna-sergiyivna-kuznetsova")</f>
        <v>https://nure.ua/staff/ganna-sergiyivna-kuznetsova</v>
      </c>
      <c r="R342" s="12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4060.0</v>
      </c>
      <c r="B343" s="23" t="s">
        <v>1095</v>
      </c>
      <c r="C343" s="24"/>
      <c r="D343" s="42" t="s">
        <v>1096</v>
      </c>
      <c r="E343" s="26">
        <v>2.0</v>
      </c>
      <c r="F343" s="26">
        <v>3.0</v>
      </c>
      <c r="G343" s="26">
        <v>1.0</v>
      </c>
      <c r="H343" s="27"/>
      <c r="I343" s="27"/>
      <c r="J343" s="27"/>
      <c r="K343" s="28">
        <v>0.0</v>
      </c>
      <c r="L343" s="39"/>
      <c r="M343" s="30" t="s">
        <v>22</v>
      </c>
      <c r="N343" s="33" t="str">
        <f>HYPERLINK("https://scholar.google.com/citations?user=oCTFjw4AAAAJ","https://scholar.google.com/citations?user=oCTFjw4AAAAJ")</f>
        <v>https://scholar.google.com/citations?user=oCTFjw4AAAAJ</v>
      </c>
      <c r="O343" s="30">
        <v>11.0</v>
      </c>
      <c r="P343" s="30">
        <v>2.0</v>
      </c>
      <c r="Q343" s="33" t="str">
        <f>HYPERLINK("https://nure.ua/staff/yuriy-oleksiyovich-kuznyetsov","https://nure.ua/staff/yuriy-oleksiyovich-kuznyetsov")</f>
        <v>https://nure.ua/staff/yuriy-oleksiyovich-kuznyetsov</v>
      </c>
      <c r="R343" s="6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5696.0</v>
      </c>
      <c r="B344" s="23" t="s">
        <v>1097</v>
      </c>
      <c r="C344" s="24" t="s">
        <v>1098</v>
      </c>
      <c r="D344" s="42" t="s">
        <v>1099</v>
      </c>
      <c r="E344" s="64">
        <v>25.0</v>
      </c>
      <c r="F344" s="26">
        <v>151.0</v>
      </c>
      <c r="G344" s="26">
        <v>7.0</v>
      </c>
      <c r="H344" s="27">
        <v>6.0</v>
      </c>
      <c r="I344" s="27">
        <v>12.0</v>
      </c>
      <c r="J344" s="27">
        <v>2.0</v>
      </c>
      <c r="K344" s="28">
        <v>5.0</v>
      </c>
      <c r="L344" s="29" t="s">
        <v>36</v>
      </c>
      <c r="M344" s="30" t="s">
        <v>22</v>
      </c>
      <c r="N344" s="33" t="str">
        <f>HYPERLINK("https://scholar.google.com/citations?hl=ru&amp;user=b9m5oT4AAAAJ","https://scholar.google.com/citations?hl=ru&amp;user=b9m5oT4AAAAJ")</f>
        <v>https://scholar.google.com/citations?hl=ru&amp;user=b9m5oT4AAAAJ</v>
      </c>
      <c r="O344" s="30">
        <v>89.0</v>
      </c>
      <c r="P344" s="30">
        <v>5.0</v>
      </c>
      <c r="Q344" s="33" t="str">
        <f>HYPERLINK("https://nure.ua/staff/ievgenija-dmitrivna-kuzminih","https://nure.ua/staff/ievgenija-dmitrivna-kuzminih")</f>
        <v>https://nure.ua/staff/ievgenija-dmitrivna-kuzminih</v>
      </c>
      <c r="R344" s="63" t="s">
        <v>1100</v>
      </c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1075.0</v>
      </c>
      <c r="B345" s="23" t="s">
        <v>1101</v>
      </c>
      <c r="C345" s="24" t="s">
        <v>1102</v>
      </c>
      <c r="D345" s="42" t="s">
        <v>1103</v>
      </c>
      <c r="E345" s="64">
        <v>6.0</v>
      </c>
      <c r="F345" s="26">
        <v>10.0</v>
      </c>
      <c r="G345" s="26">
        <v>1.0</v>
      </c>
      <c r="H345" s="27">
        <v>1.0</v>
      </c>
      <c r="I345" s="27">
        <v>0.0</v>
      </c>
      <c r="J345" s="27">
        <v>0.0</v>
      </c>
      <c r="K345" s="28">
        <v>27.0</v>
      </c>
      <c r="L345" s="29" t="s">
        <v>167</v>
      </c>
      <c r="M345" s="30" t="s">
        <v>22</v>
      </c>
      <c r="N345" s="33" t="str">
        <f>HYPERLINK("https://scholar.google.com/citations?user=YR7mlYoAAAAJ","https://scholar.google.com/citations?user=YR7mlYoAAAAJ")</f>
        <v>https://scholar.google.com/citations?user=YR7mlYoAAAAJ</v>
      </c>
      <c r="O345" s="30">
        <v>52.0</v>
      </c>
      <c r="P345" s="30">
        <v>4.0</v>
      </c>
      <c r="Q345" s="33" t="str">
        <f>HYPERLINK("https://nure.ua/staff/oleksandr-yakovich-kuzomin","https://nure.ua/staff/oleksandr-yakovich-kuzomin")</f>
        <v>https://nure.ua/staff/oleksandr-yakovich-kuzomin</v>
      </c>
      <c r="R345" s="63" t="s">
        <v>1104</v>
      </c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>
        <v>483.0</v>
      </c>
      <c r="B346" s="23" t="s">
        <v>1105</v>
      </c>
      <c r="C346" s="24" t="s">
        <v>1106</v>
      </c>
      <c r="D346" s="42" t="s">
        <v>1107</v>
      </c>
      <c r="E346" s="64">
        <v>15.0</v>
      </c>
      <c r="F346" s="26">
        <v>77.0</v>
      </c>
      <c r="G346" s="26">
        <v>4.0</v>
      </c>
      <c r="H346" s="27">
        <v>16.0</v>
      </c>
      <c r="I346" s="27">
        <v>74.0</v>
      </c>
      <c r="J346" s="27">
        <v>4.0</v>
      </c>
      <c r="K346" s="28">
        <v>8.0</v>
      </c>
      <c r="L346" s="29" t="s">
        <v>21</v>
      </c>
      <c r="M346" s="30" t="s">
        <v>22</v>
      </c>
      <c r="N346" s="33" t="str">
        <f>HYPERLINK("https://scholar.google.com.ua/citations?user=WS83ZRcAAAAJ","https://scholar.google.com.ua/citations?user=WS83ZRcAAAAJ")</f>
        <v>https://scholar.google.com.ua/citations?user=WS83ZRcAAAAJ</v>
      </c>
      <c r="O346" s="30">
        <v>116.0</v>
      </c>
      <c r="P346" s="30">
        <v>4.0</v>
      </c>
      <c r="Q346" s="33" t="str">
        <f>HYPERLINK("https://nure.ua/staff/anatoliy-vasilovich-kukoba","https://nure.ua/staff/anatoliy-vasilovich-kukoba")</f>
        <v>https://nure.ua/staff/anatoliy-vasilovich-kukoba</v>
      </c>
      <c r="R346" s="63" t="s">
        <v>1108</v>
      </c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/>
      <c r="B347" s="23" t="s">
        <v>1109</v>
      </c>
      <c r="C347" s="24"/>
      <c r="D347" s="42"/>
      <c r="E347" s="88"/>
      <c r="F347" s="48"/>
      <c r="G347" s="48"/>
      <c r="H347" s="27"/>
      <c r="I347" s="27"/>
      <c r="J347" s="27"/>
      <c r="K347" s="28"/>
      <c r="L347" s="39"/>
      <c r="M347" s="30" t="s">
        <v>22</v>
      </c>
      <c r="N347" s="30"/>
      <c r="O347" s="30"/>
      <c r="P347" s="30"/>
      <c r="Q347" s="33" t="str">
        <f>HYPERLINK("https://nure.ua/staff/dmitro-vitalijovich-kukush","https://nure.ua/staff/dmitro-vitalijovich-kukush")</f>
        <v>https://nure.ua/staff/dmitro-vitalijovich-kukush</v>
      </c>
      <c r="R347" s="12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63.0</v>
      </c>
      <c r="B348" s="23" t="s">
        <v>1110</v>
      </c>
      <c r="C348" s="24" t="s">
        <v>1111</v>
      </c>
      <c r="D348" s="42" t="s">
        <v>1112</v>
      </c>
      <c r="E348" s="64">
        <v>11.0</v>
      </c>
      <c r="F348" s="26">
        <v>12.0</v>
      </c>
      <c r="G348" s="26">
        <v>2.0</v>
      </c>
      <c r="H348" s="27">
        <v>7.0</v>
      </c>
      <c r="I348" s="27">
        <v>2.0</v>
      </c>
      <c r="J348" s="27">
        <v>1.0</v>
      </c>
      <c r="K348" s="28">
        <v>21.0</v>
      </c>
      <c r="L348" s="45" t="s">
        <v>46</v>
      </c>
      <c r="M348" s="30" t="s">
        <v>22</v>
      </c>
      <c r="N348" s="33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48" s="30">
        <v>44.0</v>
      </c>
      <c r="P348" s="30">
        <v>4.0</v>
      </c>
      <c r="Q348" s="33" t="str">
        <f>HYPERLINK("https://nure.ua/staff/elvira-mikolayivna-kulak","https://nure.ua/staff/elvira-mikolayivna-kulak")</f>
        <v>https://nure.ua/staff/elvira-mikolayivna-kulak</v>
      </c>
      <c r="R348" s="63" t="s">
        <v>1113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>
        <v>88.0</v>
      </c>
      <c r="B349" s="23" t="s">
        <v>1114</v>
      </c>
      <c r="C349" s="24" t="s">
        <v>1115</v>
      </c>
      <c r="D349" s="42" t="s">
        <v>1116</v>
      </c>
      <c r="E349" s="64">
        <v>16.0</v>
      </c>
      <c r="F349" s="26">
        <v>46.0</v>
      </c>
      <c r="G349" s="26">
        <v>3.0</v>
      </c>
      <c r="H349" s="27">
        <v>6.0</v>
      </c>
      <c r="I349" s="27">
        <v>2.0</v>
      </c>
      <c r="J349" s="27">
        <v>1.0</v>
      </c>
      <c r="K349" s="28">
        <v>26.0</v>
      </c>
      <c r="L349" s="44" t="s">
        <v>171</v>
      </c>
      <c r="M349" s="30" t="s">
        <v>22</v>
      </c>
      <c r="N349" s="33" t="str">
        <f>HYPERLINK("https://scholar.google.com.ua/citations?user=Tz_E-2AAAAAJ","https://scholar.google.com.ua/citations?user=Tz_E-2AAAAAJ")</f>
        <v>https://scholar.google.com.ua/citations?user=Tz_E-2AAAAAJ</v>
      </c>
      <c r="O349" s="30">
        <v>49.0</v>
      </c>
      <c r="P349" s="30">
        <v>3.0</v>
      </c>
      <c r="Q349" s="33" t="str">
        <f>HYPERLINK("https://nure.ua/staff/nonna-yevgenivna-kulishova","https://nure.ua/staff/nonna-yevgenivna-kulishova")</f>
        <v>https://nure.ua/staff/nonna-yevgenivna-kulishova</v>
      </c>
      <c r="R349" s="63" t="s">
        <v>1117</v>
      </c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3750.0</v>
      </c>
      <c r="B350" s="23" t="s">
        <v>1118</v>
      </c>
      <c r="C350" s="24" t="s">
        <v>1119</v>
      </c>
      <c r="D350" s="42" t="s">
        <v>1120</v>
      </c>
      <c r="E350" s="26">
        <v>8.0</v>
      </c>
      <c r="F350" s="26">
        <v>10.0</v>
      </c>
      <c r="G350" s="26">
        <v>2.0</v>
      </c>
      <c r="H350" s="27">
        <v>1.0</v>
      </c>
      <c r="I350" s="27">
        <v>3.0</v>
      </c>
      <c r="J350" s="27">
        <v>1.0</v>
      </c>
      <c r="K350" s="58">
        <v>6.0</v>
      </c>
      <c r="L350" s="29" t="s">
        <v>36</v>
      </c>
      <c r="M350" s="59"/>
      <c r="N350" s="59"/>
      <c r="O350" s="59"/>
      <c r="P350" s="59"/>
      <c r="Q350" s="59"/>
      <c r="R350" s="63" t="s">
        <v>1121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1685.0</v>
      </c>
      <c r="B351" s="23" t="s">
        <v>1122</v>
      </c>
      <c r="C351" s="24" t="s">
        <v>1123</v>
      </c>
      <c r="D351" s="42" t="s">
        <v>1124</v>
      </c>
      <c r="E351" s="26">
        <v>1.0</v>
      </c>
      <c r="F351" s="26">
        <v>0.0</v>
      </c>
      <c r="G351" s="26">
        <v>0.0</v>
      </c>
      <c r="H351" s="27"/>
      <c r="I351" s="27"/>
      <c r="J351" s="27"/>
      <c r="K351" s="28">
        <v>11.0</v>
      </c>
      <c r="L351" s="29" t="s">
        <v>329</v>
      </c>
      <c r="M351" s="30" t="s">
        <v>22</v>
      </c>
      <c r="N351" s="33" t="str">
        <f>HYPERLINK("https://scholar.google.com/citations?user=4gWyV-8AAAAJ","https://scholar.google.com/citations?user=4gWyV-8AAAAJ")</f>
        <v>https://scholar.google.com/citations?user=4gWyV-8AAAAJ</v>
      </c>
      <c r="O351" s="30">
        <v>3.0</v>
      </c>
      <c r="P351" s="30">
        <v>1.0</v>
      </c>
      <c r="Q351" s="33" t="str">
        <f>HYPERLINK("https://nure.ua/staff/oleksandr-vasilovich-kurdenko","https://nure.ua/staff/oleksandr-vasilovich-kurdenko")</f>
        <v>https://nure.ua/staff/oleksandr-vasilovich-kurdenko</v>
      </c>
      <c r="R351" s="13" t="s">
        <v>1125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912.0</v>
      </c>
      <c r="B352" s="23" t="s">
        <v>1126</v>
      </c>
      <c r="C352" s="24" t="s">
        <v>1127</v>
      </c>
      <c r="D352" s="42" t="s">
        <v>1128</v>
      </c>
      <c r="E352" s="64">
        <v>14.0</v>
      </c>
      <c r="F352" s="26">
        <v>51.0</v>
      </c>
      <c r="G352" s="26">
        <v>4.0</v>
      </c>
      <c r="H352" s="27">
        <v>5.0</v>
      </c>
      <c r="I352" s="27">
        <v>1.0</v>
      </c>
      <c r="J352" s="27">
        <v>1.0</v>
      </c>
      <c r="K352" s="28">
        <v>7.0</v>
      </c>
      <c r="L352" s="44" t="s">
        <v>102</v>
      </c>
      <c r="M352" s="30" t="s">
        <v>22</v>
      </c>
      <c r="N352" s="33" t="str">
        <f>HYPERLINK("https://scholar.google.com/citations?user=k_rSptQAAAAJ","https://scholar.google.com/citations?user=k_rSptQAAAAJ")</f>
        <v>https://scholar.google.com/citations?user=k_rSptQAAAAJ</v>
      </c>
      <c r="O352" s="30">
        <v>159.0</v>
      </c>
      <c r="P352" s="30">
        <v>7.0</v>
      </c>
      <c r="Q352" s="33" t="str">
        <f>HYPERLINK("https://nure.ua/staff/yuriy-sergiyovich-kurskiy","https://nure.ua/staff/yuriy-sergiyovich-kurskiy")</f>
        <v>https://nure.ua/staff/yuriy-sergiyovich-kurskiy</v>
      </c>
      <c r="R352" s="63" t="s">
        <v>1129</v>
      </c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108.0</v>
      </c>
      <c r="B353" s="23" t="s">
        <v>1130</v>
      </c>
      <c r="C353" s="24"/>
      <c r="D353" s="42"/>
      <c r="E353" s="48"/>
      <c r="F353" s="48"/>
      <c r="G353" s="48"/>
      <c r="H353" s="27"/>
      <c r="I353" s="27"/>
      <c r="J353" s="27"/>
      <c r="K353" s="28">
        <v>0.0</v>
      </c>
      <c r="L353" s="44" t="s">
        <v>272</v>
      </c>
      <c r="M353" s="30" t="s">
        <v>22</v>
      </c>
      <c r="N353" s="30"/>
      <c r="O353" s="30"/>
      <c r="P353" s="30"/>
      <c r="Q353" s="30"/>
      <c r="R353" s="12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6213.0</v>
      </c>
      <c r="B354" s="23" t="s">
        <v>1131</v>
      </c>
      <c r="C354" s="24" t="s">
        <v>1132</v>
      </c>
      <c r="D354" s="42" t="s">
        <v>1133</v>
      </c>
      <c r="E354" s="26">
        <v>3.0</v>
      </c>
      <c r="F354" s="26">
        <v>1.0</v>
      </c>
      <c r="G354" s="26">
        <v>1.0</v>
      </c>
      <c r="H354" s="27">
        <v>1.0</v>
      </c>
      <c r="I354" s="27">
        <v>0.0</v>
      </c>
      <c r="J354" s="27">
        <v>0.0</v>
      </c>
      <c r="K354" s="28">
        <v>16.0</v>
      </c>
      <c r="L354" s="44" t="s">
        <v>102</v>
      </c>
      <c r="M354" s="30" t="s">
        <v>22</v>
      </c>
      <c r="N354" s="30"/>
      <c r="O354" s="30"/>
      <c r="P354" s="30"/>
      <c r="Q354" s="33" t="str">
        <f>HYPERLINK("https://nure.ua/staff/sergiy-mihaylovich-kuhtin","https://nure.ua/staff/sergiy-mihaylovich-kuhtin")</f>
        <v>https://nure.ua/staff/sergiy-mihaylovich-kuhtin</v>
      </c>
      <c r="R354" s="63" t="s">
        <v>1134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7161.0</v>
      </c>
      <c r="B355" s="23" t="s">
        <v>1135</v>
      </c>
      <c r="C355" s="24" t="s">
        <v>1136</v>
      </c>
      <c r="D355" s="42" t="s">
        <v>1137</v>
      </c>
      <c r="E355" s="26">
        <v>26.0</v>
      </c>
      <c r="F355" s="26">
        <v>194.0</v>
      </c>
      <c r="G355" s="26">
        <v>11.0</v>
      </c>
      <c r="H355" s="27">
        <v>4.0</v>
      </c>
      <c r="I355" s="27">
        <v>2.0</v>
      </c>
      <c r="J355" s="27">
        <v>1.0</v>
      </c>
      <c r="K355" s="28">
        <v>5.0</v>
      </c>
      <c r="L355" s="29"/>
      <c r="M355" s="30" t="s">
        <v>22</v>
      </c>
      <c r="N355" s="33" t="str">
        <f>HYPERLINK("https://scholar.google.com/citations?user=gHejYRUAAAAJ","https://scholar.google.com/citations?user=gHejYRUAAAAJ")</f>
        <v>https://scholar.google.com/citations?user=gHejYRUAAAAJ</v>
      </c>
      <c r="O355" s="30">
        <v>1695.0</v>
      </c>
      <c r="P355" s="30">
        <v>28.0</v>
      </c>
      <c r="Q355" s="33" t="str">
        <f>HYPERLINK("https://nure.ua/staff/georgiy-anatoliyovich-kuchuk","https://nure.ua/staff/georgiy-anatoliyovich-kuchuk")</f>
        <v>https://nure.ua/staff/georgiy-anatoliyovich-kuchuk</v>
      </c>
      <c r="R355" s="63" t="s">
        <v>1138</v>
      </c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6419.0</v>
      </c>
      <c r="B356" s="23" t="s">
        <v>1139</v>
      </c>
      <c r="C356" s="24" t="s">
        <v>1140</v>
      </c>
      <c r="D356" s="42"/>
      <c r="E356" s="48"/>
      <c r="F356" s="48"/>
      <c r="G356" s="48"/>
      <c r="H356" s="27"/>
      <c r="I356" s="27"/>
      <c r="J356" s="27"/>
      <c r="K356" s="28">
        <v>7.0</v>
      </c>
      <c r="L356" s="44" t="s">
        <v>41</v>
      </c>
      <c r="M356" s="30" t="s">
        <v>22</v>
      </c>
      <c r="N356" s="33" t="str">
        <f>HYPERLINK("https://scholar.google.com/citations?user=TBBUlMAAAAAJ","https://scholar.google.com/citations?user=TBBUlMAAAAAJ")</f>
        <v>https://scholar.google.com/citations?user=TBBUlMAAAAAJ</v>
      </c>
      <c r="O356" s="30">
        <v>13.0</v>
      </c>
      <c r="P356" s="30">
        <v>2.0</v>
      </c>
      <c r="Q356" s="33" t="str">
        <f>HYPERLINK("https://nure.ua/staff/oleksiy-feliksovich-lanoviy","https://nure.ua/staff/oleksiy-feliksovich-lanoviy")</f>
        <v>https://nure.ua/staff/oleksiy-feliksovich-lanoviy</v>
      </c>
      <c r="R356" s="12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260.0</v>
      </c>
      <c r="B357" s="23" t="s">
        <v>1141</v>
      </c>
      <c r="C357" s="24" t="s">
        <v>1142</v>
      </c>
      <c r="D357" s="42" t="s">
        <v>1143</v>
      </c>
      <c r="E357" s="26">
        <v>2.0</v>
      </c>
      <c r="F357" s="26">
        <v>4.0</v>
      </c>
      <c r="G357" s="26">
        <v>1.0</v>
      </c>
      <c r="H357" s="27">
        <v>0.0</v>
      </c>
      <c r="I357" s="27">
        <v>0.0</v>
      </c>
      <c r="J357" s="27">
        <v>0.0</v>
      </c>
      <c r="K357" s="28">
        <v>10.0</v>
      </c>
      <c r="L357" s="45" t="s">
        <v>46</v>
      </c>
      <c r="M357" s="30" t="s">
        <v>22</v>
      </c>
      <c r="N357" s="33" t="str">
        <f>HYPERLINK("https://scholar.google.com/citations?user=zbAmFGoAAAAJ","https://scholar.google.com/citations?user=zbAmFGoAAAAJ")</f>
        <v>https://scholar.google.com/citations?user=zbAmFGoAAAAJ</v>
      </c>
      <c r="O357" s="30">
        <v>5.0</v>
      </c>
      <c r="P357" s="30">
        <v>1.0</v>
      </c>
      <c r="Q357" s="33" t="str">
        <f>HYPERLINK("https://nure.ua/staff/lina-viktorivna-larchenko","https://nure.ua/staff/lina-viktorivna-larchenko")</f>
        <v>https://nure.ua/staff/lina-viktorivna-larchenko</v>
      </c>
      <c r="R357" s="63" t="s">
        <v>1144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>
        <v>7628.0</v>
      </c>
      <c r="B358" s="23" t="s">
        <v>1145</v>
      </c>
      <c r="C358" s="24" t="s">
        <v>1146</v>
      </c>
      <c r="D358" s="42" t="s">
        <v>1147</v>
      </c>
      <c r="E358" s="64">
        <v>12.0</v>
      </c>
      <c r="F358" s="26">
        <v>53.0</v>
      </c>
      <c r="G358" s="26">
        <v>4.0</v>
      </c>
      <c r="H358" s="27">
        <v>5.0</v>
      </c>
      <c r="I358" s="27">
        <v>9.0</v>
      </c>
      <c r="J358" s="27">
        <v>1.0</v>
      </c>
      <c r="K358" s="28">
        <v>6.0</v>
      </c>
      <c r="L358" s="29" t="s">
        <v>36</v>
      </c>
      <c r="M358" s="30" t="s">
        <v>22</v>
      </c>
      <c r="N358" s="33" t="str">
        <f>HYPERLINK("https://scholar.google.com/citations?hl=ru&amp;user=YPzrPQYAAAAJ","https://scholar.google.com/citations?hl=ru&amp;user=YPzrPQYAAAAJ")</f>
        <v>https://scholar.google.com/citations?hl=ru&amp;user=YPzrPQYAAAAJ</v>
      </c>
      <c r="O358" s="30">
        <v>76.0</v>
      </c>
      <c r="P358" s="30">
        <v>6.0</v>
      </c>
      <c r="Q358" s="33" t="str">
        <f>HYPERLINK("https://nure.ua/staff/tetjana-mikolaivna-lebedenko","https://nure.ua/staff/tetjana-mikolaivna-lebedenko")</f>
        <v>https://nure.ua/staff/tetjana-mikolaivna-lebedenko</v>
      </c>
      <c r="R358" s="63" t="s">
        <v>1148</v>
      </c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/>
      <c r="B359" s="23" t="s">
        <v>1149</v>
      </c>
      <c r="C359" s="24"/>
      <c r="D359" s="42" t="s">
        <v>1150</v>
      </c>
      <c r="E359" s="64">
        <v>7.0</v>
      </c>
      <c r="F359" s="26">
        <v>12.0</v>
      </c>
      <c r="G359" s="26">
        <v>2.0</v>
      </c>
      <c r="H359" s="27"/>
      <c r="I359" s="27"/>
      <c r="J359" s="27"/>
      <c r="K359" s="28"/>
      <c r="L359" s="29" t="s">
        <v>71</v>
      </c>
      <c r="M359" s="30" t="s">
        <v>22</v>
      </c>
      <c r="N359" s="30"/>
      <c r="O359" s="30"/>
      <c r="P359" s="30"/>
      <c r="Q359" s="30"/>
      <c r="R359" s="63" t="s">
        <v>1151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5718.0</v>
      </c>
      <c r="B360" s="23" t="s">
        <v>1152</v>
      </c>
      <c r="C360" s="24" t="s">
        <v>1153</v>
      </c>
      <c r="D360" s="42" t="s">
        <v>1154</v>
      </c>
      <c r="E360" s="64">
        <v>7.0</v>
      </c>
      <c r="F360" s="26">
        <v>5.0</v>
      </c>
      <c r="G360" s="26">
        <v>2.0</v>
      </c>
      <c r="H360" s="27">
        <v>1.0</v>
      </c>
      <c r="I360" s="27">
        <v>0.0</v>
      </c>
      <c r="J360" s="27">
        <v>0.0</v>
      </c>
      <c r="K360" s="58">
        <v>13.0</v>
      </c>
      <c r="L360" s="29" t="s">
        <v>71</v>
      </c>
      <c r="M360" s="59" t="s">
        <v>22</v>
      </c>
      <c r="N360" s="60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60" s="59">
        <v>20.0</v>
      </c>
      <c r="P360" s="59">
        <v>2.0</v>
      </c>
      <c r="Q360" s="60" t="str">
        <f>HYPERLINK("https://nure.ua/staff/oleg-grigorovich-lebedyev","https://nure.ua/staff/oleg-grigorovich-lebedyev")</f>
        <v>https://nure.ua/staff/oleg-grigorovich-lebedyev</v>
      </c>
      <c r="R360" s="63" t="s">
        <v>1155</v>
      </c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>
        <v>6628.0</v>
      </c>
      <c r="B361" s="23" t="s">
        <v>1156</v>
      </c>
      <c r="C361" s="24"/>
      <c r="D361" s="42"/>
      <c r="E361" s="48"/>
      <c r="F361" s="48"/>
      <c r="G361" s="48"/>
      <c r="H361" s="27"/>
      <c r="I361" s="27"/>
      <c r="J361" s="27"/>
      <c r="K361" s="28">
        <v>0.0</v>
      </c>
      <c r="L361" s="39" t="s">
        <v>91</v>
      </c>
      <c r="M361" s="30" t="s">
        <v>22</v>
      </c>
      <c r="N361" s="33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1" s="30">
        <v>4.0</v>
      </c>
      <c r="P361" s="30">
        <v>1.0</v>
      </c>
      <c r="Q361" s="33" t="str">
        <f>HYPERLINK("https://nure.ua/staff/lebedieva-katerina-olegivna","https://nure.ua/staff/lebedieva-katerina-olegivna")</f>
        <v>https://nure.ua/staff/lebedieva-katerina-olegivna</v>
      </c>
      <c r="R361" s="12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4913.0</v>
      </c>
      <c r="B362" s="23" t="s">
        <v>1157</v>
      </c>
      <c r="C362" s="24" t="s">
        <v>1158</v>
      </c>
      <c r="D362" s="42"/>
      <c r="E362" s="48"/>
      <c r="F362" s="48"/>
      <c r="G362" s="48"/>
      <c r="H362" s="27"/>
      <c r="I362" s="27"/>
      <c r="J362" s="27"/>
      <c r="K362" s="28">
        <v>1.0</v>
      </c>
      <c r="L362" s="29" t="s">
        <v>71</v>
      </c>
      <c r="M362" s="30" t="s">
        <v>22</v>
      </c>
      <c r="N362" s="30"/>
      <c r="O362" s="30"/>
      <c r="P362" s="30"/>
      <c r="Q362" s="33" t="str">
        <f>HYPERLINK("https://nure.ua/staff/alla-juriivna-lebodkina","https://nure.ua/staff/alla-juriivna-lebodkina")</f>
        <v>https://nure.ua/staff/alla-juriivna-lebodkina</v>
      </c>
      <c r="R362" s="12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965.0</v>
      </c>
      <c r="B363" s="23" t="s">
        <v>1159</v>
      </c>
      <c r="C363" s="24" t="s">
        <v>1160</v>
      </c>
      <c r="D363" s="42" t="s">
        <v>1161</v>
      </c>
      <c r="E363" s="26">
        <v>5.0</v>
      </c>
      <c r="F363" s="26">
        <v>14.0</v>
      </c>
      <c r="G363" s="26">
        <v>2.0</v>
      </c>
      <c r="H363" s="27"/>
      <c r="I363" s="27"/>
      <c r="J363" s="27"/>
      <c r="K363" s="28">
        <v>162.0</v>
      </c>
      <c r="L363" s="44" t="s">
        <v>218</v>
      </c>
      <c r="M363" s="30" t="s">
        <v>22</v>
      </c>
      <c r="N363" s="33" t="str">
        <f>HYPERLINK("https://scholar.google.com/citations?user=Hxo5tNsAAAAJ","https://scholar.google.com/citations?user=Hxo5tNsAAAAJ")</f>
        <v>https://scholar.google.com/citations?user=Hxo5tNsAAAAJ</v>
      </c>
      <c r="O363" s="30">
        <v>365.0</v>
      </c>
      <c r="P363" s="30">
        <v>7.0</v>
      </c>
      <c r="Q363" s="33" t="str">
        <f>HYPERLINK("https://nure.ua/staff/viktor-makarovich-levikin","https://nure.ua/staff/viktor-makarovich-levikin")</f>
        <v>https://nure.ua/staff/viktor-makarovich-levikin</v>
      </c>
      <c r="R363" s="63" t="s">
        <v>1162</v>
      </c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22">
        <v>4344.0</v>
      </c>
      <c r="B364" s="23" t="s">
        <v>1163</v>
      </c>
      <c r="C364" s="24" t="s">
        <v>1164</v>
      </c>
      <c r="D364" s="42" t="s">
        <v>1165</v>
      </c>
      <c r="E364" s="26">
        <v>3.0</v>
      </c>
      <c r="F364" s="26">
        <v>9.0</v>
      </c>
      <c r="G364" s="26">
        <v>1.0</v>
      </c>
      <c r="H364" s="27"/>
      <c r="I364" s="27"/>
      <c r="J364" s="27"/>
      <c r="K364" s="28">
        <v>23.0</v>
      </c>
      <c r="L364" s="44" t="s">
        <v>171</v>
      </c>
      <c r="M364" s="30" t="s">
        <v>22</v>
      </c>
      <c r="N364" s="30"/>
      <c r="O364" s="30"/>
      <c r="P364" s="30"/>
      <c r="Q364" s="30"/>
      <c r="R364" s="63" t="s">
        <v>1166</v>
      </c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7987.0</v>
      </c>
      <c r="B365" s="23" t="s">
        <v>1167</v>
      </c>
      <c r="C365" s="24"/>
      <c r="D365" s="66" t="s">
        <v>1168</v>
      </c>
      <c r="E365" s="26">
        <v>1.0</v>
      </c>
      <c r="F365" s="26">
        <v>0.0</v>
      </c>
      <c r="G365" s="26">
        <v>0.0</v>
      </c>
      <c r="H365" s="27"/>
      <c r="I365" s="27"/>
      <c r="J365" s="27"/>
      <c r="K365" s="28">
        <v>11.0</v>
      </c>
      <c r="L365" s="30"/>
      <c r="M365" s="30"/>
      <c r="N365" s="94"/>
      <c r="O365" s="94"/>
      <c r="P365" s="94"/>
      <c r="Q365" s="94"/>
      <c r="R365" s="12" t="s">
        <v>1169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22">
        <v>4070.0</v>
      </c>
      <c r="B366" s="23" t="s">
        <v>1170</v>
      </c>
      <c r="C366" s="24" t="s">
        <v>1171</v>
      </c>
      <c r="D366" s="42" t="s">
        <v>1172</v>
      </c>
      <c r="E366" s="26">
        <v>130.0</v>
      </c>
      <c r="F366" s="26">
        <v>835.0</v>
      </c>
      <c r="G366" s="26">
        <v>17.0</v>
      </c>
      <c r="H366" s="27">
        <v>45.0</v>
      </c>
      <c r="I366" s="27">
        <v>126.0</v>
      </c>
      <c r="J366" s="27">
        <v>6.0</v>
      </c>
      <c r="K366" s="28">
        <v>112.0</v>
      </c>
      <c r="L366" s="29" t="s">
        <v>36</v>
      </c>
      <c r="M366" s="30" t="s">
        <v>22</v>
      </c>
      <c r="N366" s="30"/>
      <c r="O366" s="30"/>
      <c r="P366" s="30"/>
      <c r="Q366" s="30"/>
      <c r="R366" s="63" t="s">
        <v>1173</v>
      </c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34">
        <v>3646.0</v>
      </c>
      <c r="B367" s="49" t="s">
        <v>1174</v>
      </c>
      <c r="C367" s="35" t="s">
        <v>1175</v>
      </c>
      <c r="D367" s="36" t="s">
        <v>1176</v>
      </c>
      <c r="E367" s="26">
        <v>12.0</v>
      </c>
      <c r="F367" s="26">
        <v>37.0</v>
      </c>
      <c r="G367" s="26">
        <v>4.0</v>
      </c>
      <c r="H367" s="37">
        <v>3.0</v>
      </c>
      <c r="I367" s="37">
        <v>7.0</v>
      </c>
      <c r="J367" s="37">
        <v>1.0</v>
      </c>
      <c r="K367" s="38">
        <v>22.0</v>
      </c>
      <c r="L367" s="40"/>
      <c r="M367" s="40" t="s">
        <v>79</v>
      </c>
      <c r="N367" s="40"/>
      <c r="O367" s="40"/>
      <c r="P367" s="40"/>
      <c r="Q367" s="40"/>
      <c r="R367" s="77" t="s">
        <v>1177</v>
      </c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22">
        <v>296.0</v>
      </c>
      <c r="B368" s="23" t="s">
        <v>1178</v>
      </c>
      <c r="C368" s="24" t="s">
        <v>1179</v>
      </c>
      <c r="D368" s="42" t="s">
        <v>1180</v>
      </c>
      <c r="E368" s="26">
        <v>5.0</v>
      </c>
      <c r="F368" s="26">
        <v>3.0</v>
      </c>
      <c r="G368" s="26">
        <v>1.0</v>
      </c>
      <c r="H368" s="27">
        <v>2.0</v>
      </c>
      <c r="I368" s="27">
        <v>0.0</v>
      </c>
      <c r="J368" s="27">
        <v>0.0</v>
      </c>
      <c r="K368" s="28">
        <v>0.0</v>
      </c>
      <c r="L368" s="29"/>
      <c r="M368" s="30" t="s">
        <v>22</v>
      </c>
      <c r="N368" s="30"/>
      <c r="O368" s="30"/>
      <c r="P368" s="30"/>
      <c r="Q368" s="30"/>
      <c r="R368" s="63" t="s">
        <v>1181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2">
        <v>3953.0</v>
      </c>
      <c r="B369" s="23" t="s">
        <v>1182</v>
      </c>
      <c r="C369" s="55" t="s">
        <v>1183</v>
      </c>
      <c r="D369" s="55" t="s">
        <v>1184</v>
      </c>
      <c r="E369" s="26">
        <v>2.0</v>
      </c>
      <c r="F369" s="26">
        <v>8.0</v>
      </c>
      <c r="G369" s="26">
        <v>1.0</v>
      </c>
      <c r="H369" s="27"/>
      <c r="I369" s="27"/>
      <c r="J369" s="27"/>
      <c r="K369" s="28">
        <v>10.0</v>
      </c>
      <c r="L369" s="44" t="s">
        <v>41</v>
      </c>
      <c r="M369" s="30" t="s">
        <v>22</v>
      </c>
      <c r="N369" s="30"/>
      <c r="O369" s="30"/>
      <c r="P369" s="30"/>
      <c r="Q369" s="30"/>
      <c r="R369" s="63" t="s">
        <v>1185</v>
      </c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2">
        <v>3296.0</v>
      </c>
      <c r="B370" s="23" t="s">
        <v>1186</v>
      </c>
      <c r="C370" s="24" t="s">
        <v>1187</v>
      </c>
      <c r="D370" s="55" t="s">
        <v>1188</v>
      </c>
      <c r="E370" s="26">
        <v>5.0</v>
      </c>
      <c r="F370" s="26">
        <v>11.0</v>
      </c>
      <c r="G370" s="26">
        <v>2.0</v>
      </c>
      <c r="H370" s="27">
        <v>1.0</v>
      </c>
      <c r="I370" s="27">
        <v>0.0</v>
      </c>
      <c r="J370" s="27">
        <v>0.0</v>
      </c>
      <c r="K370" s="28">
        <v>7.0</v>
      </c>
      <c r="L370" s="44" t="s">
        <v>41</v>
      </c>
      <c r="M370" s="30" t="s">
        <v>22</v>
      </c>
      <c r="N370" s="30"/>
      <c r="O370" s="30"/>
      <c r="P370" s="30"/>
      <c r="Q370" s="30"/>
      <c r="R370" s="12" t="s">
        <v>1189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1183.0</v>
      </c>
      <c r="B371" s="23" t="s">
        <v>1190</v>
      </c>
      <c r="C371" s="24" t="s">
        <v>1191</v>
      </c>
      <c r="D371" s="42" t="s">
        <v>1192</v>
      </c>
      <c r="E371" s="98">
        <v>8.0</v>
      </c>
      <c r="F371" s="98">
        <v>21.0</v>
      </c>
      <c r="G371" s="26">
        <v>2.0</v>
      </c>
      <c r="H371" s="27">
        <v>6.0</v>
      </c>
      <c r="I371" s="99">
        <v>9.0</v>
      </c>
      <c r="J371" s="99">
        <v>1.0</v>
      </c>
      <c r="K371" s="28">
        <v>20.0</v>
      </c>
      <c r="L371" s="44" t="s">
        <v>41</v>
      </c>
      <c r="M371" s="30" t="s">
        <v>22</v>
      </c>
      <c r="N371" s="30"/>
      <c r="O371" s="30"/>
      <c r="P371" s="30"/>
      <c r="Q371" s="30"/>
      <c r="R371" s="63" t="s">
        <v>1193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3631.0</v>
      </c>
      <c r="B372" s="23" t="s">
        <v>1194</v>
      </c>
      <c r="C372" s="24" t="s">
        <v>1195</v>
      </c>
      <c r="D372" s="42" t="s">
        <v>1196</v>
      </c>
      <c r="E372" s="26">
        <v>4.0</v>
      </c>
      <c r="F372" s="26">
        <v>5.0</v>
      </c>
      <c r="G372" s="26">
        <v>2.0</v>
      </c>
      <c r="H372" s="27">
        <v>1.0</v>
      </c>
      <c r="I372" s="27">
        <v>0.0</v>
      </c>
      <c r="J372" s="27">
        <v>0.0</v>
      </c>
      <c r="K372" s="28">
        <v>4.0</v>
      </c>
      <c r="L372" s="44" t="s">
        <v>75</v>
      </c>
      <c r="M372" s="30" t="s">
        <v>22</v>
      </c>
      <c r="N372" s="30"/>
      <c r="O372" s="30"/>
      <c r="P372" s="30"/>
      <c r="Q372" s="30"/>
      <c r="R372" s="63" t="s">
        <v>1197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4102.0</v>
      </c>
      <c r="B373" s="23" t="s">
        <v>1198</v>
      </c>
      <c r="C373" s="24" t="s">
        <v>1199</v>
      </c>
      <c r="D373" s="55" t="s">
        <v>1200</v>
      </c>
      <c r="E373" s="26">
        <v>3.0</v>
      </c>
      <c r="F373" s="26">
        <v>5.0</v>
      </c>
      <c r="G373" s="26">
        <v>2.0</v>
      </c>
      <c r="H373" s="27">
        <v>1.0</v>
      </c>
      <c r="I373" s="27">
        <v>0.0</v>
      </c>
      <c r="J373" s="27">
        <v>0.0</v>
      </c>
      <c r="K373" s="28">
        <v>1.0</v>
      </c>
      <c r="L373" s="44" t="s">
        <v>75</v>
      </c>
      <c r="M373" s="30" t="s">
        <v>22</v>
      </c>
      <c r="N373" s="30"/>
      <c r="O373" s="30"/>
      <c r="P373" s="30"/>
      <c r="Q373" s="30"/>
      <c r="R373" s="63" t="s">
        <v>1201</v>
      </c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22">
        <v>745.0</v>
      </c>
      <c r="B374" s="23" t="s">
        <v>1202</v>
      </c>
      <c r="C374" s="24"/>
      <c r="D374" s="27"/>
      <c r="E374" s="48"/>
      <c r="F374" s="48"/>
      <c r="G374" s="48"/>
      <c r="H374" s="27"/>
      <c r="I374" s="27"/>
      <c r="J374" s="27"/>
      <c r="K374" s="28">
        <v>0.0</v>
      </c>
      <c r="L374" s="44" t="s">
        <v>272</v>
      </c>
      <c r="M374" s="30" t="s">
        <v>22</v>
      </c>
      <c r="N374" s="30"/>
      <c r="O374" s="30"/>
      <c r="P374" s="30"/>
      <c r="Q374" s="30"/>
      <c r="R374" s="12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34">
        <v>7895.0</v>
      </c>
      <c r="B375" s="49" t="s">
        <v>1203</v>
      </c>
      <c r="C375" s="35" t="s">
        <v>1204</v>
      </c>
      <c r="D375" s="36" t="s">
        <v>1205</v>
      </c>
      <c r="E375" s="26">
        <v>2.0</v>
      </c>
      <c r="F375" s="26">
        <v>2.0</v>
      </c>
      <c r="G375" s="26">
        <v>1.0</v>
      </c>
      <c r="H375" s="37"/>
      <c r="I375" s="37"/>
      <c r="J375" s="37"/>
      <c r="K375" s="38">
        <v>1.0</v>
      </c>
      <c r="L375" s="40"/>
      <c r="M375" s="40" t="s">
        <v>79</v>
      </c>
      <c r="N375" s="40"/>
      <c r="O375" s="40"/>
      <c r="P375" s="40"/>
      <c r="Q375" s="40"/>
      <c r="R375" s="77" t="s">
        <v>1206</v>
      </c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34">
        <v>423.0</v>
      </c>
      <c r="B376" s="23" t="s">
        <v>1207</v>
      </c>
      <c r="C376" s="35" t="s">
        <v>1208</v>
      </c>
      <c r="D376" s="36" t="s">
        <v>1209</v>
      </c>
      <c r="E376" s="26">
        <v>5.0</v>
      </c>
      <c r="F376" s="26">
        <v>42.0</v>
      </c>
      <c r="G376" s="26">
        <v>3.0</v>
      </c>
      <c r="H376" s="37">
        <v>2.0</v>
      </c>
      <c r="I376" s="37">
        <v>1.0</v>
      </c>
      <c r="J376" s="37">
        <v>1.0</v>
      </c>
      <c r="K376" s="38">
        <v>24.0</v>
      </c>
      <c r="L376" s="29"/>
      <c r="M376" s="40" t="s">
        <v>22</v>
      </c>
      <c r="N376" s="40"/>
      <c r="O376" s="40"/>
      <c r="P376" s="40"/>
      <c r="Q376" s="40"/>
      <c r="R376" s="63" t="s">
        <v>1210</v>
      </c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34">
        <v>7135.0</v>
      </c>
      <c r="B377" s="23" t="s">
        <v>1211</v>
      </c>
      <c r="C377" s="100" t="s">
        <v>1212</v>
      </c>
      <c r="D377" s="36" t="s">
        <v>1213</v>
      </c>
      <c r="E377" s="26">
        <v>69.0</v>
      </c>
      <c r="F377" s="26">
        <v>87.0</v>
      </c>
      <c r="G377" s="26">
        <v>5.0</v>
      </c>
      <c r="H377" s="37">
        <v>16.0</v>
      </c>
      <c r="I377" s="37">
        <v>7.0</v>
      </c>
      <c r="J377" s="37">
        <v>2.0</v>
      </c>
      <c r="K377" s="38">
        <v>6.0</v>
      </c>
      <c r="L377" s="39" t="s">
        <v>428</v>
      </c>
      <c r="M377" s="40" t="s">
        <v>22</v>
      </c>
      <c r="N377" s="40"/>
      <c r="O377" s="40"/>
      <c r="P377" s="40"/>
      <c r="Q377" s="40"/>
      <c r="R377" s="63" t="s">
        <v>1214</v>
      </c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2">
        <v>950.0</v>
      </c>
      <c r="B378" s="23" t="s">
        <v>1215</v>
      </c>
      <c r="C378" s="24" t="s">
        <v>1216</v>
      </c>
      <c r="D378" s="42" t="s">
        <v>1217</v>
      </c>
      <c r="E378" s="26">
        <v>6.0</v>
      </c>
      <c r="F378" s="26">
        <v>7.0</v>
      </c>
      <c r="G378" s="26">
        <v>2.0</v>
      </c>
      <c r="H378" s="27">
        <v>1.0</v>
      </c>
      <c r="I378" s="27">
        <v>0.0</v>
      </c>
      <c r="J378" s="27">
        <v>0.0</v>
      </c>
      <c r="K378" s="28">
        <v>10.0</v>
      </c>
      <c r="L378" s="44" t="s">
        <v>428</v>
      </c>
      <c r="M378" s="30" t="s">
        <v>22</v>
      </c>
      <c r="N378" s="30"/>
      <c r="O378" s="30"/>
      <c r="P378" s="30"/>
      <c r="Q378" s="30"/>
      <c r="R378" s="63" t="s">
        <v>1218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2">
        <v>1688.0</v>
      </c>
      <c r="B379" s="23" t="s">
        <v>1219</v>
      </c>
      <c r="C379" s="24"/>
      <c r="D379" s="42" t="s">
        <v>1220</v>
      </c>
      <c r="E379" s="26">
        <v>12.0</v>
      </c>
      <c r="F379" s="26">
        <v>35.0</v>
      </c>
      <c r="G379" s="26">
        <v>3.0</v>
      </c>
      <c r="H379" s="27">
        <v>4.0</v>
      </c>
      <c r="I379" s="27">
        <v>1.0</v>
      </c>
      <c r="J379" s="27">
        <v>0.0</v>
      </c>
      <c r="K379" s="28">
        <v>21.0</v>
      </c>
      <c r="L379" s="44" t="s">
        <v>272</v>
      </c>
      <c r="M379" s="30" t="s">
        <v>22</v>
      </c>
      <c r="N379" s="30"/>
      <c r="O379" s="30"/>
      <c r="P379" s="30"/>
      <c r="Q379" s="30"/>
      <c r="R379" s="63" t="s">
        <v>1221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160.0</v>
      </c>
      <c r="B380" s="23" t="s">
        <v>1222</v>
      </c>
      <c r="C380" s="24" t="s">
        <v>1223</v>
      </c>
      <c r="D380" s="42" t="s">
        <v>1224</v>
      </c>
      <c r="E380" s="26">
        <v>91.0</v>
      </c>
      <c r="F380" s="26">
        <v>262.0</v>
      </c>
      <c r="G380" s="26">
        <v>11.0</v>
      </c>
      <c r="H380" s="27">
        <v>40.0</v>
      </c>
      <c r="I380" s="27">
        <v>45.0</v>
      </c>
      <c r="J380" s="27">
        <v>4.0</v>
      </c>
      <c r="K380" s="28">
        <v>74.0</v>
      </c>
      <c r="L380" s="45" t="s">
        <v>46</v>
      </c>
      <c r="M380" s="30" t="s">
        <v>22</v>
      </c>
      <c r="N380" s="30"/>
      <c r="O380" s="30"/>
      <c r="P380" s="30"/>
      <c r="Q380" s="30"/>
      <c r="R380" s="63" t="s">
        <v>1225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297.0</v>
      </c>
      <c r="B381" s="23" t="s">
        <v>1226</v>
      </c>
      <c r="C381" s="24" t="s">
        <v>1227</v>
      </c>
      <c r="D381" s="42" t="s">
        <v>1228</v>
      </c>
      <c r="E381" s="26">
        <v>12.0</v>
      </c>
      <c r="F381" s="26">
        <v>5.0</v>
      </c>
      <c r="G381" s="26">
        <v>2.0</v>
      </c>
      <c r="H381" s="27">
        <v>5.0</v>
      </c>
      <c r="I381" s="27">
        <v>8.0</v>
      </c>
      <c r="J381" s="27">
        <v>1.0</v>
      </c>
      <c r="K381" s="28">
        <v>5.0</v>
      </c>
      <c r="L381" s="44" t="s">
        <v>75</v>
      </c>
      <c r="M381" s="30" t="s">
        <v>22</v>
      </c>
      <c r="N381" s="30"/>
      <c r="O381" s="30"/>
      <c r="P381" s="30"/>
      <c r="Q381" s="30"/>
      <c r="R381" s="63" t="s">
        <v>1229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4321.0</v>
      </c>
      <c r="B382" s="23" t="s">
        <v>1230</v>
      </c>
      <c r="C382" s="24" t="s">
        <v>1231</v>
      </c>
      <c r="D382" s="42" t="s">
        <v>1232</v>
      </c>
      <c r="E382" s="26">
        <v>5.0</v>
      </c>
      <c r="F382" s="26">
        <v>28.0</v>
      </c>
      <c r="G382" s="26">
        <v>4.0</v>
      </c>
      <c r="H382" s="27">
        <v>0.0</v>
      </c>
      <c r="I382" s="27">
        <v>0.0</v>
      </c>
      <c r="J382" s="27">
        <v>0.0</v>
      </c>
      <c r="K382" s="28">
        <v>5.0</v>
      </c>
      <c r="L382" s="29" t="s">
        <v>21</v>
      </c>
      <c r="M382" s="30" t="s">
        <v>22</v>
      </c>
      <c r="N382" s="30"/>
      <c r="O382" s="30"/>
      <c r="P382" s="30"/>
      <c r="Q382" s="30"/>
      <c r="R382" s="63" t="s">
        <v>1233</v>
      </c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1193.0</v>
      </c>
      <c r="B383" s="23" t="s">
        <v>1234</v>
      </c>
      <c r="C383" s="24"/>
      <c r="D383" s="27"/>
      <c r="E383" s="48"/>
      <c r="F383" s="48"/>
      <c r="G383" s="48"/>
      <c r="H383" s="27"/>
      <c r="I383" s="27"/>
      <c r="J383" s="27"/>
      <c r="K383" s="28">
        <v>1.0</v>
      </c>
      <c r="L383" s="44" t="s">
        <v>171</v>
      </c>
      <c r="M383" s="30" t="s">
        <v>22</v>
      </c>
      <c r="N383" s="30"/>
      <c r="O383" s="30"/>
      <c r="P383" s="30"/>
      <c r="Q383" s="30"/>
      <c r="R383" s="12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7280.0</v>
      </c>
      <c r="B384" s="23" t="s">
        <v>1235</v>
      </c>
      <c r="C384" s="24"/>
      <c r="D384" s="27"/>
      <c r="E384" s="48"/>
      <c r="F384" s="48"/>
      <c r="G384" s="48"/>
      <c r="H384" s="27"/>
      <c r="I384" s="27"/>
      <c r="J384" s="27"/>
      <c r="K384" s="28">
        <v>0.0</v>
      </c>
      <c r="L384" s="39" t="s">
        <v>91</v>
      </c>
      <c r="M384" s="30" t="s">
        <v>22</v>
      </c>
      <c r="N384" s="30"/>
      <c r="O384" s="30"/>
      <c r="P384" s="30"/>
      <c r="Q384" s="30"/>
      <c r="R384" s="12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4665.0</v>
      </c>
      <c r="B385" s="23" t="s">
        <v>1236</v>
      </c>
      <c r="C385" s="81"/>
      <c r="D385" s="42" t="s">
        <v>1237</v>
      </c>
      <c r="E385" s="26">
        <v>12.0</v>
      </c>
      <c r="F385" s="26">
        <v>41.0</v>
      </c>
      <c r="G385" s="26">
        <v>4.0</v>
      </c>
      <c r="H385" s="27">
        <v>7.0</v>
      </c>
      <c r="I385" s="27">
        <v>5.0</v>
      </c>
      <c r="J385" s="27">
        <v>1.0</v>
      </c>
      <c r="K385" s="28">
        <v>7.0</v>
      </c>
      <c r="L385" s="29" t="s">
        <v>36</v>
      </c>
      <c r="M385" s="30" t="s">
        <v>22</v>
      </c>
      <c r="N385" s="30"/>
      <c r="O385" s="30"/>
      <c r="P385" s="30"/>
      <c r="Q385" s="30"/>
      <c r="R385" s="63" t="s">
        <v>1238</v>
      </c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7905.0</v>
      </c>
      <c r="B386" s="23" t="s">
        <v>1239</v>
      </c>
      <c r="C386" s="42"/>
      <c r="D386" s="42"/>
      <c r="E386" s="48"/>
      <c r="F386" s="48"/>
      <c r="G386" s="48"/>
      <c r="H386" s="27"/>
      <c r="I386" s="27"/>
      <c r="J386" s="27"/>
      <c r="K386" s="28">
        <v>0.0</v>
      </c>
      <c r="L386" s="29"/>
      <c r="M386" s="30" t="s">
        <v>22</v>
      </c>
      <c r="N386" s="30"/>
      <c r="O386" s="30"/>
      <c r="P386" s="30"/>
      <c r="Q386" s="30"/>
      <c r="R386" s="12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>
        <v>73.0</v>
      </c>
      <c r="B387" s="23" t="s">
        <v>1240</v>
      </c>
      <c r="C387" s="24" t="s">
        <v>1241</v>
      </c>
      <c r="D387" s="42"/>
      <c r="E387" s="48"/>
      <c r="F387" s="48"/>
      <c r="G387" s="48"/>
      <c r="H387" s="27"/>
      <c r="I387" s="27"/>
      <c r="J387" s="27"/>
      <c r="K387" s="28">
        <v>4.0</v>
      </c>
      <c r="L387" s="44" t="s">
        <v>128</v>
      </c>
      <c r="M387" s="30" t="s">
        <v>22</v>
      </c>
      <c r="N387" s="30"/>
      <c r="O387" s="30"/>
      <c r="P387" s="30"/>
      <c r="Q387" s="30"/>
      <c r="R387" s="13" t="s">
        <v>1242</v>
      </c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/>
      <c r="B388" s="23" t="s">
        <v>1243</v>
      </c>
      <c r="C388" s="24"/>
      <c r="D388" s="42"/>
      <c r="E388" s="48"/>
      <c r="F388" s="48"/>
      <c r="G388" s="48"/>
      <c r="H388" s="27"/>
      <c r="I388" s="27"/>
      <c r="J388" s="27"/>
      <c r="K388" s="28"/>
      <c r="L388" s="29" t="s">
        <v>71</v>
      </c>
      <c r="M388" s="30"/>
      <c r="N388" s="30"/>
      <c r="O388" s="30"/>
      <c r="P388" s="30"/>
      <c r="Q388" s="30"/>
      <c r="R388" s="12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2">
        <v>503.0</v>
      </c>
      <c r="B389" s="23" t="s">
        <v>1244</v>
      </c>
      <c r="C389" s="24" t="s">
        <v>1245</v>
      </c>
      <c r="D389" s="42" t="s">
        <v>1246</v>
      </c>
      <c r="E389" s="26">
        <v>48.0</v>
      </c>
      <c r="F389" s="26">
        <v>73.0</v>
      </c>
      <c r="G389" s="26">
        <v>6.0</v>
      </c>
      <c r="H389" s="27">
        <v>14.0</v>
      </c>
      <c r="I389" s="27">
        <v>3.0</v>
      </c>
      <c r="J389" s="27">
        <v>1.0</v>
      </c>
      <c r="K389" s="28">
        <v>13.0</v>
      </c>
      <c r="L389" s="39"/>
      <c r="M389" s="30" t="s">
        <v>22</v>
      </c>
      <c r="N389" s="30"/>
      <c r="O389" s="30"/>
      <c r="P389" s="30"/>
      <c r="Q389" s="30"/>
      <c r="R389" s="63" t="s">
        <v>1247</v>
      </c>
      <c r="S389" s="13"/>
      <c r="T389" s="13"/>
      <c r="U389" s="13"/>
      <c r="V389" s="13"/>
      <c r="W389" s="13"/>
      <c r="X389" s="13"/>
      <c r="Y389" s="13"/>
      <c r="Z389" s="13"/>
    </row>
    <row r="390" ht="31.5" customHeight="1">
      <c r="A390" s="22">
        <v>2304.0</v>
      </c>
      <c r="B390" s="23" t="s">
        <v>1248</v>
      </c>
      <c r="C390" s="24" t="s">
        <v>1249</v>
      </c>
      <c r="D390" s="101"/>
      <c r="E390" s="48">
        <v>0.0</v>
      </c>
      <c r="F390" s="48">
        <v>0.0</v>
      </c>
      <c r="G390" s="48">
        <v>0.0</v>
      </c>
      <c r="H390" s="27">
        <v>0.0</v>
      </c>
      <c r="I390" s="27">
        <v>0.0</v>
      </c>
      <c r="J390" s="27">
        <v>0.0</v>
      </c>
      <c r="K390" s="28">
        <v>5.0</v>
      </c>
      <c r="L390" s="29" t="s">
        <v>167</v>
      </c>
      <c r="M390" s="30" t="s">
        <v>22</v>
      </c>
      <c r="N390" s="30"/>
      <c r="O390" s="30"/>
      <c r="P390" s="30"/>
      <c r="Q390" s="30"/>
      <c r="R390" s="63" t="s">
        <v>1250</v>
      </c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4775.0</v>
      </c>
      <c r="B391" s="23" t="s">
        <v>1251</v>
      </c>
      <c r="C391" s="24" t="s">
        <v>1252</v>
      </c>
      <c r="D391" s="42"/>
      <c r="E391" s="48"/>
      <c r="F391" s="48"/>
      <c r="G391" s="48"/>
      <c r="H391" s="27"/>
      <c r="I391" s="27"/>
      <c r="J391" s="27"/>
      <c r="K391" s="28">
        <v>0.0</v>
      </c>
      <c r="L391" s="44" t="s">
        <v>41</v>
      </c>
      <c r="M391" s="30" t="s">
        <v>22</v>
      </c>
      <c r="N391" s="30"/>
      <c r="O391" s="30"/>
      <c r="P391" s="30"/>
      <c r="Q391" s="30"/>
      <c r="R391" s="12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2">
        <v>5483.0</v>
      </c>
      <c r="B392" s="23" t="s">
        <v>1253</v>
      </c>
      <c r="C392" s="24" t="s">
        <v>1254</v>
      </c>
      <c r="D392" s="42" t="s">
        <v>1255</v>
      </c>
      <c r="E392" s="26">
        <v>5.0</v>
      </c>
      <c r="F392" s="26">
        <v>8.0</v>
      </c>
      <c r="G392" s="26">
        <v>2.0</v>
      </c>
      <c r="H392" s="27"/>
      <c r="I392" s="27"/>
      <c r="J392" s="27"/>
      <c r="K392" s="28">
        <v>1.0</v>
      </c>
      <c r="L392" s="44" t="s">
        <v>144</v>
      </c>
      <c r="M392" s="30" t="s">
        <v>22</v>
      </c>
      <c r="N392" s="30"/>
      <c r="O392" s="30"/>
      <c r="P392" s="30"/>
      <c r="Q392" s="30"/>
      <c r="R392" s="63" t="s">
        <v>1256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4081.0</v>
      </c>
      <c r="B393" s="23" t="s">
        <v>1257</v>
      </c>
      <c r="C393" s="24" t="s">
        <v>1258</v>
      </c>
      <c r="D393" s="42" t="s">
        <v>1259</v>
      </c>
      <c r="E393" s="26">
        <v>7.0</v>
      </c>
      <c r="F393" s="26">
        <v>12.0</v>
      </c>
      <c r="G393" s="26">
        <v>3.0</v>
      </c>
      <c r="H393" s="27"/>
      <c r="I393" s="27"/>
      <c r="J393" s="27"/>
      <c r="K393" s="28">
        <v>3.0</v>
      </c>
      <c r="L393" s="29" t="s">
        <v>71</v>
      </c>
      <c r="M393" s="30" t="s">
        <v>22</v>
      </c>
      <c r="N393" s="30"/>
      <c r="O393" s="30"/>
      <c r="P393" s="30"/>
      <c r="Q393" s="30"/>
      <c r="R393" s="63" t="s">
        <v>1260</v>
      </c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6949.0</v>
      </c>
      <c r="B394" s="23" t="s">
        <v>1261</v>
      </c>
      <c r="C394" s="24" t="s">
        <v>1262</v>
      </c>
      <c r="D394" s="42" t="s">
        <v>1263</v>
      </c>
      <c r="E394" s="26">
        <v>2.0</v>
      </c>
      <c r="F394" s="26">
        <v>29.0</v>
      </c>
      <c r="G394" s="26">
        <v>2.0</v>
      </c>
      <c r="H394" s="27">
        <v>1.0</v>
      </c>
      <c r="I394" s="27">
        <v>2.0</v>
      </c>
      <c r="J394" s="27">
        <v>1.0</v>
      </c>
      <c r="K394" s="28">
        <v>1.0</v>
      </c>
      <c r="L394" s="39"/>
      <c r="M394" s="30" t="s">
        <v>22</v>
      </c>
      <c r="N394" s="30"/>
      <c r="O394" s="30"/>
      <c r="P394" s="30"/>
      <c r="Q394" s="30"/>
      <c r="R394" s="63" t="s">
        <v>1264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7991.0</v>
      </c>
      <c r="B395" s="23" t="s">
        <v>1265</v>
      </c>
      <c r="C395" s="24" t="s">
        <v>1266</v>
      </c>
      <c r="D395" s="42" t="s">
        <v>1267</v>
      </c>
      <c r="E395" s="26">
        <v>29.0</v>
      </c>
      <c r="F395" s="26">
        <v>365.0</v>
      </c>
      <c r="G395" s="26">
        <v>10.0</v>
      </c>
      <c r="H395" s="27">
        <v>8.0</v>
      </c>
      <c r="I395" s="27">
        <v>119.0</v>
      </c>
      <c r="J395" s="27">
        <v>7.0</v>
      </c>
      <c r="K395" s="28">
        <v>0.0</v>
      </c>
      <c r="L395" s="29"/>
      <c r="M395" s="30" t="s">
        <v>22</v>
      </c>
      <c r="N395" s="30"/>
      <c r="O395" s="30"/>
      <c r="P395" s="30"/>
      <c r="Q395" s="30"/>
      <c r="R395" s="63" t="s">
        <v>1268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456.0</v>
      </c>
      <c r="B396" s="23" t="s">
        <v>1269</v>
      </c>
      <c r="C396" s="24" t="s">
        <v>1270</v>
      </c>
      <c r="D396" s="42"/>
      <c r="E396" s="48"/>
      <c r="F396" s="48"/>
      <c r="G396" s="48"/>
      <c r="H396" s="27"/>
      <c r="I396" s="27"/>
      <c r="J396" s="27"/>
      <c r="K396" s="28">
        <v>3.0</v>
      </c>
      <c r="L396" s="44" t="s">
        <v>41</v>
      </c>
      <c r="M396" s="30" t="s">
        <v>22</v>
      </c>
      <c r="N396" s="30"/>
      <c r="O396" s="30"/>
      <c r="P396" s="30"/>
      <c r="Q396" s="30"/>
      <c r="R396" s="75" t="s">
        <v>1271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1692.0</v>
      </c>
      <c r="B397" s="23" t="s">
        <v>1272</v>
      </c>
      <c r="C397" s="24" t="s">
        <v>1273</v>
      </c>
      <c r="D397" s="42" t="s">
        <v>1274</v>
      </c>
      <c r="E397" s="26">
        <v>15.0</v>
      </c>
      <c r="F397" s="26">
        <v>95.0</v>
      </c>
      <c r="G397" s="26">
        <v>7.0</v>
      </c>
      <c r="H397" s="27">
        <v>2.0</v>
      </c>
      <c r="I397" s="27">
        <v>0.0</v>
      </c>
      <c r="J397" s="27">
        <v>0.0</v>
      </c>
      <c r="K397" s="28">
        <v>15.0</v>
      </c>
      <c r="L397" s="29" t="s">
        <v>71</v>
      </c>
      <c r="M397" s="30" t="s">
        <v>22</v>
      </c>
      <c r="N397" s="30"/>
      <c r="O397" s="30"/>
      <c r="P397" s="30"/>
      <c r="Q397" s="30"/>
      <c r="R397" s="63" t="s">
        <v>1275</v>
      </c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22">
        <v>7672.0</v>
      </c>
      <c r="B398" s="23" t="s">
        <v>1276</v>
      </c>
      <c r="C398" s="24"/>
      <c r="D398" s="42"/>
      <c r="E398" s="48"/>
      <c r="F398" s="48"/>
      <c r="G398" s="48"/>
      <c r="H398" s="27"/>
      <c r="I398" s="27"/>
      <c r="J398" s="27"/>
      <c r="K398" s="28">
        <v>0.0</v>
      </c>
      <c r="L398" s="39" t="s">
        <v>91</v>
      </c>
      <c r="M398" s="30" t="s">
        <v>22</v>
      </c>
      <c r="N398" s="30"/>
      <c r="O398" s="30"/>
      <c r="P398" s="30"/>
      <c r="Q398" s="30"/>
      <c r="R398" s="12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34"/>
      <c r="B399" s="23" t="s">
        <v>1277</v>
      </c>
      <c r="C399" s="35"/>
      <c r="D399" s="36" t="s">
        <v>1278</v>
      </c>
      <c r="E399" s="26">
        <v>27.0</v>
      </c>
      <c r="F399" s="26">
        <v>167.0</v>
      </c>
      <c r="G399" s="26">
        <v>8.0</v>
      </c>
      <c r="H399" s="37">
        <v>3.0</v>
      </c>
      <c r="I399" s="37">
        <v>11.0</v>
      </c>
      <c r="J399" s="37">
        <v>1.0</v>
      </c>
      <c r="K399" s="38"/>
      <c r="L399" s="29" t="s">
        <v>71</v>
      </c>
      <c r="M399" s="40" t="s">
        <v>22</v>
      </c>
      <c r="N399" s="40"/>
      <c r="O399" s="40"/>
      <c r="P399" s="40"/>
      <c r="Q399" s="40"/>
      <c r="R399" s="63" t="s">
        <v>1279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5211.0</v>
      </c>
      <c r="B400" s="23" t="s">
        <v>1280</v>
      </c>
      <c r="C400" s="24" t="s">
        <v>1281</v>
      </c>
      <c r="D400" s="42" t="s">
        <v>1282</v>
      </c>
      <c r="E400" s="26">
        <v>13.0</v>
      </c>
      <c r="F400" s="26">
        <v>25.0</v>
      </c>
      <c r="G400" s="26">
        <v>3.0</v>
      </c>
      <c r="H400" s="27">
        <v>5.0</v>
      </c>
      <c r="I400" s="27">
        <v>3.0</v>
      </c>
      <c r="J400" s="27">
        <v>1.0</v>
      </c>
      <c r="K400" s="28">
        <v>1.0</v>
      </c>
      <c r="L400" s="44" t="s">
        <v>60</v>
      </c>
      <c r="M400" s="30" t="s">
        <v>22</v>
      </c>
      <c r="N400" s="30"/>
      <c r="O400" s="30"/>
      <c r="P400" s="30"/>
      <c r="Q400" s="30"/>
      <c r="R400" s="63" t="s">
        <v>1283</v>
      </c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2">
        <v>4977.0</v>
      </c>
      <c r="B401" s="23" t="s">
        <v>1284</v>
      </c>
      <c r="C401" s="24"/>
      <c r="D401" s="42"/>
      <c r="E401" s="48"/>
      <c r="F401" s="48"/>
      <c r="G401" s="48"/>
      <c r="H401" s="27"/>
      <c r="I401" s="27"/>
      <c r="J401" s="27"/>
      <c r="K401" s="28">
        <v>0.0</v>
      </c>
      <c r="L401" s="39"/>
      <c r="M401" s="30" t="s">
        <v>22</v>
      </c>
      <c r="N401" s="30"/>
      <c r="O401" s="30"/>
      <c r="P401" s="30"/>
      <c r="Q401" s="30"/>
      <c r="R401" s="12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22">
        <v>1709.0</v>
      </c>
      <c r="B402" s="23" t="s">
        <v>1285</v>
      </c>
      <c r="C402" s="24" t="s">
        <v>1286</v>
      </c>
      <c r="D402" s="42" t="s">
        <v>1287</v>
      </c>
      <c r="E402" s="26">
        <v>8.0</v>
      </c>
      <c r="F402" s="26">
        <v>6.0</v>
      </c>
      <c r="G402" s="26">
        <v>2.0</v>
      </c>
      <c r="H402" s="27">
        <v>6.0</v>
      </c>
      <c r="I402" s="27">
        <v>3.0</v>
      </c>
      <c r="J402" s="27">
        <v>1.0</v>
      </c>
      <c r="K402" s="28">
        <v>11.0</v>
      </c>
      <c r="L402" s="39"/>
      <c r="M402" s="30" t="s">
        <v>22</v>
      </c>
      <c r="N402" s="30"/>
      <c r="O402" s="30"/>
      <c r="P402" s="30"/>
      <c r="Q402" s="30"/>
      <c r="R402" s="63" t="s">
        <v>1288</v>
      </c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34">
        <v>4896.0</v>
      </c>
      <c r="B403" s="49" t="s">
        <v>1289</v>
      </c>
      <c r="C403" s="35" t="s">
        <v>1290</v>
      </c>
      <c r="D403" s="36" t="s">
        <v>1291</v>
      </c>
      <c r="E403" s="26">
        <v>6.0</v>
      </c>
      <c r="F403" s="26">
        <v>3.0</v>
      </c>
      <c r="G403" s="26">
        <v>1.0</v>
      </c>
      <c r="H403" s="37">
        <v>5.0</v>
      </c>
      <c r="I403" s="37">
        <v>3.0</v>
      </c>
      <c r="J403" s="37">
        <v>1.0</v>
      </c>
      <c r="K403" s="38">
        <v>3.0</v>
      </c>
      <c r="L403" s="40"/>
      <c r="M403" s="40" t="s">
        <v>79</v>
      </c>
      <c r="N403" s="40"/>
      <c r="O403" s="40"/>
      <c r="P403" s="40"/>
      <c r="Q403" s="40"/>
      <c r="R403" s="77" t="s">
        <v>1292</v>
      </c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22">
        <v>809.0</v>
      </c>
      <c r="B404" s="23" t="s">
        <v>1293</v>
      </c>
      <c r="C404" s="24" t="s">
        <v>1294</v>
      </c>
      <c r="D404" s="42"/>
      <c r="E404" s="48"/>
      <c r="F404" s="48"/>
      <c r="G404" s="48"/>
      <c r="H404" s="27"/>
      <c r="I404" s="27"/>
      <c r="J404" s="27"/>
      <c r="K404" s="28">
        <v>1.0</v>
      </c>
      <c r="L404" s="44" t="s">
        <v>144</v>
      </c>
      <c r="M404" s="30" t="s">
        <v>22</v>
      </c>
      <c r="N404" s="30"/>
      <c r="O404" s="30"/>
      <c r="P404" s="30"/>
      <c r="Q404" s="30"/>
      <c r="R404" s="12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2">
        <v>7674.0</v>
      </c>
      <c r="B405" s="23" t="s">
        <v>1295</v>
      </c>
      <c r="C405" s="24"/>
      <c r="D405" s="42"/>
      <c r="E405" s="48"/>
      <c r="F405" s="48"/>
      <c r="G405" s="48"/>
      <c r="H405" s="27"/>
      <c r="I405" s="27"/>
      <c r="J405" s="27"/>
      <c r="K405" s="28">
        <v>0.0</v>
      </c>
      <c r="L405" s="39" t="s">
        <v>91</v>
      </c>
      <c r="M405" s="30" t="s">
        <v>22</v>
      </c>
      <c r="N405" s="30"/>
      <c r="O405" s="30"/>
      <c r="P405" s="30"/>
      <c r="Q405" s="30"/>
      <c r="R405" s="12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2">
        <v>155.0</v>
      </c>
      <c r="B406" s="23" t="s">
        <v>1296</v>
      </c>
      <c r="C406" s="24"/>
      <c r="D406" s="42"/>
      <c r="E406" s="48"/>
      <c r="F406" s="48"/>
      <c r="G406" s="48"/>
      <c r="H406" s="27"/>
      <c r="I406" s="27"/>
      <c r="J406" s="27"/>
      <c r="K406" s="28">
        <v>2.0</v>
      </c>
      <c r="L406" s="44" t="s">
        <v>218</v>
      </c>
      <c r="M406" s="30" t="s">
        <v>22</v>
      </c>
      <c r="N406" s="30"/>
      <c r="O406" s="30"/>
      <c r="P406" s="30"/>
      <c r="Q406" s="30"/>
      <c r="R406" s="12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189.0</v>
      </c>
      <c r="B407" s="23" t="s">
        <v>1297</v>
      </c>
      <c r="C407" s="24" t="s">
        <v>1298</v>
      </c>
      <c r="D407" s="42" t="s">
        <v>1299</v>
      </c>
      <c r="E407" s="26">
        <v>4.0</v>
      </c>
      <c r="F407" s="26">
        <v>5.0</v>
      </c>
      <c r="G407" s="26">
        <v>1.0</v>
      </c>
      <c r="H407" s="27">
        <v>1.0</v>
      </c>
      <c r="I407" s="27">
        <v>0.0</v>
      </c>
      <c r="J407" s="27">
        <v>0.0</v>
      </c>
      <c r="K407" s="28">
        <v>7.0</v>
      </c>
      <c r="L407" s="44" t="s">
        <v>163</v>
      </c>
      <c r="M407" s="30" t="s">
        <v>22</v>
      </c>
      <c r="N407" s="30"/>
      <c r="O407" s="30"/>
      <c r="P407" s="30"/>
      <c r="Q407" s="30"/>
      <c r="R407" s="63" t="s">
        <v>1300</v>
      </c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22">
        <v>852.0</v>
      </c>
      <c r="B408" s="23" t="s">
        <v>1301</v>
      </c>
      <c r="C408" s="24" t="s">
        <v>1302</v>
      </c>
      <c r="D408" s="42" t="s">
        <v>1303</v>
      </c>
      <c r="E408" s="26">
        <v>2.0</v>
      </c>
      <c r="F408" s="26">
        <v>17.0</v>
      </c>
      <c r="G408" s="26">
        <v>1.0</v>
      </c>
      <c r="H408" s="27">
        <v>1.0</v>
      </c>
      <c r="I408" s="27">
        <v>0.0</v>
      </c>
      <c r="J408" s="27">
        <v>0.0</v>
      </c>
      <c r="K408" s="28">
        <v>6.0</v>
      </c>
      <c r="L408" s="44" t="s">
        <v>171</v>
      </c>
      <c r="M408" s="30" t="s">
        <v>22</v>
      </c>
      <c r="N408" s="30"/>
      <c r="O408" s="30"/>
      <c r="P408" s="30"/>
      <c r="Q408" s="30"/>
      <c r="R408" s="63" t="s">
        <v>1304</v>
      </c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34">
        <v>5096.0</v>
      </c>
      <c r="B409" s="23" t="s">
        <v>1305</v>
      </c>
      <c r="C409" s="35" t="s">
        <v>1306</v>
      </c>
      <c r="D409" s="36" t="s">
        <v>1307</v>
      </c>
      <c r="E409" s="26">
        <v>10.0</v>
      </c>
      <c r="F409" s="26">
        <v>33.0</v>
      </c>
      <c r="G409" s="26">
        <v>4.0</v>
      </c>
      <c r="H409" s="37">
        <v>4.0</v>
      </c>
      <c r="I409" s="37">
        <v>2.0</v>
      </c>
      <c r="J409" s="37">
        <v>1.0</v>
      </c>
      <c r="K409" s="38">
        <v>0.0</v>
      </c>
      <c r="L409" s="39"/>
      <c r="M409" s="40" t="s">
        <v>22</v>
      </c>
      <c r="N409" s="40"/>
      <c r="O409" s="40"/>
      <c r="P409" s="40"/>
      <c r="Q409" s="40"/>
      <c r="R409" s="63" t="s">
        <v>1308</v>
      </c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2328.0</v>
      </c>
      <c r="B410" s="23" t="s">
        <v>1309</v>
      </c>
      <c r="C410" s="24"/>
      <c r="D410" s="42"/>
      <c r="E410" s="48">
        <v>0.0</v>
      </c>
      <c r="F410" s="48">
        <v>0.0</v>
      </c>
      <c r="G410" s="48">
        <v>0.0</v>
      </c>
      <c r="H410" s="27">
        <v>0.0</v>
      </c>
      <c r="I410" s="27">
        <v>0.0</v>
      </c>
      <c r="J410" s="27">
        <v>0.0</v>
      </c>
      <c r="K410" s="28">
        <v>2.0</v>
      </c>
      <c r="L410" s="44" t="s">
        <v>428</v>
      </c>
      <c r="M410" s="30" t="s">
        <v>22</v>
      </c>
      <c r="N410" s="30"/>
      <c r="O410" s="30"/>
      <c r="P410" s="30"/>
      <c r="Q410" s="30"/>
      <c r="R410" s="12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2">
        <v>16.0</v>
      </c>
      <c r="B411" s="23" t="s">
        <v>1310</v>
      </c>
      <c r="C411" s="24" t="s">
        <v>1311</v>
      </c>
      <c r="D411" s="42" t="s">
        <v>1312</v>
      </c>
      <c r="E411" s="26">
        <v>1.0</v>
      </c>
      <c r="F411" s="26">
        <v>0.0</v>
      </c>
      <c r="G411" s="26">
        <v>0.0</v>
      </c>
      <c r="H411" s="27">
        <v>0.0</v>
      </c>
      <c r="I411" s="27">
        <v>0.0</v>
      </c>
      <c r="J411" s="27">
        <v>0.0</v>
      </c>
      <c r="K411" s="28">
        <v>5.0</v>
      </c>
      <c r="L411" s="44" t="s">
        <v>41</v>
      </c>
      <c r="M411" s="30" t="s">
        <v>22</v>
      </c>
      <c r="N411" s="30"/>
      <c r="O411" s="30"/>
      <c r="P411" s="30"/>
      <c r="Q411" s="30"/>
      <c r="R411" s="63" t="s">
        <v>1313</v>
      </c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7946.0</v>
      </c>
      <c r="B412" s="23" t="s">
        <v>1314</v>
      </c>
      <c r="C412" s="24"/>
      <c r="D412" s="42"/>
      <c r="E412" s="48"/>
      <c r="F412" s="48"/>
      <c r="G412" s="48"/>
      <c r="H412" s="27"/>
      <c r="I412" s="27"/>
      <c r="J412" s="27"/>
      <c r="K412" s="28">
        <v>0.0</v>
      </c>
      <c r="L412" s="39" t="s">
        <v>91</v>
      </c>
      <c r="M412" s="30" t="s">
        <v>22</v>
      </c>
      <c r="N412" s="30"/>
      <c r="O412" s="30"/>
      <c r="P412" s="30"/>
      <c r="Q412" s="30"/>
      <c r="R412" s="12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4807.0</v>
      </c>
      <c r="B413" s="23" t="s">
        <v>1315</v>
      </c>
      <c r="C413" s="24" t="s">
        <v>1316</v>
      </c>
      <c r="D413" s="42" t="s">
        <v>1317</v>
      </c>
      <c r="E413" s="64">
        <v>5.0</v>
      </c>
      <c r="F413" s="26">
        <v>19.0</v>
      </c>
      <c r="G413" s="26">
        <v>2.0</v>
      </c>
      <c r="H413" s="27">
        <v>3.0</v>
      </c>
      <c r="I413" s="27">
        <v>0.0</v>
      </c>
      <c r="J413" s="27">
        <v>0.0</v>
      </c>
      <c r="K413" s="28">
        <v>13.0</v>
      </c>
      <c r="L413" s="29" t="s">
        <v>36</v>
      </c>
      <c r="M413" s="30" t="s">
        <v>22</v>
      </c>
      <c r="N413" s="30"/>
      <c r="O413" s="30"/>
      <c r="P413" s="30"/>
      <c r="Q413" s="30"/>
      <c r="R413" s="63" t="s">
        <v>1318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7292.0</v>
      </c>
      <c r="B414" s="23" t="s">
        <v>1319</v>
      </c>
      <c r="C414" s="24" t="s">
        <v>1320</v>
      </c>
      <c r="D414" s="25" t="s">
        <v>1321</v>
      </c>
      <c r="E414" s="26">
        <v>4.0</v>
      </c>
      <c r="F414" s="26">
        <v>5.0</v>
      </c>
      <c r="G414" s="26">
        <v>1.0</v>
      </c>
      <c r="H414" s="27">
        <v>1.0</v>
      </c>
      <c r="I414" s="27">
        <v>0.0</v>
      </c>
      <c r="J414" s="27">
        <v>0.0</v>
      </c>
      <c r="K414" s="28">
        <v>0.0</v>
      </c>
      <c r="L414" s="44" t="s">
        <v>128</v>
      </c>
      <c r="M414" s="30" t="s">
        <v>22</v>
      </c>
      <c r="N414" s="30"/>
      <c r="O414" s="30"/>
      <c r="P414" s="30"/>
      <c r="Q414" s="30"/>
      <c r="R414" s="12" t="s">
        <v>1322</v>
      </c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6969.0</v>
      </c>
      <c r="B415" s="23" t="s">
        <v>1323</v>
      </c>
      <c r="C415" s="24" t="s">
        <v>1324</v>
      </c>
      <c r="D415" s="42" t="s">
        <v>1325</v>
      </c>
      <c r="E415" s="64">
        <v>17.0</v>
      </c>
      <c r="F415" s="26">
        <v>117.0</v>
      </c>
      <c r="G415" s="26">
        <v>8.0</v>
      </c>
      <c r="H415" s="27">
        <v>3.0</v>
      </c>
      <c r="I415" s="27">
        <v>1.0</v>
      </c>
      <c r="J415" s="27">
        <v>1.0</v>
      </c>
      <c r="K415" s="28">
        <v>5.0</v>
      </c>
      <c r="L415" s="29" t="s">
        <v>71</v>
      </c>
      <c r="M415" s="30" t="s">
        <v>22</v>
      </c>
      <c r="N415" s="30"/>
      <c r="O415" s="30"/>
      <c r="P415" s="30"/>
      <c r="Q415" s="30"/>
      <c r="R415" s="63" t="s">
        <v>1326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3825.0</v>
      </c>
      <c r="B416" s="23" t="s">
        <v>1327</v>
      </c>
      <c r="C416" s="102"/>
      <c r="D416" s="42" t="s">
        <v>1328</v>
      </c>
      <c r="E416" s="26">
        <v>1.0</v>
      </c>
      <c r="F416" s="26">
        <v>0.0</v>
      </c>
      <c r="G416" s="26">
        <v>0.0</v>
      </c>
      <c r="H416" s="27">
        <v>1.0</v>
      </c>
      <c r="I416" s="27">
        <v>0.0</v>
      </c>
      <c r="J416" s="27">
        <v>0.0</v>
      </c>
      <c r="K416" s="58">
        <v>3.0</v>
      </c>
      <c r="L416" s="29" t="s">
        <v>36</v>
      </c>
      <c r="M416" s="59" t="s">
        <v>22</v>
      </c>
      <c r="N416" s="59"/>
      <c r="O416" s="59"/>
      <c r="P416" s="59"/>
      <c r="Q416" s="59"/>
      <c r="R416" s="63" t="s">
        <v>1329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22">
        <v>587.0</v>
      </c>
      <c r="B417" s="23" t="s">
        <v>1330</v>
      </c>
      <c r="C417" s="24" t="s">
        <v>1331</v>
      </c>
      <c r="D417" s="55" t="s">
        <v>1332</v>
      </c>
      <c r="E417" s="26">
        <v>1.0</v>
      </c>
      <c r="F417" s="26">
        <v>0.0</v>
      </c>
      <c r="G417" s="26">
        <v>0.0</v>
      </c>
      <c r="H417" s="27"/>
      <c r="I417" s="47"/>
      <c r="J417" s="47"/>
      <c r="K417" s="28">
        <v>6.0</v>
      </c>
      <c r="L417" s="29" t="s">
        <v>36</v>
      </c>
      <c r="M417" s="30" t="s">
        <v>22</v>
      </c>
      <c r="N417" s="30"/>
      <c r="O417" s="30"/>
      <c r="P417" s="30"/>
      <c r="Q417" s="30"/>
      <c r="R417" s="63" t="s">
        <v>1333</v>
      </c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03">
        <v>7158.0</v>
      </c>
      <c r="B418" s="23" t="s">
        <v>1334</v>
      </c>
      <c r="C418" s="104" t="s">
        <v>1335</v>
      </c>
      <c r="D418" s="105"/>
      <c r="E418" s="48"/>
      <c r="F418" s="48"/>
      <c r="G418" s="48"/>
      <c r="H418" s="105"/>
      <c r="I418" s="106"/>
      <c r="J418" s="106"/>
      <c r="K418" s="58">
        <v>0.0</v>
      </c>
      <c r="L418" s="44" t="s">
        <v>41</v>
      </c>
      <c r="M418" s="59" t="s">
        <v>22</v>
      </c>
      <c r="N418" s="59"/>
      <c r="O418" s="59"/>
      <c r="P418" s="59"/>
      <c r="Q418" s="59"/>
      <c r="R418" s="12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22">
        <v>7170.0</v>
      </c>
      <c r="B419" s="23" t="s">
        <v>1336</v>
      </c>
      <c r="C419" s="24" t="s">
        <v>1337</v>
      </c>
      <c r="D419" s="42" t="s">
        <v>1338</v>
      </c>
      <c r="E419" s="26">
        <v>3.0</v>
      </c>
      <c r="F419" s="26">
        <v>2.0</v>
      </c>
      <c r="G419" s="26">
        <v>1.0</v>
      </c>
      <c r="H419" s="27">
        <v>0.0</v>
      </c>
      <c r="I419" s="47">
        <v>0.0</v>
      </c>
      <c r="J419" s="47">
        <v>0.0</v>
      </c>
      <c r="K419" s="28">
        <v>8.0</v>
      </c>
      <c r="L419" s="44" t="s">
        <v>428</v>
      </c>
      <c r="M419" s="30" t="s">
        <v>22</v>
      </c>
      <c r="N419" s="30"/>
      <c r="O419" s="30"/>
      <c r="P419" s="30"/>
      <c r="Q419" s="30"/>
      <c r="R419" s="63" t="s">
        <v>1339</v>
      </c>
      <c r="S419" s="13"/>
      <c r="T419" s="13"/>
      <c r="U419" s="13"/>
      <c r="V419" s="13"/>
      <c r="W419" s="13"/>
      <c r="X419" s="13"/>
      <c r="Y419" s="13"/>
      <c r="Z419" s="13"/>
    </row>
    <row r="420" ht="19.5" customHeight="1">
      <c r="A420" s="22">
        <v>502.0</v>
      </c>
      <c r="B420" s="23" t="s">
        <v>1340</v>
      </c>
      <c r="C420" s="24" t="s">
        <v>1341</v>
      </c>
      <c r="D420" s="107" t="s">
        <v>1342</v>
      </c>
      <c r="E420" s="108">
        <v>71.0</v>
      </c>
      <c r="F420" s="26">
        <v>167.0</v>
      </c>
      <c r="G420" s="26">
        <v>6.0</v>
      </c>
      <c r="H420" s="27">
        <v>46.0</v>
      </c>
      <c r="I420" s="27">
        <v>45.0</v>
      </c>
      <c r="J420" s="27">
        <v>3.0</v>
      </c>
      <c r="K420" s="28">
        <v>184.0</v>
      </c>
      <c r="L420" s="44" t="s">
        <v>102</v>
      </c>
      <c r="M420" s="30" t="s">
        <v>22</v>
      </c>
      <c r="N420" s="30"/>
      <c r="O420" s="30"/>
      <c r="P420" s="30"/>
      <c r="Q420" s="30"/>
      <c r="R420" s="12" t="s">
        <v>1343</v>
      </c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1729.0</v>
      </c>
      <c r="B421" s="23" t="s">
        <v>1344</v>
      </c>
      <c r="C421" s="24" t="s">
        <v>1345</v>
      </c>
      <c r="D421" s="107" t="s">
        <v>1346</v>
      </c>
      <c r="E421" s="108">
        <v>21.0</v>
      </c>
      <c r="F421" s="26">
        <v>75.0</v>
      </c>
      <c r="G421" s="26">
        <v>5.0</v>
      </c>
      <c r="H421" s="27">
        <v>9.0</v>
      </c>
      <c r="I421" s="27">
        <v>7.0</v>
      </c>
      <c r="J421" s="27">
        <v>2.0</v>
      </c>
      <c r="K421" s="28">
        <v>10.0</v>
      </c>
      <c r="L421" s="29" t="s">
        <v>167</v>
      </c>
      <c r="M421" s="30" t="s">
        <v>22</v>
      </c>
      <c r="N421" s="30"/>
      <c r="O421" s="30"/>
      <c r="P421" s="30"/>
      <c r="Q421" s="30"/>
      <c r="R421" s="63" t="s">
        <v>1347</v>
      </c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2">
        <v>3674.0</v>
      </c>
      <c r="B422" s="23" t="s">
        <v>1348</v>
      </c>
      <c r="C422" s="24" t="s">
        <v>1349</v>
      </c>
      <c r="D422" s="107" t="s">
        <v>1350</v>
      </c>
      <c r="E422" s="108">
        <v>20.0</v>
      </c>
      <c r="F422" s="26">
        <v>77.0</v>
      </c>
      <c r="G422" s="26">
        <v>6.0</v>
      </c>
      <c r="H422" s="27">
        <v>11.0</v>
      </c>
      <c r="I422" s="27">
        <v>6.0</v>
      </c>
      <c r="J422" s="27">
        <v>2.0</v>
      </c>
      <c r="K422" s="28">
        <v>14.0</v>
      </c>
      <c r="L422" s="29" t="s">
        <v>167</v>
      </c>
      <c r="M422" s="30" t="s">
        <v>22</v>
      </c>
      <c r="N422" s="30"/>
      <c r="O422" s="30"/>
      <c r="P422" s="30"/>
      <c r="Q422" s="30"/>
      <c r="R422" s="63" t="s">
        <v>1351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6510.0</v>
      </c>
      <c r="B423" s="23" t="s">
        <v>1352</v>
      </c>
      <c r="C423" s="24" t="s">
        <v>1353</v>
      </c>
      <c r="D423" s="107" t="s">
        <v>1354</v>
      </c>
      <c r="E423" s="108">
        <v>11.0</v>
      </c>
      <c r="F423" s="26">
        <v>6.0</v>
      </c>
      <c r="G423" s="26">
        <v>2.0</v>
      </c>
      <c r="H423" s="27">
        <v>1.0</v>
      </c>
      <c r="I423" s="27">
        <v>0.0</v>
      </c>
      <c r="J423" s="27">
        <v>0.0</v>
      </c>
      <c r="K423" s="28">
        <v>3.0</v>
      </c>
      <c r="L423" s="44" t="s">
        <v>75</v>
      </c>
      <c r="M423" s="30" t="s">
        <v>22</v>
      </c>
      <c r="N423" s="30"/>
      <c r="O423" s="30"/>
      <c r="P423" s="30"/>
      <c r="Q423" s="30"/>
      <c r="R423" s="63" t="s">
        <v>1355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22">
        <v>7675.0</v>
      </c>
      <c r="B424" s="23" t="s">
        <v>1356</v>
      </c>
      <c r="C424" s="24" t="s">
        <v>1357</v>
      </c>
      <c r="D424" s="27"/>
      <c r="E424" s="48"/>
      <c r="F424" s="48"/>
      <c r="G424" s="48"/>
      <c r="H424" s="27">
        <v>1.0</v>
      </c>
      <c r="I424" s="27">
        <v>1.0</v>
      </c>
      <c r="J424" s="27">
        <v>1.0</v>
      </c>
      <c r="K424" s="28">
        <v>1.0</v>
      </c>
      <c r="L424" s="39" t="s">
        <v>91</v>
      </c>
      <c r="M424" s="30" t="s">
        <v>22</v>
      </c>
      <c r="N424" s="30"/>
      <c r="O424" s="30"/>
      <c r="P424" s="30"/>
      <c r="Q424" s="30"/>
      <c r="R424" s="12" t="s">
        <v>1358</v>
      </c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34">
        <v>473.0</v>
      </c>
      <c r="B425" s="49" t="s">
        <v>1359</v>
      </c>
      <c r="C425" s="35" t="s">
        <v>1360</v>
      </c>
      <c r="D425" s="37"/>
      <c r="E425" s="48"/>
      <c r="F425" s="48"/>
      <c r="G425" s="48"/>
      <c r="H425" s="51"/>
      <c r="I425" s="51"/>
      <c r="J425" s="51"/>
      <c r="K425" s="38">
        <v>28.0</v>
      </c>
      <c r="L425" s="40"/>
      <c r="M425" s="40" t="s">
        <v>79</v>
      </c>
      <c r="N425" s="40"/>
      <c r="O425" s="40"/>
      <c r="P425" s="40"/>
      <c r="Q425" s="40"/>
      <c r="R425" s="52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22">
        <v>48.0</v>
      </c>
      <c r="B426" s="23" t="s">
        <v>1361</v>
      </c>
      <c r="C426" s="24" t="s">
        <v>1362</v>
      </c>
      <c r="D426" s="27"/>
      <c r="E426" s="48"/>
      <c r="F426" s="48"/>
      <c r="G426" s="48"/>
      <c r="H426" s="47"/>
      <c r="I426" s="47"/>
      <c r="J426" s="47"/>
      <c r="K426" s="28">
        <v>6.0</v>
      </c>
      <c r="L426" s="29" t="s">
        <v>356</v>
      </c>
      <c r="M426" s="30" t="s">
        <v>22</v>
      </c>
      <c r="N426" s="30"/>
      <c r="O426" s="30"/>
      <c r="P426" s="30"/>
      <c r="Q426" s="30"/>
      <c r="R426" s="12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22">
        <v>5388.0</v>
      </c>
      <c r="B427" s="23" t="s">
        <v>1363</v>
      </c>
      <c r="C427" s="24" t="s">
        <v>1364</v>
      </c>
      <c r="D427" s="109"/>
      <c r="E427" s="27"/>
      <c r="F427" s="27"/>
      <c r="G427" s="27"/>
      <c r="H427" s="110"/>
      <c r="I427" s="27"/>
      <c r="J427" s="27"/>
      <c r="K427" s="28">
        <v>0.0</v>
      </c>
      <c r="L427" s="30" t="s">
        <v>120</v>
      </c>
      <c r="M427" s="30" t="s">
        <v>22</v>
      </c>
      <c r="N427" s="30"/>
      <c r="O427" s="30"/>
      <c r="P427" s="30"/>
      <c r="Q427" s="30"/>
      <c r="R427" s="95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22">
        <v>488.0</v>
      </c>
      <c r="B428" s="23" t="s">
        <v>1365</v>
      </c>
      <c r="C428" s="24" t="s">
        <v>1366</v>
      </c>
      <c r="D428" s="42" t="s">
        <v>1367</v>
      </c>
      <c r="E428" s="26">
        <v>1.0</v>
      </c>
      <c r="F428" s="26">
        <v>5.0</v>
      </c>
      <c r="G428" s="26">
        <v>1.0</v>
      </c>
      <c r="H428" s="47"/>
      <c r="I428" s="47"/>
      <c r="J428" s="47"/>
      <c r="K428" s="28">
        <v>8.0</v>
      </c>
      <c r="L428" s="29" t="s">
        <v>36</v>
      </c>
      <c r="M428" s="30" t="s">
        <v>22</v>
      </c>
      <c r="N428" s="30"/>
      <c r="O428" s="30"/>
      <c r="P428" s="30"/>
      <c r="Q428" s="30"/>
      <c r="R428" s="63" t="s">
        <v>1368</v>
      </c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9.0</v>
      </c>
      <c r="B429" s="23" t="s">
        <v>1369</v>
      </c>
      <c r="C429" s="24" t="s">
        <v>1370</v>
      </c>
      <c r="D429" s="27"/>
      <c r="E429" s="48"/>
      <c r="F429" s="48"/>
      <c r="G429" s="48"/>
      <c r="H429" s="47"/>
      <c r="I429" s="47"/>
      <c r="J429" s="47"/>
      <c r="K429" s="28">
        <v>1.0</v>
      </c>
      <c r="L429" s="44" t="s">
        <v>41</v>
      </c>
      <c r="M429" s="30" t="s">
        <v>22</v>
      </c>
      <c r="N429" s="30"/>
      <c r="O429" s="30"/>
      <c r="P429" s="30"/>
      <c r="Q429" s="30"/>
      <c r="R429" s="12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2">
        <v>575.0</v>
      </c>
      <c r="B430" s="23" t="s">
        <v>1371</v>
      </c>
      <c r="C430" s="24" t="s">
        <v>1372</v>
      </c>
      <c r="D430" s="42" t="s">
        <v>1373</v>
      </c>
      <c r="E430" s="26">
        <v>4.0</v>
      </c>
      <c r="F430" s="26">
        <v>1.0</v>
      </c>
      <c r="G430" s="26">
        <v>1.0</v>
      </c>
      <c r="H430" s="47"/>
      <c r="I430" s="47"/>
      <c r="J430" s="47"/>
      <c r="K430" s="28">
        <v>3.0</v>
      </c>
      <c r="L430" s="44" t="s">
        <v>409</v>
      </c>
      <c r="M430" s="30" t="s">
        <v>22</v>
      </c>
      <c r="N430" s="30"/>
      <c r="O430" s="30"/>
      <c r="P430" s="30"/>
      <c r="Q430" s="30"/>
      <c r="R430" s="63" t="s">
        <v>1374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7393.0</v>
      </c>
      <c r="B431" s="23" t="s">
        <v>1375</v>
      </c>
      <c r="C431" s="24" t="s">
        <v>1376</v>
      </c>
      <c r="D431" s="42" t="s">
        <v>1377</v>
      </c>
      <c r="E431" s="26">
        <v>5.0</v>
      </c>
      <c r="F431" s="26">
        <v>10.0</v>
      </c>
      <c r="G431" s="26">
        <v>2.0</v>
      </c>
      <c r="H431" s="27">
        <v>1.0</v>
      </c>
      <c r="I431" s="27">
        <v>0.0</v>
      </c>
      <c r="J431" s="27">
        <v>0.0</v>
      </c>
      <c r="K431" s="28">
        <v>1.0</v>
      </c>
      <c r="L431" s="44" t="s">
        <v>64</v>
      </c>
      <c r="M431" s="30" t="s">
        <v>22</v>
      </c>
      <c r="N431" s="30"/>
      <c r="O431" s="30"/>
      <c r="P431" s="30"/>
      <c r="Q431" s="30"/>
      <c r="R431" s="63" t="s">
        <v>1378</v>
      </c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22">
        <v>7473.0</v>
      </c>
      <c r="B432" s="23" t="s">
        <v>1379</v>
      </c>
      <c r="C432" s="24" t="s">
        <v>1380</v>
      </c>
      <c r="D432" s="107" t="s">
        <v>1381</v>
      </c>
      <c r="E432" s="108">
        <v>21.0</v>
      </c>
      <c r="F432" s="26">
        <v>45.0</v>
      </c>
      <c r="G432" s="26">
        <v>4.0</v>
      </c>
      <c r="H432" s="27">
        <v>7.0</v>
      </c>
      <c r="I432" s="27">
        <v>2.0</v>
      </c>
      <c r="J432" s="27">
        <v>1.0</v>
      </c>
      <c r="K432" s="28">
        <v>8.0</v>
      </c>
      <c r="L432" s="29" t="s">
        <v>36</v>
      </c>
      <c r="M432" s="30"/>
      <c r="N432" s="30"/>
      <c r="O432" s="30"/>
      <c r="P432" s="30"/>
      <c r="Q432" s="30"/>
      <c r="R432" s="63" t="s">
        <v>1382</v>
      </c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34">
        <v>7496.0</v>
      </c>
      <c r="B433" s="49" t="s">
        <v>1383</v>
      </c>
      <c r="C433" s="37"/>
      <c r="D433" s="37"/>
      <c r="E433" s="48"/>
      <c r="F433" s="48"/>
      <c r="G433" s="48"/>
      <c r="H433" s="51"/>
      <c r="I433" s="51"/>
      <c r="J433" s="51"/>
      <c r="K433" s="38">
        <v>0.0</v>
      </c>
      <c r="L433" s="40" t="s">
        <v>78</v>
      </c>
      <c r="M433" s="40" t="s">
        <v>79</v>
      </c>
      <c r="N433" s="40"/>
      <c r="O433" s="40"/>
      <c r="P433" s="40"/>
      <c r="Q433" s="40"/>
      <c r="R433" s="52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22">
        <v>846.0</v>
      </c>
      <c r="B434" s="23" t="s">
        <v>1384</v>
      </c>
      <c r="C434" s="24" t="s">
        <v>1385</v>
      </c>
      <c r="D434" s="42" t="s">
        <v>1386</v>
      </c>
      <c r="E434" s="26">
        <v>4.0</v>
      </c>
      <c r="F434" s="26">
        <v>0.0</v>
      </c>
      <c r="G434" s="26">
        <v>0.0</v>
      </c>
      <c r="H434" s="47"/>
      <c r="I434" s="47"/>
      <c r="J434" s="47"/>
      <c r="K434" s="28">
        <v>2.0</v>
      </c>
      <c r="L434" s="44" t="s">
        <v>859</v>
      </c>
      <c r="M434" s="30" t="s">
        <v>22</v>
      </c>
      <c r="N434" s="30"/>
      <c r="O434" s="30"/>
      <c r="P434" s="30"/>
      <c r="Q434" s="30"/>
      <c r="R434" s="63" t="s">
        <v>1387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2">
        <v>1653.0</v>
      </c>
      <c r="B435" s="23" t="s">
        <v>1388</v>
      </c>
      <c r="C435" s="24" t="s">
        <v>1389</v>
      </c>
      <c r="D435" s="42" t="s">
        <v>1390</v>
      </c>
      <c r="E435" s="26">
        <v>4.0</v>
      </c>
      <c r="F435" s="26">
        <v>0.0</v>
      </c>
      <c r="G435" s="26">
        <v>0.0</v>
      </c>
      <c r="H435" s="47"/>
      <c r="I435" s="47"/>
      <c r="J435" s="47"/>
      <c r="K435" s="28">
        <v>9.0</v>
      </c>
      <c r="L435" s="44" t="s">
        <v>75</v>
      </c>
      <c r="M435" s="30" t="s">
        <v>22</v>
      </c>
      <c r="N435" s="30"/>
      <c r="O435" s="30"/>
      <c r="P435" s="30"/>
      <c r="Q435" s="30"/>
      <c r="R435" s="63" t="s">
        <v>1391</v>
      </c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22">
        <v>272.0</v>
      </c>
      <c r="B436" s="23" t="s">
        <v>1392</v>
      </c>
      <c r="C436" s="24" t="s">
        <v>1393</v>
      </c>
      <c r="D436" s="27"/>
      <c r="E436" s="48"/>
      <c r="F436" s="48"/>
      <c r="G436" s="48"/>
      <c r="H436" s="47"/>
      <c r="I436" s="47"/>
      <c r="J436" s="47"/>
      <c r="K436" s="28">
        <v>0.0</v>
      </c>
      <c r="L436" s="44" t="s">
        <v>120</v>
      </c>
      <c r="M436" s="30" t="s">
        <v>22</v>
      </c>
      <c r="N436" s="30"/>
      <c r="O436" s="30"/>
      <c r="P436" s="30"/>
      <c r="Q436" s="30"/>
      <c r="R436" s="12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34">
        <v>7403.0</v>
      </c>
      <c r="B437" s="23" t="s">
        <v>1394</v>
      </c>
      <c r="C437" s="35" t="s">
        <v>1395</v>
      </c>
      <c r="D437" s="36" t="s">
        <v>1396</v>
      </c>
      <c r="E437" s="26">
        <v>12.0</v>
      </c>
      <c r="F437" s="26">
        <v>10.0</v>
      </c>
      <c r="G437" s="26">
        <v>2.0</v>
      </c>
      <c r="H437" s="37">
        <v>8.0</v>
      </c>
      <c r="I437" s="37">
        <v>2.0</v>
      </c>
      <c r="J437" s="37">
        <v>1.0</v>
      </c>
      <c r="K437" s="38">
        <v>2.0</v>
      </c>
      <c r="L437" s="39"/>
      <c r="M437" s="40" t="s">
        <v>22</v>
      </c>
      <c r="N437" s="40"/>
      <c r="O437" s="40"/>
      <c r="P437" s="40"/>
      <c r="Q437" s="40"/>
      <c r="R437" s="63" t="s">
        <v>1397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22"/>
      <c r="B438" s="23" t="s">
        <v>1398</v>
      </c>
      <c r="C438" s="81"/>
      <c r="D438" s="101" t="s">
        <v>1399</v>
      </c>
      <c r="E438" s="26">
        <v>7.0</v>
      </c>
      <c r="F438" s="26">
        <v>9.0</v>
      </c>
      <c r="G438" s="26">
        <v>2.0</v>
      </c>
      <c r="H438" s="27">
        <v>1.0</v>
      </c>
      <c r="I438" s="27">
        <v>0.0</v>
      </c>
      <c r="J438" s="27">
        <v>0.0</v>
      </c>
      <c r="K438" s="28"/>
      <c r="L438" s="45" t="s">
        <v>46</v>
      </c>
      <c r="M438" s="30" t="s">
        <v>22</v>
      </c>
      <c r="N438" s="30"/>
      <c r="O438" s="30"/>
      <c r="P438" s="30"/>
      <c r="Q438" s="30"/>
      <c r="R438" s="63" t="s">
        <v>1400</v>
      </c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34">
        <v>89.0</v>
      </c>
      <c r="B439" s="49" t="s">
        <v>1401</v>
      </c>
      <c r="C439" s="37"/>
      <c r="D439" s="37"/>
      <c r="E439" s="48"/>
      <c r="F439" s="48"/>
      <c r="G439" s="48"/>
      <c r="H439" s="51"/>
      <c r="I439" s="51"/>
      <c r="J439" s="51"/>
      <c r="K439" s="38">
        <v>0.0</v>
      </c>
      <c r="L439" s="40" t="s">
        <v>78</v>
      </c>
      <c r="M439" s="40" t="s">
        <v>79</v>
      </c>
      <c r="N439" s="40"/>
      <c r="O439" s="40"/>
      <c r="P439" s="40"/>
      <c r="Q439" s="40"/>
      <c r="R439" s="52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22">
        <v>419.0</v>
      </c>
      <c r="B440" s="23" t="s">
        <v>1402</v>
      </c>
      <c r="C440" s="111" t="s">
        <v>1403</v>
      </c>
      <c r="D440" s="112" t="s">
        <v>1404</v>
      </c>
      <c r="E440" s="108">
        <v>8.0</v>
      </c>
      <c r="F440" s="26">
        <v>5.0</v>
      </c>
      <c r="G440" s="26">
        <v>1.0</v>
      </c>
      <c r="H440" s="27">
        <v>4.0</v>
      </c>
      <c r="I440" s="27">
        <v>0.0</v>
      </c>
      <c r="J440" s="27">
        <v>0.0</v>
      </c>
      <c r="K440" s="28">
        <v>20.0</v>
      </c>
      <c r="L440" s="29" t="s">
        <v>71</v>
      </c>
      <c r="M440" s="30" t="s">
        <v>22</v>
      </c>
      <c r="N440" s="30"/>
      <c r="O440" s="30"/>
      <c r="P440" s="30"/>
      <c r="Q440" s="30"/>
      <c r="R440" s="63" t="s">
        <v>1405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2">
        <v>402.0</v>
      </c>
      <c r="B441" s="23" t="s">
        <v>1406</v>
      </c>
      <c r="C441" s="24" t="s">
        <v>1407</v>
      </c>
      <c r="D441" s="42" t="s">
        <v>1408</v>
      </c>
      <c r="E441" s="26">
        <v>3.0</v>
      </c>
      <c r="F441" s="26">
        <v>1.0</v>
      </c>
      <c r="G441" s="26">
        <v>1.0</v>
      </c>
      <c r="H441" s="47"/>
      <c r="I441" s="47"/>
      <c r="J441" s="47"/>
      <c r="K441" s="28">
        <v>22.0</v>
      </c>
      <c r="L441" s="44" t="s">
        <v>218</v>
      </c>
      <c r="M441" s="30" t="s">
        <v>22</v>
      </c>
      <c r="N441" s="30"/>
      <c r="O441" s="30"/>
      <c r="P441" s="30"/>
      <c r="Q441" s="30"/>
      <c r="R441" s="63" t="s">
        <v>1409</v>
      </c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2">
        <v>152.0</v>
      </c>
      <c r="B442" s="23" t="s">
        <v>1410</v>
      </c>
      <c r="C442" s="24" t="s">
        <v>1411</v>
      </c>
      <c r="D442" s="42" t="s">
        <v>1412</v>
      </c>
      <c r="E442" s="26">
        <v>2.0</v>
      </c>
      <c r="F442" s="26">
        <v>1.0</v>
      </c>
      <c r="G442" s="26">
        <v>1.0</v>
      </c>
      <c r="H442" s="47"/>
      <c r="I442" s="47"/>
      <c r="J442" s="47"/>
      <c r="K442" s="28">
        <v>16.0</v>
      </c>
      <c r="L442" s="44" t="s">
        <v>218</v>
      </c>
      <c r="M442" s="30" t="s">
        <v>22</v>
      </c>
      <c r="N442" s="30"/>
      <c r="O442" s="30"/>
      <c r="P442" s="30"/>
      <c r="Q442" s="30"/>
      <c r="R442" s="63" t="s">
        <v>1413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22">
        <v>2287.0</v>
      </c>
      <c r="B443" s="23" t="s">
        <v>1414</v>
      </c>
      <c r="C443" s="24" t="s">
        <v>1415</v>
      </c>
      <c r="D443" s="55" t="s">
        <v>1416</v>
      </c>
      <c r="E443" s="26">
        <v>2.0</v>
      </c>
      <c r="F443" s="26">
        <v>0.0</v>
      </c>
      <c r="G443" s="26">
        <v>0.0</v>
      </c>
      <c r="H443" s="27">
        <v>1.0</v>
      </c>
      <c r="I443" s="27">
        <v>0.0</v>
      </c>
      <c r="J443" s="27">
        <v>0.0</v>
      </c>
      <c r="K443" s="28">
        <v>7.0</v>
      </c>
      <c r="L443" s="44" t="s">
        <v>137</v>
      </c>
      <c r="M443" s="30" t="s">
        <v>22</v>
      </c>
      <c r="N443" s="30"/>
      <c r="O443" s="30"/>
      <c r="P443" s="30"/>
      <c r="Q443" s="30"/>
      <c r="R443" s="63" t="s">
        <v>1417</v>
      </c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34">
        <v>5083.0</v>
      </c>
      <c r="B444" s="49" t="s">
        <v>1418</v>
      </c>
      <c r="C444" s="54" t="s">
        <v>1419</v>
      </c>
      <c r="D444" s="54" t="s">
        <v>1420</v>
      </c>
      <c r="E444" s="26">
        <v>1.0</v>
      </c>
      <c r="F444" s="26">
        <v>0.0</v>
      </c>
      <c r="G444" s="26">
        <v>0.0</v>
      </c>
      <c r="H444" s="51"/>
      <c r="I444" s="51"/>
      <c r="J444" s="51"/>
      <c r="K444" s="38">
        <v>2.0</v>
      </c>
      <c r="L444" s="40"/>
      <c r="M444" s="40" t="s">
        <v>79</v>
      </c>
      <c r="N444" s="40"/>
      <c r="O444" s="40"/>
      <c r="P444" s="40"/>
      <c r="Q444" s="40"/>
      <c r="R444" s="77" t="s">
        <v>1421</v>
      </c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22">
        <v>7015.0</v>
      </c>
      <c r="B445" s="23" t="s">
        <v>1422</v>
      </c>
      <c r="C445" s="24" t="s">
        <v>1423</v>
      </c>
      <c r="D445" s="112" t="s">
        <v>1424</v>
      </c>
      <c r="E445" s="108">
        <v>7.0</v>
      </c>
      <c r="F445" s="26">
        <v>48.0</v>
      </c>
      <c r="G445" s="26">
        <v>4.0</v>
      </c>
      <c r="H445" s="27">
        <v>2.0</v>
      </c>
      <c r="I445" s="27">
        <v>12.0</v>
      </c>
      <c r="J445" s="27">
        <v>2.0</v>
      </c>
      <c r="K445" s="28">
        <v>3.0</v>
      </c>
      <c r="L445" s="29"/>
      <c r="M445" s="30" t="s">
        <v>22</v>
      </c>
      <c r="N445" s="30"/>
      <c r="O445" s="30"/>
      <c r="P445" s="30"/>
      <c r="Q445" s="30"/>
      <c r="R445" s="63" t="s">
        <v>1425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34">
        <v>5694.0</v>
      </c>
      <c r="B446" s="23" t="s">
        <v>1426</v>
      </c>
      <c r="C446" s="35" t="s">
        <v>1427</v>
      </c>
      <c r="D446" s="113" t="s">
        <v>1428</v>
      </c>
      <c r="E446" s="26">
        <v>6.0</v>
      </c>
      <c r="F446" s="26">
        <v>27.0</v>
      </c>
      <c r="G446" s="26">
        <v>3.0</v>
      </c>
      <c r="H446" s="37">
        <v>2.0</v>
      </c>
      <c r="I446" s="37">
        <v>0.0</v>
      </c>
      <c r="J446" s="37">
        <v>0.0</v>
      </c>
      <c r="K446" s="38">
        <v>0.0</v>
      </c>
      <c r="L446" s="29"/>
      <c r="M446" s="40" t="s">
        <v>22</v>
      </c>
      <c r="N446" s="40"/>
      <c r="O446" s="40"/>
      <c r="P446" s="40"/>
      <c r="Q446" s="40"/>
      <c r="R446" s="63" t="s">
        <v>1429</v>
      </c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2">
        <v>5090.0</v>
      </c>
      <c r="B447" s="23" t="s">
        <v>1430</v>
      </c>
      <c r="C447" s="24" t="s">
        <v>1431</v>
      </c>
      <c r="D447" s="107" t="s">
        <v>1432</v>
      </c>
      <c r="E447" s="26">
        <v>3.0</v>
      </c>
      <c r="F447" s="26">
        <v>2.0</v>
      </c>
      <c r="G447" s="26">
        <v>1.0</v>
      </c>
      <c r="H447" s="47"/>
      <c r="I447" s="47"/>
      <c r="J447" s="47"/>
      <c r="K447" s="28">
        <v>4.0</v>
      </c>
      <c r="L447" s="44" t="s">
        <v>137</v>
      </c>
      <c r="M447" s="30" t="s">
        <v>22</v>
      </c>
      <c r="N447" s="30"/>
      <c r="O447" s="30"/>
      <c r="P447" s="30"/>
      <c r="Q447" s="30"/>
      <c r="R447" s="63" t="s">
        <v>1433</v>
      </c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2">
        <v>1214.0</v>
      </c>
      <c r="B448" s="23" t="s">
        <v>1434</v>
      </c>
      <c r="C448" s="24" t="s">
        <v>1435</v>
      </c>
      <c r="D448" s="27"/>
      <c r="E448" s="48"/>
      <c r="F448" s="48"/>
      <c r="G448" s="48"/>
      <c r="H448" s="47"/>
      <c r="I448" s="47"/>
      <c r="J448" s="47"/>
      <c r="K448" s="28">
        <v>7.0</v>
      </c>
      <c r="L448" s="44" t="s">
        <v>128</v>
      </c>
      <c r="M448" s="30" t="s">
        <v>22</v>
      </c>
      <c r="N448" s="30"/>
      <c r="O448" s="30"/>
      <c r="P448" s="30"/>
      <c r="Q448" s="30"/>
      <c r="R448" s="12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448.0</v>
      </c>
      <c r="B449" s="23" t="s">
        <v>1436</v>
      </c>
      <c r="C449" s="24" t="s">
        <v>1437</v>
      </c>
      <c r="D449" s="107" t="s">
        <v>1438</v>
      </c>
      <c r="E449" s="108">
        <v>15.0</v>
      </c>
      <c r="F449" s="26">
        <v>52.0</v>
      </c>
      <c r="G449" s="26">
        <v>5.0</v>
      </c>
      <c r="H449" s="27">
        <v>5.0</v>
      </c>
      <c r="I449" s="27">
        <v>0.0</v>
      </c>
      <c r="J449" s="27">
        <v>0.0</v>
      </c>
      <c r="K449" s="28">
        <v>10.0</v>
      </c>
      <c r="L449" s="29" t="s">
        <v>36</v>
      </c>
      <c r="M449" s="30" t="s">
        <v>22</v>
      </c>
      <c r="N449" s="30"/>
      <c r="O449" s="30"/>
      <c r="P449" s="30"/>
      <c r="Q449" s="30"/>
      <c r="R449" s="63" t="s">
        <v>1439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4067.0</v>
      </c>
      <c r="B450" s="23" t="s">
        <v>1440</v>
      </c>
      <c r="C450" s="27"/>
      <c r="D450" s="42" t="s">
        <v>1441</v>
      </c>
      <c r="E450" s="26">
        <v>2.0</v>
      </c>
      <c r="F450" s="26">
        <v>1.0</v>
      </c>
      <c r="G450" s="26">
        <v>1.0</v>
      </c>
      <c r="H450" s="27">
        <v>2.0</v>
      </c>
      <c r="I450" s="27">
        <v>1.0</v>
      </c>
      <c r="J450" s="27">
        <v>1.0</v>
      </c>
      <c r="K450" s="28">
        <v>1.0</v>
      </c>
      <c r="L450" s="29" t="s">
        <v>594</v>
      </c>
      <c r="M450" s="30" t="s">
        <v>22</v>
      </c>
      <c r="N450" s="30"/>
      <c r="O450" s="30"/>
      <c r="P450" s="30"/>
      <c r="Q450" s="30"/>
      <c r="R450" s="63" t="s">
        <v>1442</v>
      </c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4874.0</v>
      </c>
      <c r="B451" s="23" t="s">
        <v>1443</v>
      </c>
      <c r="C451" s="24" t="s">
        <v>1444</v>
      </c>
      <c r="D451" s="114" t="s">
        <v>1445</v>
      </c>
      <c r="E451" s="26">
        <v>22.0</v>
      </c>
      <c r="F451" s="26">
        <v>516.0</v>
      </c>
      <c r="G451" s="26">
        <v>8.0</v>
      </c>
      <c r="H451" s="27">
        <v>16.0</v>
      </c>
      <c r="I451" s="27">
        <v>291.0</v>
      </c>
      <c r="J451" s="27">
        <v>6.0</v>
      </c>
      <c r="K451" s="28">
        <v>13.0</v>
      </c>
      <c r="L451" s="29" t="s">
        <v>21</v>
      </c>
      <c r="M451" s="30" t="s">
        <v>22</v>
      </c>
      <c r="N451" s="30"/>
      <c r="O451" s="30"/>
      <c r="P451" s="30"/>
      <c r="Q451" s="30"/>
      <c r="R451" s="63" t="s">
        <v>1446</v>
      </c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2">
        <v>6318.0</v>
      </c>
      <c r="B452" s="23" t="s">
        <v>1447</v>
      </c>
      <c r="C452" s="24" t="s">
        <v>1448</v>
      </c>
      <c r="D452" s="42" t="s">
        <v>1449</v>
      </c>
      <c r="E452" s="26">
        <v>1.0</v>
      </c>
      <c r="F452" s="26">
        <v>0.0</v>
      </c>
      <c r="G452" s="26">
        <v>0.0</v>
      </c>
      <c r="H452" s="47"/>
      <c r="I452" s="47"/>
      <c r="J452" s="47"/>
      <c r="K452" s="28">
        <v>10.0</v>
      </c>
      <c r="L452" s="44" t="s">
        <v>128</v>
      </c>
      <c r="M452" s="30" t="s">
        <v>22</v>
      </c>
      <c r="N452" s="30"/>
      <c r="O452" s="30"/>
      <c r="P452" s="30"/>
      <c r="Q452" s="30"/>
      <c r="R452" s="63" t="s">
        <v>1450</v>
      </c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2">
        <v>3686.0</v>
      </c>
      <c r="B453" s="23" t="s">
        <v>1451</v>
      </c>
      <c r="C453" s="24" t="s">
        <v>1452</v>
      </c>
      <c r="D453" s="55" t="s">
        <v>1453</v>
      </c>
      <c r="E453" s="26">
        <v>1.0</v>
      </c>
      <c r="F453" s="26">
        <v>24.0</v>
      </c>
      <c r="G453" s="26">
        <v>1.0</v>
      </c>
      <c r="H453" s="27">
        <v>1.0</v>
      </c>
      <c r="I453" s="27">
        <v>0.0</v>
      </c>
      <c r="J453" s="27">
        <v>0.0</v>
      </c>
      <c r="K453" s="28">
        <v>3.0</v>
      </c>
      <c r="L453" s="29" t="s">
        <v>329</v>
      </c>
      <c r="M453" s="30" t="s">
        <v>22</v>
      </c>
      <c r="N453" s="30"/>
      <c r="O453" s="30"/>
      <c r="P453" s="30"/>
      <c r="Q453" s="30"/>
      <c r="R453" s="12" t="s">
        <v>1454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174.0</v>
      </c>
      <c r="B454" s="23" t="s">
        <v>1455</v>
      </c>
      <c r="C454" s="24" t="s">
        <v>1456</v>
      </c>
      <c r="D454" s="42" t="s">
        <v>1457</v>
      </c>
      <c r="E454" s="26">
        <v>1.0</v>
      </c>
      <c r="F454" s="26">
        <v>9.0</v>
      </c>
      <c r="G454" s="26">
        <v>1.0</v>
      </c>
      <c r="H454" s="47"/>
      <c r="I454" s="47"/>
      <c r="J454" s="47"/>
      <c r="K454" s="28">
        <v>5.0</v>
      </c>
      <c r="L454" s="29" t="s">
        <v>329</v>
      </c>
      <c r="M454" s="30" t="s">
        <v>22</v>
      </c>
      <c r="N454" s="30"/>
      <c r="O454" s="30"/>
      <c r="P454" s="30"/>
      <c r="Q454" s="30"/>
      <c r="R454" s="63" t="s">
        <v>1458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3483.0</v>
      </c>
      <c r="B455" s="23" t="s">
        <v>1459</v>
      </c>
      <c r="C455" s="24" t="s">
        <v>1460</v>
      </c>
      <c r="D455" s="42" t="s">
        <v>1461</v>
      </c>
      <c r="E455" s="26">
        <v>1.0</v>
      </c>
      <c r="F455" s="26">
        <v>0.0</v>
      </c>
      <c r="G455" s="26">
        <v>0.0</v>
      </c>
      <c r="H455" s="47">
        <v>0.0</v>
      </c>
      <c r="I455" s="47">
        <v>0.0</v>
      </c>
      <c r="J455" s="47">
        <v>0.0</v>
      </c>
      <c r="K455" s="58">
        <v>5.0</v>
      </c>
      <c r="L455" s="44" t="s">
        <v>859</v>
      </c>
      <c r="M455" s="59" t="s">
        <v>22</v>
      </c>
      <c r="N455" s="59"/>
      <c r="O455" s="59"/>
      <c r="P455" s="59"/>
      <c r="Q455" s="59"/>
      <c r="R455" s="63" t="s">
        <v>1462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176.0</v>
      </c>
      <c r="B456" s="23" t="s">
        <v>1463</v>
      </c>
      <c r="C456" s="24" t="s">
        <v>1464</v>
      </c>
      <c r="D456" s="42" t="s">
        <v>1465</v>
      </c>
      <c r="E456" s="26">
        <v>4.0</v>
      </c>
      <c r="F456" s="26">
        <v>4.0</v>
      </c>
      <c r="G456" s="26">
        <v>1.0</v>
      </c>
      <c r="H456" s="27">
        <v>1.0</v>
      </c>
      <c r="I456" s="27">
        <v>1.0</v>
      </c>
      <c r="J456" s="27">
        <v>1.0</v>
      </c>
      <c r="K456" s="28">
        <v>2.0</v>
      </c>
      <c r="L456" s="44" t="s">
        <v>75</v>
      </c>
      <c r="M456" s="30" t="s">
        <v>22</v>
      </c>
      <c r="N456" s="30"/>
      <c r="O456" s="30"/>
      <c r="P456" s="30"/>
      <c r="Q456" s="30"/>
      <c r="R456" s="63" t="s">
        <v>1466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22">
        <v>7203.0</v>
      </c>
      <c r="B457" s="23" t="s">
        <v>1467</v>
      </c>
      <c r="C457" s="24" t="s">
        <v>1468</v>
      </c>
      <c r="D457" s="27"/>
      <c r="E457" s="48"/>
      <c r="F457" s="48"/>
      <c r="G457" s="48"/>
      <c r="H457" s="47"/>
      <c r="I457" s="47"/>
      <c r="J457" s="47"/>
      <c r="K457" s="28">
        <v>7.0</v>
      </c>
      <c r="L457" s="44" t="s">
        <v>41</v>
      </c>
      <c r="M457" s="30" t="s">
        <v>22</v>
      </c>
      <c r="N457" s="30"/>
      <c r="O457" s="30"/>
      <c r="P457" s="30"/>
      <c r="Q457" s="30"/>
      <c r="R457" s="12" t="s">
        <v>1469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34">
        <v>7636.0</v>
      </c>
      <c r="B458" s="23" t="s">
        <v>1470</v>
      </c>
      <c r="C458" s="37"/>
      <c r="D458" s="54" t="s">
        <v>1471</v>
      </c>
      <c r="E458" s="26">
        <v>1.0</v>
      </c>
      <c r="F458" s="26">
        <v>1.0</v>
      </c>
      <c r="G458" s="26">
        <v>1.0</v>
      </c>
      <c r="H458" s="51"/>
      <c r="I458" s="51"/>
      <c r="J458" s="51"/>
      <c r="K458" s="38">
        <v>0.0</v>
      </c>
      <c r="L458" s="56" t="s">
        <v>94</v>
      </c>
      <c r="M458" s="40" t="s">
        <v>22</v>
      </c>
      <c r="N458" s="40"/>
      <c r="O458" s="40"/>
      <c r="P458" s="40"/>
      <c r="Q458" s="40"/>
      <c r="R458" s="63" t="s">
        <v>1472</v>
      </c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5673.0</v>
      </c>
      <c r="B459" s="23" t="s">
        <v>1473</v>
      </c>
      <c r="C459" s="27"/>
      <c r="D459" s="27"/>
      <c r="E459" s="48"/>
      <c r="F459" s="48"/>
      <c r="G459" s="48"/>
      <c r="H459" s="47"/>
      <c r="I459" s="47"/>
      <c r="J459" s="47"/>
      <c r="K459" s="28">
        <v>0.0</v>
      </c>
      <c r="L459" s="29"/>
      <c r="M459" s="30" t="s">
        <v>22</v>
      </c>
      <c r="N459" s="30"/>
      <c r="O459" s="30"/>
      <c r="P459" s="30"/>
      <c r="Q459" s="30"/>
      <c r="R459" s="12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22">
        <v>1715.0</v>
      </c>
      <c r="B460" s="23" t="s">
        <v>1474</v>
      </c>
      <c r="C460" s="24" t="s">
        <v>1475</v>
      </c>
      <c r="D460" s="27"/>
      <c r="E460" s="48"/>
      <c r="F460" s="48"/>
      <c r="G460" s="48"/>
      <c r="H460" s="47"/>
      <c r="I460" s="47"/>
      <c r="J460" s="47"/>
      <c r="K460" s="28">
        <v>29.0</v>
      </c>
      <c r="L460" s="44" t="s">
        <v>428</v>
      </c>
      <c r="M460" s="30" t="s">
        <v>22</v>
      </c>
      <c r="N460" s="30"/>
      <c r="O460" s="30"/>
      <c r="P460" s="30"/>
      <c r="Q460" s="30"/>
      <c r="R460" s="12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34">
        <v>6790.0</v>
      </c>
      <c r="B461" s="49" t="s">
        <v>1476</v>
      </c>
      <c r="C461" s="35" t="s">
        <v>1477</v>
      </c>
      <c r="D461" s="113" t="s">
        <v>1478</v>
      </c>
      <c r="E461" s="108">
        <v>21.0</v>
      </c>
      <c r="F461" s="26">
        <v>111.0</v>
      </c>
      <c r="G461" s="26">
        <v>6.0</v>
      </c>
      <c r="H461" s="37">
        <v>13.0</v>
      </c>
      <c r="I461" s="37">
        <v>30.0</v>
      </c>
      <c r="J461" s="37">
        <v>4.0</v>
      </c>
      <c r="K461" s="38">
        <v>20.0</v>
      </c>
      <c r="L461" s="40"/>
      <c r="M461" s="40" t="s">
        <v>79</v>
      </c>
      <c r="N461" s="40"/>
      <c r="O461" s="40"/>
      <c r="P461" s="40"/>
      <c r="Q461" s="40"/>
      <c r="R461" s="77" t="s">
        <v>1479</v>
      </c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22">
        <v>975.0</v>
      </c>
      <c r="B462" s="23" t="s">
        <v>1480</v>
      </c>
      <c r="C462" s="24" t="s">
        <v>1481</v>
      </c>
      <c r="D462" s="107" t="s">
        <v>1482</v>
      </c>
      <c r="E462" s="108">
        <v>61.0</v>
      </c>
      <c r="F462" s="26">
        <v>71.0</v>
      </c>
      <c r="G462" s="26">
        <v>4.0</v>
      </c>
      <c r="H462" s="27">
        <v>21.0</v>
      </c>
      <c r="I462" s="27">
        <v>10.0</v>
      </c>
      <c r="J462" s="27">
        <v>2.0</v>
      </c>
      <c r="K462" s="28">
        <v>82.0</v>
      </c>
      <c r="L462" s="44" t="s">
        <v>60</v>
      </c>
      <c r="M462" s="30" t="s">
        <v>22</v>
      </c>
      <c r="N462" s="30"/>
      <c r="O462" s="30"/>
      <c r="P462" s="30"/>
      <c r="Q462" s="30"/>
      <c r="R462" s="63" t="s">
        <v>1483</v>
      </c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5121.0</v>
      </c>
      <c r="B463" s="23" t="s">
        <v>1484</v>
      </c>
      <c r="C463" s="24" t="s">
        <v>1485</v>
      </c>
      <c r="D463" s="112" t="s">
        <v>1486</v>
      </c>
      <c r="E463" s="108">
        <v>15.0</v>
      </c>
      <c r="F463" s="26">
        <v>16.0</v>
      </c>
      <c r="G463" s="26">
        <v>2.0</v>
      </c>
      <c r="H463" s="27">
        <v>3.0</v>
      </c>
      <c r="I463" s="27">
        <v>0.0</v>
      </c>
      <c r="J463" s="27">
        <v>0.0</v>
      </c>
      <c r="K463" s="28">
        <v>20.0</v>
      </c>
      <c r="L463" s="44" t="s">
        <v>60</v>
      </c>
      <c r="M463" s="30" t="s">
        <v>22</v>
      </c>
      <c r="N463" s="30"/>
      <c r="O463" s="30"/>
      <c r="P463" s="30"/>
      <c r="Q463" s="30"/>
      <c r="R463" s="63" t="s">
        <v>1487</v>
      </c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2">
        <v>480.0</v>
      </c>
      <c r="B464" s="23" t="s">
        <v>1488</v>
      </c>
      <c r="C464" s="24" t="s">
        <v>1489</v>
      </c>
      <c r="D464" s="27"/>
      <c r="E464" s="48"/>
      <c r="F464" s="48"/>
      <c r="G464" s="48"/>
      <c r="H464" s="47"/>
      <c r="I464" s="47"/>
      <c r="J464" s="47"/>
      <c r="K464" s="28">
        <v>10.0</v>
      </c>
      <c r="L464" s="45" t="s">
        <v>46</v>
      </c>
      <c r="M464" s="30" t="s">
        <v>22</v>
      </c>
      <c r="N464" s="30"/>
      <c r="O464" s="30"/>
      <c r="P464" s="30"/>
      <c r="Q464" s="30"/>
      <c r="R464" s="12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2">
        <v>7594.0</v>
      </c>
      <c r="B465" s="23" t="s">
        <v>1490</v>
      </c>
      <c r="C465" s="24" t="s">
        <v>1491</v>
      </c>
      <c r="D465" s="112" t="s">
        <v>1492</v>
      </c>
      <c r="E465" s="108">
        <v>12.0</v>
      </c>
      <c r="F465" s="26">
        <v>18.0</v>
      </c>
      <c r="G465" s="26">
        <v>2.0</v>
      </c>
      <c r="H465" s="27">
        <v>3.0</v>
      </c>
      <c r="I465" s="27">
        <v>0.0</v>
      </c>
      <c r="J465" s="27">
        <v>0.0</v>
      </c>
      <c r="K465" s="28">
        <v>17.0</v>
      </c>
      <c r="L465" s="39" t="s">
        <v>1493</v>
      </c>
      <c r="M465" s="30" t="s">
        <v>22</v>
      </c>
      <c r="N465" s="30"/>
      <c r="O465" s="30"/>
      <c r="P465" s="30"/>
      <c r="Q465" s="30"/>
      <c r="R465" s="63" t="s">
        <v>1494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22">
        <v>1071.0</v>
      </c>
      <c r="B466" s="23" t="s">
        <v>1495</v>
      </c>
      <c r="C466" s="111" t="s">
        <v>1496</v>
      </c>
      <c r="D466" s="107" t="s">
        <v>1497</v>
      </c>
      <c r="E466" s="108">
        <v>165.0</v>
      </c>
      <c r="F466" s="26">
        <v>373.0</v>
      </c>
      <c r="G466" s="26">
        <v>12.0</v>
      </c>
      <c r="H466" s="27">
        <v>152.0</v>
      </c>
      <c r="I466" s="27">
        <v>285.0</v>
      </c>
      <c r="J466" s="27">
        <v>10.0</v>
      </c>
      <c r="K466" s="28">
        <v>11.0</v>
      </c>
      <c r="L466" s="56" t="s">
        <v>94</v>
      </c>
      <c r="M466" s="30" t="s">
        <v>22</v>
      </c>
      <c r="N466" s="30"/>
      <c r="O466" s="30"/>
      <c r="P466" s="30"/>
      <c r="Q466" s="30"/>
      <c r="R466" s="63" t="s">
        <v>1498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34">
        <v>7901.0</v>
      </c>
      <c r="B467" s="23" t="s">
        <v>1499</v>
      </c>
      <c r="C467" s="37"/>
      <c r="D467" s="54" t="s">
        <v>1500</v>
      </c>
      <c r="E467" s="26">
        <v>3.0</v>
      </c>
      <c r="F467" s="26">
        <v>1.0</v>
      </c>
      <c r="G467" s="26">
        <v>1.0</v>
      </c>
      <c r="H467" s="51"/>
      <c r="I467" s="51"/>
      <c r="J467" s="51"/>
      <c r="K467" s="38">
        <v>3.0</v>
      </c>
      <c r="L467" s="39"/>
      <c r="M467" s="40" t="s">
        <v>22</v>
      </c>
      <c r="N467" s="40"/>
      <c r="O467" s="40"/>
      <c r="P467" s="40"/>
      <c r="Q467" s="40"/>
      <c r="R467" s="63" t="s">
        <v>1501</v>
      </c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5527.0</v>
      </c>
      <c r="B468" s="23" t="s">
        <v>1502</v>
      </c>
      <c r="C468" s="24" t="s">
        <v>1503</v>
      </c>
      <c r="D468" s="107" t="s">
        <v>1504</v>
      </c>
      <c r="E468" s="108">
        <v>37.0</v>
      </c>
      <c r="F468" s="26">
        <v>174.0</v>
      </c>
      <c r="G468" s="26">
        <v>7.0</v>
      </c>
      <c r="H468" s="27">
        <v>10.0</v>
      </c>
      <c r="I468" s="27">
        <v>20.0</v>
      </c>
      <c r="J468" s="27">
        <v>2.0</v>
      </c>
      <c r="K468" s="28">
        <v>18.0</v>
      </c>
      <c r="L468" s="44" t="s">
        <v>137</v>
      </c>
      <c r="M468" s="30" t="s">
        <v>22</v>
      </c>
      <c r="N468" s="30"/>
      <c r="O468" s="30"/>
      <c r="P468" s="30"/>
      <c r="Q468" s="30"/>
      <c r="R468" s="63" t="s">
        <v>1505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>
        <v>295.0</v>
      </c>
      <c r="B469" s="23" t="s">
        <v>1506</v>
      </c>
      <c r="C469" s="24" t="s">
        <v>1507</v>
      </c>
      <c r="D469" s="107" t="s">
        <v>1508</v>
      </c>
      <c r="E469" s="108">
        <v>50.0</v>
      </c>
      <c r="F469" s="26">
        <v>35.0</v>
      </c>
      <c r="G469" s="26">
        <v>3.0</v>
      </c>
      <c r="H469" s="27">
        <v>13.0</v>
      </c>
      <c r="I469" s="27">
        <v>0.0</v>
      </c>
      <c r="J469" s="27">
        <v>0.0</v>
      </c>
      <c r="K469" s="28">
        <v>78.0</v>
      </c>
      <c r="L469" s="29" t="s">
        <v>594</v>
      </c>
      <c r="M469" s="30" t="s">
        <v>22</v>
      </c>
      <c r="N469" s="30"/>
      <c r="O469" s="30"/>
      <c r="P469" s="30"/>
      <c r="Q469" s="30"/>
      <c r="R469" s="63" t="s">
        <v>1509</v>
      </c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2"/>
      <c r="B470" s="23" t="s">
        <v>1510</v>
      </c>
      <c r="C470" s="81"/>
      <c r="D470" s="115"/>
      <c r="E470" s="116"/>
      <c r="F470" s="48"/>
      <c r="G470" s="48"/>
      <c r="H470" s="27"/>
      <c r="I470" s="27"/>
      <c r="J470" s="27"/>
      <c r="K470" s="28"/>
      <c r="L470" s="44" t="s">
        <v>60</v>
      </c>
      <c r="M470" s="30" t="s">
        <v>22</v>
      </c>
      <c r="N470" s="30"/>
      <c r="O470" s="30"/>
      <c r="P470" s="30"/>
      <c r="Q470" s="30"/>
      <c r="R470" s="12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1742.0</v>
      </c>
      <c r="B471" s="23" t="s">
        <v>1511</v>
      </c>
      <c r="C471" s="27"/>
      <c r="D471" s="27"/>
      <c r="E471" s="48"/>
      <c r="F471" s="48"/>
      <c r="G471" s="48"/>
      <c r="H471" s="47"/>
      <c r="I471" s="47"/>
      <c r="J471" s="47"/>
      <c r="K471" s="28">
        <v>2.0</v>
      </c>
      <c r="L471" s="29"/>
      <c r="M471" s="30" t="s">
        <v>22</v>
      </c>
      <c r="N471" s="30"/>
      <c r="O471" s="30"/>
      <c r="P471" s="30"/>
      <c r="Q471" s="30"/>
      <c r="R471" s="12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7679.0</v>
      </c>
      <c r="B472" s="23" t="s">
        <v>1512</v>
      </c>
      <c r="C472" s="24" t="s">
        <v>1513</v>
      </c>
      <c r="D472" s="27"/>
      <c r="E472" s="48"/>
      <c r="F472" s="48"/>
      <c r="G472" s="48"/>
      <c r="H472" s="47"/>
      <c r="I472" s="47"/>
      <c r="J472" s="47"/>
      <c r="K472" s="28">
        <v>0.0</v>
      </c>
      <c r="L472" s="39" t="s">
        <v>91</v>
      </c>
      <c r="M472" s="30" t="s">
        <v>22</v>
      </c>
      <c r="N472" s="30"/>
      <c r="O472" s="30"/>
      <c r="P472" s="30"/>
      <c r="Q472" s="30"/>
      <c r="R472" s="12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>
        <v>5061.0</v>
      </c>
      <c r="B473" s="23" t="s">
        <v>1514</v>
      </c>
      <c r="C473" s="24" t="s">
        <v>1515</v>
      </c>
      <c r="D473" s="27"/>
      <c r="E473" s="48"/>
      <c r="F473" s="48"/>
      <c r="G473" s="117"/>
      <c r="H473" s="47"/>
      <c r="I473" s="47"/>
      <c r="J473" s="47"/>
      <c r="K473" s="28">
        <v>1.0</v>
      </c>
      <c r="L473" s="44" t="s">
        <v>41</v>
      </c>
      <c r="M473" s="30" t="s">
        <v>22</v>
      </c>
      <c r="N473" s="30"/>
      <c r="O473" s="30"/>
      <c r="P473" s="30"/>
      <c r="Q473" s="30"/>
      <c r="R473" s="12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333.0</v>
      </c>
      <c r="B474" s="23" t="s">
        <v>1516</v>
      </c>
      <c r="C474" s="24" t="s">
        <v>1517</v>
      </c>
      <c r="D474" s="112" t="s">
        <v>1518</v>
      </c>
      <c r="E474" s="108">
        <v>12.0</v>
      </c>
      <c r="F474" s="26">
        <v>46.0</v>
      </c>
      <c r="G474" s="26">
        <v>5.0</v>
      </c>
      <c r="H474" s="27">
        <v>7.0</v>
      </c>
      <c r="I474" s="27">
        <v>8.0</v>
      </c>
      <c r="J474" s="27">
        <v>2.0</v>
      </c>
      <c r="K474" s="28">
        <v>15.0</v>
      </c>
      <c r="L474" s="44" t="s">
        <v>60</v>
      </c>
      <c r="M474" s="30" t="s">
        <v>22</v>
      </c>
      <c r="N474" s="30"/>
      <c r="O474" s="30"/>
      <c r="P474" s="30"/>
      <c r="Q474" s="30"/>
      <c r="R474" s="63" t="s">
        <v>1519</v>
      </c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7662.0</v>
      </c>
      <c r="B475" s="23" t="s">
        <v>1520</v>
      </c>
      <c r="C475" s="24" t="s">
        <v>1521</v>
      </c>
      <c r="D475" s="27"/>
      <c r="E475" s="48"/>
      <c r="F475" s="48"/>
      <c r="G475" s="48"/>
      <c r="H475" s="47"/>
      <c r="I475" s="47"/>
      <c r="J475" s="47"/>
      <c r="K475" s="28">
        <v>0.0</v>
      </c>
      <c r="L475" s="56"/>
      <c r="M475" s="30" t="s">
        <v>22</v>
      </c>
      <c r="N475" s="30"/>
      <c r="O475" s="30"/>
      <c r="P475" s="30"/>
      <c r="Q475" s="30"/>
      <c r="R475" s="12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22">
        <v>6515.0</v>
      </c>
      <c r="B476" s="23" t="s">
        <v>1522</v>
      </c>
      <c r="C476" s="24" t="s">
        <v>1523</v>
      </c>
      <c r="D476" s="27"/>
      <c r="E476" s="48"/>
      <c r="F476" s="48"/>
      <c r="G476" s="48"/>
      <c r="H476" s="47"/>
      <c r="I476" s="47"/>
      <c r="J476" s="47"/>
      <c r="K476" s="28">
        <v>0.0</v>
      </c>
      <c r="L476" s="39" t="s">
        <v>78</v>
      </c>
      <c r="M476" s="30" t="s">
        <v>22</v>
      </c>
      <c r="N476" s="30"/>
      <c r="O476" s="30"/>
      <c r="P476" s="30"/>
      <c r="Q476" s="30"/>
      <c r="R476" s="12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34">
        <v>7541.0</v>
      </c>
      <c r="B477" s="23" t="s">
        <v>1524</v>
      </c>
      <c r="C477" s="35" t="s">
        <v>1525</v>
      </c>
      <c r="D477" s="54" t="s">
        <v>1526</v>
      </c>
      <c r="E477" s="26">
        <v>1.0</v>
      </c>
      <c r="F477" s="26">
        <v>50.0</v>
      </c>
      <c r="G477" s="26">
        <v>1.0</v>
      </c>
      <c r="H477" s="51">
        <v>0.0</v>
      </c>
      <c r="I477" s="51">
        <v>0.0</v>
      </c>
      <c r="J477" s="51">
        <v>0.0</v>
      </c>
      <c r="K477" s="38">
        <v>2.0</v>
      </c>
      <c r="L477" s="29" t="s">
        <v>71</v>
      </c>
      <c r="M477" s="40" t="s">
        <v>22</v>
      </c>
      <c r="N477" s="40"/>
      <c r="O477" s="40"/>
      <c r="P477" s="40"/>
      <c r="Q477" s="40"/>
      <c r="R477" s="63" t="s">
        <v>1527</v>
      </c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7063.0</v>
      </c>
      <c r="B478" s="23" t="s">
        <v>1528</v>
      </c>
      <c r="C478" s="27"/>
      <c r="D478" s="27"/>
      <c r="E478" s="48"/>
      <c r="F478" s="48"/>
      <c r="G478" s="48"/>
      <c r="H478" s="47"/>
      <c r="I478" s="47"/>
      <c r="J478" s="47"/>
      <c r="K478" s="28">
        <v>0.0</v>
      </c>
      <c r="L478" s="39" t="s">
        <v>78</v>
      </c>
      <c r="M478" s="30" t="s">
        <v>22</v>
      </c>
      <c r="N478" s="30"/>
      <c r="O478" s="30"/>
      <c r="P478" s="30"/>
      <c r="Q478" s="30"/>
      <c r="R478" s="12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3181.0</v>
      </c>
      <c r="B479" s="23" t="s">
        <v>1529</v>
      </c>
      <c r="C479" s="24" t="s">
        <v>1530</v>
      </c>
      <c r="D479" s="42" t="s">
        <v>1531</v>
      </c>
      <c r="E479" s="26">
        <v>8.0</v>
      </c>
      <c r="F479" s="26">
        <v>1.0</v>
      </c>
      <c r="G479" s="26">
        <v>1.0</v>
      </c>
      <c r="H479" s="27">
        <v>1.0</v>
      </c>
      <c r="I479" s="27">
        <v>0.0</v>
      </c>
      <c r="J479" s="27">
        <v>0.0</v>
      </c>
      <c r="K479" s="28">
        <v>69.0</v>
      </c>
      <c r="L479" s="29" t="s">
        <v>21</v>
      </c>
      <c r="M479" s="30" t="s">
        <v>22</v>
      </c>
      <c r="N479" s="30"/>
      <c r="O479" s="30"/>
      <c r="P479" s="30"/>
      <c r="Q479" s="30"/>
      <c r="R479" s="63" t="s">
        <v>1532</v>
      </c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2">
        <v>6766.0</v>
      </c>
      <c r="B480" s="23" t="s">
        <v>1533</v>
      </c>
      <c r="C480" s="24" t="s">
        <v>1534</v>
      </c>
      <c r="D480" s="107" t="s">
        <v>1535</v>
      </c>
      <c r="E480" s="108">
        <v>22.0</v>
      </c>
      <c r="F480" s="26">
        <v>94.0</v>
      </c>
      <c r="G480" s="26">
        <v>6.0</v>
      </c>
      <c r="H480" s="27">
        <v>7.0</v>
      </c>
      <c r="I480" s="27">
        <v>4.0</v>
      </c>
      <c r="J480" s="27">
        <v>2.0</v>
      </c>
      <c r="K480" s="28">
        <v>119.0</v>
      </c>
      <c r="L480" s="29" t="s">
        <v>21</v>
      </c>
      <c r="M480" s="30" t="s">
        <v>22</v>
      </c>
      <c r="N480" s="30"/>
      <c r="O480" s="30"/>
      <c r="P480" s="30"/>
      <c r="Q480" s="30"/>
      <c r="R480" s="63" t="s">
        <v>1536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5674.0</v>
      </c>
      <c r="B481" s="23" t="s">
        <v>1537</v>
      </c>
      <c r="C481" s="24" t="s">
        <v>1538</v>
      </c>
      <c r="D481" s="107" t="s">
        <v>1539</v>
      </c>
      <c r="E481" s="108">
        <v>57.0</v>
      </c>
      <c r="F481" s="26">
        <v>309.0</v>
      </c>
      <c r="G481" s="26">
        <v>13.0</v>
      </c>
      <c r="H481" s="27">
        <v>14.0</v>
      </c>
      <c r="I481" s="27">
        <v>14.0</v>
      </c>
      <c r="J481" s="27">
        <v>2.0</v>
      </c>
      <c r="K481" s="28">
        <v>157.0</v>
      </c>
      <c r="L481" s="44" t="s">
        <v>381</v>
      </c>
      <c r="M481" s="30" t="s">
        <v>22</v>
      </c>
      <c r="N481" s="30"/>
      <c r="O481" s="30"/>
      <c r="P481" s="30"/>
      <c r="Q481" s="30"/>
      <c r="R481" s="63" t="s">
        <v>1540</v>
      </c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322.0</v>
      </c>
      <c r="B482" s="23" t="s">
        <v>1541</v>
      </c>
      <c r="C482" s="27"/>
      <c r="D482" s="107" t="s">
        <v>1542</v>
      </c>
      <c r="E482" s="108">
        <v>13.0</v>
      </c>
      <c r="F482" s="26">
        <v>24.0</v>
      </c>
      <c r="G482" s="26">
        <v>3.0</v>
      </c>
      <c r="H482" s="27">
        <v>3.0</v>
      </c>
      <c r="I482" s="27">
        <v>1.0</v>
      </c>
      <c r="J482" s="27">
        <v>1.0</v>
      </c>
      <c r="K482" s="28">
        <v>4.0</v>
      </c>
      <c r="L482" s="44" t="s">
        <v>137</v>
      </c>
      <c r="M482" s="30" t="s">
        <v>22</v>
      </c>
      <c r="N482" s="30"/>
      <c r="O482" s="30"/>
      <c r="P482" s="30"/>
      <c r="Q482" s="30"/>
      <c r="R482" s="63" t="s">
        <v>1543</v>
      </c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22">
        <v>2372.0</v>
      </c>
      <c r="B483" s="23" t="s">
        <v>1544</v>
      </c>
      <c r="C483" s="24" t="s">
        <v>1545</v>
      </c>
      <c r="D483" s="27"/>
      <c r="E483" s="48"/>
      <c r="F483" s="48"/>
      <c r="G483" s="48"/>
      <c r="H483" s="47"/>
      <c r="I483" s="47"/>
      <c r="J483" s="47"/>
      <c r="K483" s="28">
        <v>5.0</v>
      </c>
      <c r="L483" s="29" t="s">
        <v>329</v>
      </c>
      <c r="M483" s="30" t="s">
        <v>22</v>
      </c>
      <c r="N483" s="30"/>
      <c r="O483" s="30"/>
      <c r="P483" s="30"/>
      <c r="Q483" s="30"/>
      <c r="R483" s="12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7966.0</v>
      </c>
      <c r="B484" s="23" t="s">
        <v>1546</v>
      </c>
      <c r="C484" s="27"/>
      <c r="D484" s="27"/>
      <c r="E484" s="48"/>
      <c r="F484" s="48"/>
      <c r="G484" s="48"/>
      <c r="H484" s="47"/>
      <c r="I484" s="47"/>
      <c r="J484" s="47"/>
      <c r="K484" s="28">
        <v>2.0</v>
      </c>
      <c r="L484" s="30"/>
      <c r="M484" s="30"/>
      <c r="N484" s="30"/>
      <c r="O484" s="30"/>
      <c r="P484" s="30"/>
      <c r="Q484" s="30"/>
      <c r="R484" s="12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4830.0</v>
      </c>
      <c r="B485" s="23" t="s">
        <v>1547</v>
      </c>
      <c r="C485" s="24" t="s">
        <v>1548</v>
      </c>
      <c r="D485" s="118" t="s">
        <v>1549</v>
      </c>
      <c r="E485" s="26">
        <v>6.0</v>
      </c>
      <c r="F485" s="26">
        <v>2.0</v>
      </c>
      <c r="G485" s="26">
        <v>1.0</v>
      </c>
      <c r="H485" s="27">
        <v>5.0</v>
      </c>
      <c r="I485" s="27">
        <v>1.0</v>
      </c>
      <c r="J485" s="27">
        <v>1.0</v>
      </c>
      <c r="K485" s="28">
        <v>0.0</v>
      </c>
      <c r="L485" s="44" t="s">
        <v>75</v>
      </c>
      <c r="M485" s="30" t="s">
        <v>22</v>
      </c>
      <c r="N485" s="30"/>
      <c r="O485" s="30"/>
      <c r="P485" s="30"/>
      <c r="Q485" s="30"/>
      <c r="R485" s="12" t="s">
        <v>1550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3629.0</v>
      </c>
      <c r="B486" s="23" t="s">
        <v>1551</v>
      </c>
      <c r="C486" s="24" t="s">
        <v>1552</v>
      </c>
      <c r="D486" s="118" t="s">
        <v>1553</v>
      </c>
      <c r="E486" s="108">
        <v>77.0</v>
      </c>
      <c r="F486" s="26">
        <v>114.0</v>
      </c>
      <c r="G486" s="26">
        <v>7.0</v>
      </c>
      <c r="H486" s="27">
        <v>23.0</v>
      </c>
      <c r="I486" s="27">
        <v>30.0</v>
      </c>
      <c r="J486" s="27">
        <v>4.0</v>
      </c>
      <c r="K486" s="28">
        <v>112.0</v>
      </c>
      <c r="L486" s="44" t="s">
        <v>102</v>
      </c>
      <c r="M486" s="30" t="s">
        <v>22</v>
      </c>
      <c r="N486" s="30"/>
      <c r="O486" s="30"/>
      <c r="P486" s="30"/>
      <c r="Q486" s="30"/>
      <c r="R486" s="63" t="s">
        <v>1554</v>
      </c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1689.0</v>
      </c>
      <c r="B487" s="23" t="s">
        <v>1555</v>
      </c>
      <c r="C487" s="27"/>
      <c r="D487" s="27"/>
      <c r="E487" s="48"/>
      <c r="F487" s="48"/>
      <c r="G487" s="48"/>
      <c r="H487" s="47"/>
      <c r="I487" s="47"/>
      <c r="J487" s="47"/>
      <c r="K487" s="28">
        <v>0.0</v>
      </c>
      <c r="L487" s="29" t="s">
        <v>329</v>
      </c>
      <c r="M487" s="30" t="s">
        <v>22</v>
      </c>
      <c r="N487" s="30"/>
      <c r="O487" s="30"/>
      <c r="P487" s="30"/>
      <c r="Q487" s="30"/>
      <c r="R487" s="12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1192.0</v>
      </c>
      <c r="B488" s="23" t="s">
        <v>1556</v>
      </c>
      <c r="C488" s="24" t="s">
        <v>1557</v>
      </c>
      <c r="D488" s="118" t="s">
        <v>1558</v>
      </c>
      <c r="E488" s="108">
        <v>19.0</v>
      </c>
      <c r="F488" s="26">
        <v>248.0</v>
      </c>
      <c r="G488" s="26">
        <v>7.0</v>
      </c>
      <c r="H488" s="27">
        <v>14.0</v>
      </c>
      <c r="I488" s="27">
        <v>200.0</v>
      </c>
      <c r="J488" s="27">
        <v>6.0</v>
      </c>
      <c r="K488" s="28">
        <v>22.0</v>
      </c>
      <c r="L488" s="44" t="s">
        <v>75</v>
      </c>
      <c r="M488" s="30" t="s">
        <v>22</v>
      </c>
      <c r="N488" s="30"/>
      <c r="O488" s="30"/>
      <c r="P488" s="30"/>
      <c r="Q488" s="30"/>
      <c r="R488" s="63" t="s">
        <v>1559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408.0</v>
      </c>
      <c r="B489" s="23" t="s">
        <v>1560</v>
      </c>
      <c r="C489" s="24" t="s">
        <v>1561</v>
      </c>
      <c r="D489" s="118" t="s">
        <v>1562</v>
      </c>
      <c r="E489" s="108">
        <v>21.0</v>
      </c>
      <c r="F489" s="26">
        <v>60.0</v>
      </c>
      <c r="G489" s="26">
        <v>5.0</v>
      </c>
      <c r="H489" s="27">
        <v>4.0</v>
      </c>
      <c r="I489" s="27">
        <v>3.0</v>
      </c>
      <c r="J489" s="27">
        <v>1.0</v>
      </c>
      <c r="K489" s="28">
        <v>34.0</v>
      </c>
      <c r="L489" s="44" t="s">
        <v>210</v>
      </c>
      <c r="M489" s="30" t="s">
        <v>22</v>
      </c>
      <c r="N489" s="30"/>
      <c r="O489" s="30"/>
      <c r="P489" s="30"/>
      <c r="Q489" s="30"/>
      <c r="R489" s="63" t="s">
        <v>1563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1776.0</v>
      </c>
      <c r="B490" s="23" t="s">
        <v>1564</v>
      </c>
      <c r="C490" s="24" t="s">
        <v>1565</v>
      </c>
      <c r="D490" s="118" t="s">
        <v>1566</v>
      </c>
      <c r="E490" s="26">
        <v>1.0</v>
      </c>
      <c r="F490" s="26">
        <v>0.0</v>
      </c>
      <c r="G490" s="26">
        <v>0.0</v>
      </c>
      <c r="H490" s="47"/>
      <c r="I490" s="47"/>
      <c r="J490" s="47"/>
      <c r="K490" s="28">
        <v>1.0</v>
      </c>
      <c r="L490" s="44" t="s">
        <v>75</v>
      </c>
      <c r="M490" s="30" t="s">
        <v>22</v>
      </c>
      <c r="N490" s="30"/>
      <c r="O490" s="30"/>
      <c r="P490" s="30"/>
      <c r="Q490" s="30"/>
      <c r="R490" s="63" t="s">
        <v>1567</v>
      </c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572.0</v>
      </c>
      <c r="B491" s="23" t="s">
        <v>1568</v>
      </c>
      <c r="C491" s="24" t="s">
        <v>1569</v>
      </c>
      <c r="D491" s="118" t="s">
        <v>1570</v>
      </c>
      <c r="E491" s="108">
        <v>13.0</v>
      </c>
      <c r="F491" s="26">
        <v>5.0</v>
      </c>
      <c r="G491" s="26">
        <v>1.0</v>
      </c>
      <c r="H491" s="27">
        <v>7.0</v>
      </c>
      <c r="I491" s="27">
        <v>10.0</v>
      </c>
      <c r="J491" s="27">
        <v>2.0</v>
      </c>
      <c r="K491" s="28">
        <v>10.0</v>
      </c>
      <c r="L491" s="44" t="s">
        <v>60</v>
      </c>
      <c r="M491" s="30" t="s">
        <v>22</v>
      </c>
      <c r="N491" s="30"/>
      <c r="O491" s="30"/>
      <c r="P491" s="30"/>
      <c r="Q491" s="30"/>
      <c r="R491" s="63" t="s">
        <v>1571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5407.0</v>
      </c>
      <c r="B492" s="23" t="s">
        <v>1572</v>
      </c>
      <c r="C492" s="24" t="s">
        <v>1573</v>
      </c>
      <c r="D492" s="55" t="s">
        <v>1574</v>
      </c>
      <c r="E492" s="26">
        <v>5.0</v>
      </c>
      <c r="F492" s="26">
        <v>6.0</v>
      </c>
      <c r="G492" s="26">
        <v>1.0</v>
      </c>
      <c r="H492" s="47"/>
      <c r="I492" s="47"/>
      <c r="J492" s="47"/>
      <c r="K492" s="28">
        <v>7.0</v>
      </c>
      <c r="L492" s="29" t="s">
        <v>356</v>
      </c>
      <c r="M492" s="30" t="s">
        <v>22</v>
      </c>
      <c r="N492" s="30"/>
      <c r="O492" s="30"/>
      <c r="P492" s="30"/>
      <c r="Q492" s="30"/>
      <c r="R492" s="63" t="s">
        <v>1575</v>
      </c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7218.0</v>
      </c>
      <c r="B493" s="23" t="s">
        <v>1576</v>
      </c>
      <c r="C493" s="24" t="s">
        <v>1577</v>
      </c>
      <c r="D493" s="27"/>
      <c r="E493" s="48"/>
      <c r="F493" s="48"/>
      <c r="G493" s="48"/>
      <c r="H493" s="47"/>
      <c r="I493" s="47"/>
      <c r="J493" s="47"/>
      <c r="K493" s="28">
        <v>0.0</v>
      </c>
      <c r="L493" s="29"/>
      <c r="M493" s="30" t="s">
        <v>22</v>
      </c>
      <c r="N493" s="30"/>
      <c r="O493" s="30"/>
      <c r="P493" s="30"/>
      <c r="Q493" s="30"/>
      <c r="R493" s="12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6285.0</v>
      </c>
      <c r="B494" s="23" t="s">
        <v>1578</v>
      </c>
      <c r="C494" s="24" t="s">
        <v>1579</v>
      </c>
      <c r="D494" s="27"/>
      <c r="E494" s="48"/>
      <c r="F494" s="48"/>
      <c r="G494" s="48"/>
      <c r="H494" s="47"/>
      <c r="I494" s="47"/>
      <c r="J494" s="47"/>
      <c r="K494" s="28">
        <v>3.0</v>
      </c>
      <c r="L494" s="44" t="s">
        <v>41</v>
      </c>
      <c r="M494" s="30" t="s">
        <v>22</v>
      </c>
      <c r="N494" s="30"/>
      <c r="O494" s="30"/>
      <c r="P494" s="30"/>
      <c r="Q494" s="30"/>
      <c r="R494" s="12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7409.0</v>
      </c>
      <c r="B495" s="23" t="s">
        <v>1580</v>
      </c>
      <c r="C495" s="24" t="s">
        <v>1581</v>
      </c>
      <c r="D495" s="27"/>
      <c r="E495" s="48"/>
      <c r="F495" s="48"/>
      <c r="G495" s="48"/>
      <c r="H495" s="47"/>
      <c r="I495" s="47"/>
      <c r="J495" s="47"/>
      <c r="K495" s="28">
        <v>0.0</v>
      </c>
      <c r="L495" s="44" t="s">
        <v>41</v>
      </c>
      <c r="M495" s="30" t="s">
        <v>22</v>
      </c>
      <c r="N495" s="30"/>
      <c r="O495" s="30"/>
      <c r="P495" s="30"/>
      <c r="Q495" s="30"/>
      <c r="R495" s="12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291.0</v>
      </c>
      <c r="B496" s="23" t="s">
        <v>1582</v>
      </c>
      <c r="C496" s="24" t="s">
        <v>1583</v>
      </c>
      <c r="D496" s="118" t="s">
        <v>1584</v>
      </c>
      <c r="E496" s="26">
        <v>37.0</v>
      </c>
      <c r="F496" s="26">
        <v>892.0</v>
      </c>
      <c r="G496" s="26">
        <v>9.0</v>
      </c>
      <c r="H496" s="27">
        <v>4.0</v>
      </c>
      <c r="I496" s="27">
        <v>29.0</v>
      </c>
      <c r="J496" s="27">
        <v>2.0</v>
      </c>
      <c r="K496" s="28">
        <v>23.0</v>
      </c>
      <c r="L496" s="29"/>
      <c r="M496" s="30" t="s">
        <v>22</v>
      </c>
      <c r="N496" s="30"/>
      <c r="O496" s="30"/>
      <c r="P496" s="30"/>
      <c r="Q496" s="30"/>
      <c r="R496" s="63" t="s">
        <v>1585</v>
      </c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2354.0</v>
      </c>
      <c r="B497" s="23" t="s">
        <v>1586</v>
      </c>
      <c r="C497" s="24" t="s">
        <v>1587</v>
      </c>
      <c r="D497" s="118" t="s">
        <v>1588</v>
      </c>
      <c r="E497" s="108">
        <v>14.0</v>
      </c>
      <c r="F497" s="26">
        <v>6.0</v>
      </c>
      <c r="G497" s="26">
        <v>2.0</v>
      </c>
      <c r="H497" s="27">
        <v>2.0</v>
      </c>
      <c r="I497" s="27">
        <v>0.0</v>
      </c>
      <c r="J497" s="27">
        <v>0.0</v>
      </c>
      <c r="K497" s="28">
        <v>33.0</v>
      </c>
      <c r="L497" s="39"/>
      <c r="M497" s="30" t="s">
        <v>22</v>
      </c>
      <c r="N497" s="30"/>
      <c r="O497" s="30"/>
      <c r="P497" s="30"/>
      <c r="Q497" s="30"/>
      <c r="R497" s="63" t="s">
        <v>1589</v>
      </c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5241.0</v>
      </c>
      <c r="B498" s="23" t="s">
        <v>1590</v>
      </c>
      <c r="C498" s="24" t="s">
        <v>1591</v>
      </c>
      <c r="D498" s="27"/>
      <c r="E498" s="48"/>
      <c r="F498" s="48"/>
      <c r="G498" s="48"/>
      <c r="H498" s="47"/>
      <c r="I498" s="47"/>
      <c r="J498" s="47"/>
      <c r="K498" s="28">
        <v>7.0</v>
      </c>
      <c r="L498" s="44" t="s">
        <v>60</v>
      </c>
      <c r="M498" s="30" t="s">
        <v>22</v>
      </c>
      <c r="N498" s="30"/>
      <c r="O498" s="30"/>
      <c r="P498" s="30"/>
      <c r="Q498" s="30"/>
      <c r="R498" s="12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355.0</v>
      </c>
      <c r="B499" s="23" t="s">
        <v>1592</v>
      </c>
      <c r="C499" s="24" t="s">
        <v>1593</v>
      </c>
      <c r="D499" s="118" t="s">
        <v>1594</v>
      </c>
      <c r="E499" s="108">
        <v>16.0</v>
      </c>
      <c r="F499" s="26">
        <v>4.0</v>
      </c>
      <c r="G499" s="26">
        <v>1.0</v>
      </c>
      <c r="H499" s="27">
        <v>2.0</v>
      </c>
      <c r="I499" s="27">
        <v>0.0</v>
      </c>
      <c r="J499" s="27">
        <v>0.0</v>
      </c>
      <c r="K499" s="28">
        <v>12.0</v>
      </c>
      <c r="L499" s="44" t="s">
        <v>144</v>
      </c>
      <c r="M499" s="30" t="s">
        <v>22</v>
      </c>
      <c r="N499" s="30"/>
      <c r="O499" s="30"/>
      <c r="P499" s="30"/>
      <c r="Q499" s="30"/>
      <c r="R499" s="63" t="s">
        <v>1595</v>
      </c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728.0</v>
      </c>
      <c r="B500" s="23" t="s">
        <v>1596</v>
      </c>
      <c r="C500" s="24" t="s">
        <v>1597</v>
      </c>
      <c r="D500" s="27"/>
      <c r="E500" s="48"/>
      <c r="F500" s="48"/>
      <c r="G500" s="48"/>
      <c r="H500" s="47"/>
      <c r="I500" s="47"/>
      <c r="J500" s="47"/>
      <c r="K500" s="28">
        <v>6.0</v>
      </c>
      <c r="L500" s="44" t="s">
        <v>120</v>
      </c>
      <c r="M500" s="30" t="s">
        <v>22</v>
      </c>
      <c r="N500" s="30"/>
      <c r="O500" s="30"/>
      <c r="P500" s="30"/>
      <c r="Q500" s="30"/>
      <c r="R500" s="12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337.0</v>
      </c>
      <c r="B501" s="23" t="s">
        <v>1598</v>
      </c>
      <c r="C501" s="24" t="s">
        <v>1599</v>
      </c>
      <c r="D501" s="27"/>
      <c r="E501" s="48"/>
      <c r="F501" s="48"/>
      <c r="G501" s="48"/>
      <c r="H501" s="47"/>
      <c r="I501" s="47"/>
      <c r="J501" s="47"/>
      <c r="K501" s="28">
        <v>4.0</v>
      </c>
      <c r="L501" s="44" t="s">
        <v>144</v>
      </c>
      <c r="M501" s="30" t="s">
        <v>22</v>
      </c>
      <c r="N501" s="30"/>
      <c r="O501" s="30"/>
      <c r="P501" s="30"/>
      <c r="Q501" s="30"/>
      <c r="R501" s="12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6490.0</v>
      </c>
      <c r="B502" s="23" t="s">
        <v>1600</v>
      </c>
      <c r="C502" s="24" t="s">
        <v>1601</v>
      </c>
      <c r="D502" s="118" t="s">
        <v>1602</v>
      </c>
      <c r="E502" s="108">
        <v>7.0</v>
      </c>
      <c r="F502" s="26">
        <v>2.0</v>
      </c>
      <c r="G502" s="26">
        <v>1.0</v>
      </c>
      <c r="H502" s="27">
        <v>6.0</v>
      </c>
      <c r="I502" s="27">
        <v>1.0</v>
      </c>
      <c r="J502" s="27">
        <v>1.0</v>
      </c>
      <c r="K502" s="28">
        <v>4.0</v>
      </c>
      <c r="L502" s="44" t="s">
        <v>859</v>
      </c>
      <c r="M502" s="30" t="s">
        <v>22</v>
      </c>
      <c r="N502" s="30"/>
      <c r="O502" s="30"/>
      <c r="P502" s="30"/>
      <c r="Q502" s="30"/>
      <c r="R502" s="63" t="s">
        <v>1603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7448.0</v>
      </c>
      <c r="B503" s="23" t="s">
        <v>1604</v>
      </c>
      <c r="C503" s="24" t="s">
        <v>1605</v>
      </c>
      <c r="D503" s="118" t="s">
        <v>1606</v>
      </c>
      <c r="E503" s="26">
        <v>2.0</v>
      </c>
      <c r="F503" s="26">
        <v>0.0</v>
      </c>
      <c r="G503" s="26">
        <v>0.0</v>
      </c>
      <c r="H503" s="47"/>
      <c r="I503" s="47"/>
      <c r="J503" s="47"/>
      <c r="K503" s="28">
        <v>1.0</v>
      </c>
      <c r="L503" s="44" t="s">
        <v>41</v>
      </c>
      <c r="M503" s="30" t="s">
        <v>22</v>
      </c>
      <c r="N503" s="30"/>
      <c r="O503" s="30"/>
      <c r="P503" s="30"/>
      <c r="Q503" s="30"/>
      <c r="R503" s="63" t="s">
        <v>1607</v>
      </c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1240.0</v>
      </c>
      <c r="B504" s="23" t="s">
        <v>1608</v>
      </c>
      <c r="C504" s="24" t="s">
        <v>1609</v>
      </c>
      <c r="D504" s="118" t="s">
        <v>1610</v>
      </c>
      <c r="E504" s="26">
        <v>2.0</v>
      </c>
      <c r="F504" s="26">
        <v>0.0</v>
      </c>
      <c r="G504" s="26">
        <v>0.0</v>
      </c>
      <c r="H504" s="47"/>
      <c r="I504" s="47"/>
      <c r="J504" s="47"/>
      <c r="K504" s="28">
        <v>8.0</v>
      </c>
      <c r="L504" s="44" t="s">
        <v>859</v>
      </c>
      <c r="M504" s="30" t="s">
        <v>22</v>
      </c>
      <c r="N504" s="30"/>
      <c r="O504" s="30"/>
      <c r="P504" s="30"/>
      <c r="Q504" s="30"/>
      <c r="R504" s="63" t="s">
        <v>1611</v>
      </c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22">
        <v>749.0</v>
      </c>
      <c r="B505" s="23" t="s">
        <v>1612</v>
      </c>
      <c r="C505" s="27"/>
      <c r="D505" s="27"/>
      <c r="E505" s="48"/>
      <c r="F505" s="48"/>
      <c r="G505" s="48"/>
      <c r="H505" s="47"/>
      <c r="I505" s="47"/>
      <c r="J505" s="47"/>
      <c r="K505" s="28">
        <v>7.0</v>
      </c>
      <c r="L505" s="44" t="s">
        <v>272</v>
      </c>
      <c r="M505" s="30" t="s">
        <v>22</v>
      </c>
      <c r="N505" s="30"/>
      <c r="O505" s="30"/>
      <c r="P505" s="30"/>
      <c r="Q505" s="30"/>
      <c r="R505" s="12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34">
        <v>590.0</v>
      </c>
      <c r="B506" s="23" t="s">
        <v>1613</v>
      </c>
      <c r="C506" s="35" t="s">
        <v>1614</v>
      </c>
      <c r="D506" s="119" t="s">
        <v>1615</v>
      </c>
      <c r="E506" s="26">
        <v>1.0</v>
      </c>
      <c r="F506" s="26">
        <v>0.0</v>
      </c>
      <c r="G506" s="26">
        <v>0.0</v>
      </c>
      <c r="H506" s="51"/>
      <c r="I506" s="51"/>
      <c r="J506" s="51"/>
      <c r="K506" s="38">
        <v>17.0</v>
      </c>
      <c r="L506" s="44" t="s">
        <v>41</v>
      </c>
      <c r="M506" s="40" t="s">
        <v>22</v>
      </c>
      <c r="N506" s="40"/>
      <c r="O506" s="40"/>
      <c r="P506" s="40"/>
      <c r="Q506" s="40"/>
      <c r="R506" s="63" t="s">
        <v>1616</v>
      </c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2253.0</v>
      </c>
      <c r="B507" s="23" t="s">
        <v>1617</v>
      </c>
      <c r="C507" s="27"/>
      <c r="D507" s="27"/>
      <c r="E507" s="48"/>
      <c r="F507" s="48"/>
      <c r="G507" s="48"/>
      <c r="H507" s="47"/>
      <c r="I507" s="47"/>
      <c r="J507" s="47"/>
      <c r="K507" s="28">
        <v>2.0</v>
      </c>
      <c r="L507" s="44" t="s">
        <v>272</v>
      </c>
      <c r="M507" s="30" t="s">
        <v>22</v>
      </c>
      <c r="N507" s="30"/>
      <c r="O507" s="30"/>
      <c r="P507" s="30"/>
      <c r="Q507" s="30"/>
      <c r="R507" s="12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110.0</v>
      </c>
      <c r="B508" s="23" t="s">
        <v>1618</v>
      </c>
      <c r="C508" s="24" t="s">
        <v>1619</v>
      </c>
      <c r="D508" s="27"/>
      <c r="E508" s="48"/>
      <c r="F508" s="48"/>
      <c r="G508" s="48"/>
      <c r="H508" s="47"/>
      <c r="I508" s="47"/>
      <c r="J508" s="47"/>
      <c r="K508" s="28">
        <v>0.0</v>
      </c>
      <c r="L508" s="39"/>
      <c r="M508" s="30" t="s">
        <v>22</v>
      </c>
      <c r="N508" s="30"/>
      <c r="O508" s="30"/>
      <c r="P508" s="30"/>
      <c r="Q508" s="30"/>
      <c r="R508" s="12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2">
        <v>1032.0</v>
      </c>
      <c r="B509" s="23" t="s">
        <v>1620</v>
      </c>
      <c r="C509" s="27"/>
      <c r="D509" s="27"/>
      <c r="E509" s="48"/>
      <c r="F509" s="48"/>
      <c r="G509" s="48"/>
      <c r="H509" s="47"/>
      <c r="I509" s="47"/>
      <c r="J509" s="47"/>
      <c r="K509" s="28">
        <v>0.0</v>
      </c>
      <c r="L509" s="29"/>
      <c r="M509" s="30" t="s">
        <v>22</v>
      </c>
      <c r="N509" s="30"/>
      <c r="O509" s="30"/>
      <c r="P509" s="30"/>
      <c r="Q509" s="30"/>
      <c r="R509" s="12" t="s">
        <v>1621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169.0</v>
      </c>
      <c r="B510" s="23" t="s">
        <v>1622</v>
      </c>
      <c r="C510" s="24" t="s">
        <v>1623</v>
      </c>
      <c r="D510" s="120" t="s">
        <v>1624</v>
      </c>
      <c r="E510" s="26">
        <v>1.0</v>
      </c>
      <c r="F510" s="26">
        <v>0.0</v>
      </c>
      <c r="G510" s="26">
        <v>0.0</v>
      </c>
      <c r="H510" s="47"/>
      <c r="I510" s="47"/>
      <c r="J510" s="47"/>
      <c r="K510" s="28">
        <v>2.0</v>
      </c>
      <c r="L510" s="39"/>
      <c r="M510" s="30" t="s">
        <v>22</v>
      </c>
      <c r="N510" s="30"/>
      <c r="O510" s="30"/>
      <c r="P510" s="30"/>
      <c r="Q510" s="30"/>
      <c r="R510" s="63" t="s">
        <v>1625</v>
      </c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5769.0</v>
      </c>
      <c r="B511" s="23" t="s">
        <v>1626</v>
      </c>
      <c r="C511" s="24" t="s">
        <v>1627</v>
      </c>
      <c r="D511" s="27"/>
      <c r="E511" s="48"/>
      <c r="F511" s="48"/>
      <c r="G511" s="48"/>
      <c r="H511" s="47"/>
      <c r="I511" s="47"/>
      <c r="J511" s="47"/>
      <c r="K511" s="28">
        <v>7.0</v>
      </c>
      <c r="L511" s="29"/>
      <c r="M511" s="30" t="s">
        <v>22</v>
      </c>
      <c r="N511" s="30"/>
      <c r="O511" s="30"/>
      <c r="P511" s="30"/>
      <c r="Q511" s="30"/>
      <c r="R511" s="12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22">
        <v>1125.0</v>
      </c>
      <c r="B512" s="23" t="s">
        <v>1628</v>
      </c>
      <c r="C512" s="24" t="s">
        <v>1629</v>
      </c>
      <c r="D512" s="118" t="s">
        <v>1630</v>
      </c>
      <c r="E512" s="108">
        <v>6.0</v>
      </c>
      <c r="F512" s="26">
        <v>8.0</v>
      </c>
      <c r="G512" s="26">
        <v>1.0</v>
      </c>
      <c r="H512" s="27">
        <v>4.0</v>
      </c>
      <c r="I512" s="27">
        <v>0.0</v>
      </c>
      <c r="J512" s="27">
        <v>0.0</v>
      </c>
      <c r="K512" s="28">
        <v>20.0</v>
      </c>
      <c r="L512" s="39"/>
      <c r="M512" s="30" t="s">
        <v>22</v>
      </c>
      <c r="N512" s="30"/>
      <c r="O512" s="30"/>
      <c r="P512" s="30"/>
      <c r="Q512" s="30"/>
      <c r="R512" s="63" t="s">
        <v>1631</v>
      </c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34">
        <v>7464.0</v>
      </c>
      <c r="B513" s="49" t="s">
        <v>1632</v>
      </c>
      <c r="C513" s="37"/>
      <c r="D513" s="37"/>
      <c r="E513" s="48"/>
      <c r="F513" s="48"/>
      <c r="G513" s="48"/>
      <c r="H513" s="51"/>
      <c r="I513" s="51"/>
      <c r="J513" s="51"/>
      <c r="K513" s="38">
        <v>0.0</v>
      </c>
      <c r="L513" s="40" t="s">
        <v>78</v>
      </c>
      <c r="M513" s="40" t="s">
        <v>79</v>
      </c>
      <c r="N513" s="40"/>
      <c r="O513" s="40"/>
      <c r="P513" s="40"/>
      <c r="Q513" s="40"/>
      <c r="R513" s="52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22">
        <v>6768.0</v>
      </c>
      <c r="B514" s="23" t="s">
        <v>1633</v>
      </c>
      <c r="C514" s="24" t="s">
        <v>1634</v>
      </c>
      <c r="D514" s="27"/>
      <c r="E514" s="48"/>
      <c r="F514" s="48"/>
      <c r="G514" s="48"/>
      <c r="H514" s="47"/>
      <c r="I514" s="47"/>
      <c r="J514" s="47"/>
      <c r="K514" s="28">
        <v>7.0</v>
      </c>
      <c r="L514" s="39" t="s">
        <v>385</v>
      </c>
      <c r="M514" s="30" t="s">
        <v>22</v>
      </c>
      <c r="N514" s="30"/>
      <c r="O514" s="30"/>
      <c r="P514" s="30"/>
      <c r="Q514" s="30"/>
      <c r="R514" s="12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34">
        <v>6918.0</v>
      </c>
      <c r="B515" s="23" t="s">
        <v>1635</v>
      </c>
      <c r="C515" s="35" t="s">
        <v>1636</v>
      </c>
      <c r="D515" s="119" t="s">
        <v>1637</v>
      </c>
      <c r="E515" s="26">
        <v>50.0</v>
      </c>
      <c r="F515" s="26">
        <v>499.0</v>
      </c>
      <c r="G515" s="26">
        <v>13.0</v>
      </c>
      <c r="H515" s="37">
        <v>27.0</v>
      </c>
      <c r="I515" s="37">
        <v>179.0</v>
      </c>
      <c r="J515" s="37">
        <v>7.0</v>
      </c>
      <c r="K515" s="38">
        <v>12.0</v>
      </c>
      <c r="L515" s="39" t="s">
        <v>137</v>
      </c>
      <c r="M515" s="40" t="s">
        <v>22</v>
      </c>
      <c r="N515" s="40"/>
      <c r="O515" s="40"/>
      <c r="P515" s="40"/>
      <c r="Q515" s="40"/>
      <c r="R515" s="63" t="s">
        <v>1638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2">
        <v>7030.0</v>
      </c>
      <c r="B516" s="23" t="s">
        <v>1639</v>
      </c>
      <c r="C516" s="24" t="s">
        <v>1640</v>
      </c>
      <c r="D516" s="118" t="s">
        <v>1641</v>
      </c>
      <c r="E516" s="26">
        <v>1.0</v>
      </c>
      <c r="F516" s="26">
        <v>7.0</v>
      </c>
      <c r="G516" s="26">
        <v>1.0</v>
      </c>
      <c r="H516" s="27">
        <v>1.0</v>
      </c>
      <c r="I516" s="27">
        <v>3.0</v>
      </c>
      <c r="J516" s="27">
        <v>1.0</v>
      </c>
      <c r="K516" s="28">
        <v>0.0</v>
      </c>
      <c r="L516" s="39" t="s">
        <v>137</v>
      </c>
      <c r="M516" s="30" t="s">
        <v>22</v>
      </c>
      <c r="N516" s="30"/>
      <c r="O516" s="30"/>
      <c r="P516" s="30"/>
      <c r="Q516" s="30"/>
      <c r="R516" s="63" t="s">
        <v>1642</v>
      </c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22">
        <v>128.0</v>
      </c>
      <c r="B517" s="23" t="s">
        <v>1643</v>
      </c>
      <c r="C517" s="24" t="s">
        <v>1644</v>
      </c>
      <c r="D517" s="118" t="s">
        <v>1645</v>
      </c>
      <c r="E517" s="26">
        <v>3.0</v>
      </c>
      <c r="F517" s="26">
        <v>4.0</v>
      </c>
      <c r="G517" s="26">
        <v>1.0</v>
      </c>
      <c r="H517" s="47"/>
      <c r="I517" s="47"/>
      <c r="J517" s="47"/>
      <c r="K517" s="28">
        <v>40.0</v>
      </c>
      <c r="L517" s="44" t="s">
        <v>218</v>
      </c>
      <c r="M517" s="30" t="s">
        <v>22</v>
      </c>
      <c r="N517" s="30"/>
      <c r="O517" s="30"/>
      <c r="P517" s="30"/>
      <c r="Q517" s="30"/>
      <c r="R517" s="63" t="s">
        <v>1646</v>
      </c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34">
        <v>811.0</v>
      </c>
      <c r="B518" s="49" t="s">
        <v>1647</v>
      </c>
      <c r="C518" s="35" t="s">
        <v>1648</v>
      </c>
      <c r="D518" s="119" t="s">
        <v>1649</v>
      </c>
      <c r="E518" s="108">
        <v>40.0</v>
      </c>
      <c r="F518" s="26">
        <v>54.0</v>
      </c>
      <c r="G518" s="26">
        <v>4.0</v>
      </c>
      <c r="H518" s="37">
        <v>6.0</v>
      </c>
      <c r="I518" s="37">
        <v>2.0</v>
      </c>
      <c r="J518" s="37">
        <v>1.0</v>
      </c>
      <c r="K518" s="38">
        <v>43.0</v>
      </c>
      <c r="L518" s="40"/>
      <c r="M518" s="40" t="s">
        <v>79</v>
      </c>
      <c r="N518" s="40"/>
      <c r="O518" s="40"/>
      <c r="P518" s="40"/>
      <c r="Q518" s="40"/>
      <c r="R518" s="77" t="s">
        <v>1650</v>
      </c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22">
        <v>6146.0</v>
      </c>
      <c r="B519" s="23" t="s">
        <v>1651</v>
      </c>
      <c r="C519" s="24" t="s">
        <v>1652</v>
      </c>
      <c r="D519" s="55" t="s">
        <v>1653</v>
      </c>
      <c r="E519" s="26">
        <v>1.0</v>
      </c>
      <c r="F519" s="26">
        <v>1.0</v>
      </c>
      <c r="G519" s="26">
        <v>1.0</v>
      </c>
      <c r="H519" s="47"/>
      <c r="I519" s="47"/>
      <c r="J519" s="47"/>
      <c r="K519" s="28">
        <v>6.0</v>
      </c>
      <c r="L519" s="44" t="s">
        <v>171</v>
      </c>
      <c r="M519" s="30" t="s">
        <v>22</v>
      </c>
      <c r="N519" s="30"/>
      <c r="O519" s="30"/>
      <c r="P519" s="30"/>
      <c r="Q519" s="30"/>
      <c r="R519" s="63" t="s">
        <v>1654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3485.0</v>
      </c>
      <c r="B520" s="23" t="s">
        <v>1655</v>
      </c>
      <c r="C520" s="24" t="s">
        <v>1656</v>
      </c>
      <c r="D520" s="118" t="s">
        <v>1657</v>
      </c>
      <c r="E520" s="26">
        <v>3.0</v>
      </c>
      <c r="F520" s="26">
        <v>20.0</v>
      </c>
      <c r="G520" s="26">
        <v>2.0</v>
      </c>
      <c r="H520" s="27">
        <v>1.0</v>
      </c>
      <c r="I520" s="27">
        <v>0.0</v>
      </c>
      <c r="J520" s="27">
        <v>0.0</v>
      </c>
      <c r="K520" s="28">
        <v>5.0</v>
      </c>
      <c r="L520" s="29" t="s">
        <v>71</v>
      </c>
      <c r="M520" s="30" t="s">
        <v>22</v>
      </c>
      <c r="N520" s="30"/>
      <c r="O520" s="30"/>
      <c r="P520" s="30"/>
      <c r="Q520" s="30"/>
      <c r="R520" s="63" t="s">
        <v>1658</v>
      </c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2">
        <v>6658.0</v>
      </c>
      <c r="B521" s="23" t="s">
        <v>1659</v>
      </c>
      <c r="C521" s="24" t="s">
        <v>1660</v>
      </c>
      <c r="D521" s="27"/>
      <c r="E521" s="48"/>
      <c r="F521" s="48"/>
      <c r="G521" s="48"/>
      <c r="H521" s="47"/>
      <c r="I521" s="47"/>
      <c r="J521" s="47"/>
      <c r="K521" s="28">
        <v>0.0</v>
      </c>
      <c r="L521" s="39" t="s">
        <v>91</v>
      </c>
      <c r="M521" s="30" t="s">
        <v>22</v>
      </c>
      <c r="N521" s="30"/>
      <c r="O521" s="30"/>
      <c r="P521" s="30"/>
      <c r="Q521" s="30"/>
      <c r="R521" s="12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2">
        <v>4053.0</v>
      </c>
      <c r="B522" s="23" t="s">
        <v>1661</v>
      </c>
      <c r="C522" s="24" t="s">
        <v>1662</v>
      </c>
      <c r="D522" s="118" t="s">
        <v>1663</v>
      </c>
      <c r="E522" s="26">
        <v>4.0</v>
      </c>
      <c r="F522" s="26">
        <v>3.0</v>
      </c>
      <c r="G522" s="26">
        <v>1.0</v>
      </c>
      <c r="H522" s="27">
        <v>1.0</v>
      </c>
      <c r="I522" s="27">
        <v>0.0</v>
      </c>
      <c r="J522" s="27">
        <v>0.0</v>
      </c>
      <c r="K522" s="28">
        <v>13.0</v>
      </c>
      <c r="L522" s="29" t="s">
        <v>36</v>
      </c>
      <c r="M522" s="30" t="s">
        <v>22</v>
      </c>
      <c r="N522" s="30"/>
      <c r="O522" s="30"/>
      <c r="P522" s="30"/>
      <c r="Q522" s="30"/>
      <c r="R522" s="63" t="s">
        <v>1664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163.0</v>
      </c>
      <c r="B523" s="23" t="s">
        <v>1665</v>
      </c>
      <c r="C523" s="24" t="s">
        <v>1666</v>
      </c>
      <c r="D523" s="27"/>
      <c r="E523" s="48"/>
      <c r="F523" s="48"/>
      <c r="G523" s="48"/>
      <c r="H523" s="47">
        <v>1.0</v>
      </c>
      <c r="I523" s="47">
        <v>0.0</v>
      </c>
      <c r="J523" s="47">
        <v>0.0</v>
      </c>
      <c r="K523" s="28">
        <v>2.0</v>
      </c>
      <c r="L523" s="39" t="s">
        <v>78</v>
      </c>
      <c r="M523" s="30" t="s">
        <v>22</v>
      </c>
      <c r="N523" s="30"/>
      <c r="O523" s="30"/>
      <c r="P523" s="30"/>
      <c r="Q523" s="30"/>
      <c r="R523" s="12" t="s">
        <v>1667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7726.0</v>
      </c>
      <c r="B524" s="23" t="s">
        <v>1668</v>
      </c>
      <c r="C524" s="27"/>
      <c r="D524" s="121" t="s">
        <v>1669</v>
      </c>
      <c r="E524" s="26">
        <v>10.0</v>
      </c>
      <c r="F524" s="26">
        <v>8.0</v>
      </c>
      <c r="G524" s="26">
        <v>1.0</v>
      </c>
      <c r="H524" s="47"/>
      <c r="I524" s="47"/>
      <c r="J524" s="47"/>
      <c r="K524" s="28">
        <v>5.0</v>
      </c>
      <c r="L524" s="45"/>
      <c r="M524" s="30" t="s">
        <v>22</v>
      </c>
      <c r="N524" s="30"/>
      <c r="O524" s="30"/>
      <c r="P524" s="30"/>
      <c r="Q524" s="30"/>
      <c r="R524" s="63" t="s">
        <v>1670</v>
      </c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37.0</v>
      </c>
      <c r="B525" s="23" t="s">
        <v>1671</v>
      </c>
      <c r="C525" s="24" t="s">
        <v>1672</v>
      </c>
      <c r="D525" s="118" t="s">
        <v>1673</v>
      </c>
      <c r="E525" s="108">
        <v>21.0</v>
      </c>
      <c r="F525" s="26">
        <v>10.0</v>
      </c>
      <c r="G525" s="26">
        <v>2.0</v>
      </c>
      <c r="H525" s="27">
        <v>2.0</v>
      </c>
      <c r="I525" s="27">
        <v>0.0</v>
      </c>
      <c r="J525" s="27">
        <v>0.0</v>
      </c>
      <c r="K525" s="28">
        <v>26.0</v>
      </c>
      <c r="L525" s="44" t="s">
        <v>108</v>
      </c>
      <c r="M525" s="30" t="s">
        <v>22</v>
      </c>
      <c r="N525" s="30"/>
      <c r="O525" s="30"/>
      <c r="P525" s="30"/>
      <c r="Q525" s="30"/>
      <c r="R525" s="63" t="s">
        <v>1674</v>
      </c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22">
        <v>6876.0</v>
      </c>
      <c r="B526" s="23" t="s">
        <v>1675</v>
      </c>
      <c r="C526" s="27"/>
      <c r="D526" s="27"/>
      <c r="E526" s="48"/>
      <c r="F526" s="48"/>
      <c r="G526" s="48"/>
      <c r="H526" s="47"/>
      <c r="I526" s="47"/>
      <c r="J526" s="47"/>
      <c r="K526" s="28">
        <v>1.0</v>
      </c>
      <c r="L526" s="30"/>
      <c r="M526" s="30" t="s">
        <v>22</v>
      </c>
      <c r="N526" s="30"/>
      <c r="O526" s="30"/>
      <c r="P526" s="30"/>
      <c r="Q526" s="30"/>
      <c r="R526" s="12"/>
      <c r="S526" s="13"/>
      <c r="T526" s="13"/>
      <c r="U526" s="13"/>
      <c r="V526" s="13"/>
      <c r="W526" s="13"/>
      <c r="X526" s="13"/>
      <c r="Y526" s="13"/>
      <c r="Z526" s="13"/>
    </row>
    <row r="527" ht="13.5" customHeight="1">
      <c r="A527" s="22">
        <v>7887.0</v>
      </c>
      <c r="B527" s="23" t="s">
        <v>1676</v>
      </c>
      <c r="C527" s="24" t="s">
        <v>1677</v>
      </c>
      <c r="D527" s="27"/>
      <c r="E527" s="48"/>
      <c r="F527" s="48"/>
      <c r="G527" s="48"/>
      <c r="H527" s="47"/>
      <c r="I527" s="47"/>
      <c r="J527" s="47"/>
      <c r="K527" s="28">
        <v>0.0</v>
      </c>
      <c r="L527" s="39" t="s">
        <v>91</v>
      </c>
      <c r="M527" s="30" t="s">
        <v>22</v>
      </c>
      <c r="N527" s="30"/>
      <c r="O527" s="30"/>
      <c r="P527" s="30"/>
      <c r="Q527" s="30"/>
      <c r="R527" s="75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158.0</v>
      </c>
      <c r="B528" s="23" t="s">
        <v>1678</v>
      </c>
      <c r="C528" s="24" t="s">
        <v>1679</v>
      </c>
      <c r="D528" s="118" t="s">
        <v>1680</v>
      </c>
      <c r="E528" s="26">
        <v>2.0</v>
      </c>
      <c r="F528" s="26">
        <v>9.0</v>
      </c>
      <c r="G528" s="26">
        <v>1.0</v>
      </c>
      <c r="H528" s="27">
        <v>1.0</v>
      </c>
      <c r="I528" s="47"/>
      <c r="J528" s="47"/>
      <c r="K528" s="28">
        <v>5.0</v>
      </c>
      <c r="L528" s="29" t="s">
        <v>329</v>
      </c>
      <c r="M528" s="30" t="s">
        <v>22</v>
      </c>
      <c r="N528" s="30"/>
      <c r="O528" s="30"/>
      <c r="P528" s="30"/>
      <c r="Q528" s="30"/>
      <c r="R528" s="63" t="s">
        <v>1681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3156.0</v>
      </c>
      <c r="B529" s="23" t="s">
        <v>1682</v>
      </c>
      <c r="C529" s="111" t="s">
        <v>1683</v>
      </c>
      <c r="D529" s="118" t="s">
        <v>1684</v>
      </c>
      <c r="E529" s="108">
        <v>24.0</v>
      </c>
      <c r="F529" s="26">
        <v>114.0</v>
      </c>
      <c r="G529" s="26">
        <v>7.0</v>
      </c>
      <c r="H529" s="27">
        <v>7.0</v>
      </c>
      <c r="I529" s="27">
        <v>18.0</v>
      </c>
      <c r="J529" s="27">
        <v>3.0</v>
      </c>
      <c r="K529" s="28">
        <v>23.0</v>
      </c>
      <c r="L529" s="29" t="s">
        <v>21</v>
      </c>
      <c r="M529" s="30" t="s">
        <v>22</v>
      </c>
      <c r="N529" s="30"/>
      <c r="O529" s="30"/>
      <c r="P529" s="30"/>
      <c r="Q529" s="30"/>
      <c r="R529" s="63" t="s">
        <v>1685</v>
      </c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2">
        <v>7661.0</v>
      </c>
      <c r="B530" s="23" t="s">
        <v>1686</v>
      </c>
      <c r="C530" s="24" t="s">
        <v>1687</v>
      </c>
      <c r="D530" s="122"/>
      <c r="E530" s="48"/>
      <c r="F530" s="48"/>
      <c r="G530" s="48"/>
      <c r="H530" s="47"/>
      <c r="I530" s="47"/>
      <c r="J530" s="47"/>
      <c r="K530" s="28">
        <v>3.0</v>
      </c>
      <c r="L530" s="29" t="s">
        <v>356</v>
      </c>
      <c r="M530" s="30" t="s">
        <v>22</v>
      </c>
      <c r="N530" s="30"/>
      <c r="O530" s="30"/>
      <c r="P530" s="30"/>
      <c r="Q530" s="30"/>
      <c r="R530" s="12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7131.0</v>
      </c>
      <c r="B531" s="23" t="s">
        <v>1688</v>
      </c>
      <c r="C531" s="24" t="s">
        <v>1689</v>
      </c>
      <c r="D531" s="118" t="s">
        <v>1690</v>
      </c>
      <c r="E531" s="108">
        <v>9.0</v>
      </c>
      <c r="F531" s="26">
        <v>8.0</v>
      </c>
      <c r="G531" s="26">
        <v>2.0</v>
      </c>
      <c r="H531" s="27">
        <v>6.0</v>
      </c>
      <c r="I531" s="27">
        <v>5.0</v>
      </c>
      <c r="J531" s="27">
        <v>1.0</v>
      </c>
      <c r="K531" s="28">
        <v>9.0</v>
      </c>
      <c r="L531" s="44" t="s">
        <v>218</v>
      </c>
      <c r="M531" s="30" t="s">
        <v>22</v>
      </c>
      <c r="N531" s="30"/>
      <c r="O531" s="30"/>
      <c r="P531" s="30"/>
      <c r="Q531" s="30"/>
      <c r="R531" s="63" t="s">
        <v>1691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>
        <v>2613.0</v>
      </c>
      <c r="B532" s="23" t="s">
        <v>1692</v>
      </c>
      <c r="C532" s="24" t="s">
        <v>1693</v>
      </c>
      <c r="D532" s="118" t="s">
        <v>1694</v>
      </c>
      <c r="E532" s="26">
        <v>3.0</v>
      </c>
      <c r="F532" s="26">
        <v>3.0</v>
      </c>
      <c r="G532" s="26">
        <v>1.0</v>
      </c>
      <c r="H532" s="47"/>
      <c r="I532" s="47"/>
      <c r="J532" s="47"/>
      <c r="K532" s="28">
        <v>16.0</v>
      </c>
      <c r="L532" s="44" t="s">
        <v>137</v>
      </c>
      <c r="M532" s="30" t="s">
        <v>22</v>
      </c>
      <c r="N532" s="30"/>
      <c r="O532" s="30"/>
      <c r="P532" s="30"/>
      <c r="Q532" s="30"/>
      <c r="R532" s="63" t="s">
        <v>1695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/>
      <c r="B533" s="23" t="s">
        <v>1696</v>
      </c>
      <c r="C533" s="76" t="s">
        <v>1697</v>
      </c>
      <c r="D533" s="120" t="s">
        <v>1698</v>
      </c>
      <c r="E533" s="26">
        <v>1.0</v>
      </c>
      <c r="F533" s="26">
        <v>0.0</v>
      </c>
      <c r="G533" s="26">
        <v>0.0</v>
      </c>
      <c r="H533" s="47"/>
      <c r="I533" s="47"/>
      <c r="J533" s="47"/>
      <c r="K533" s="28"/>
      <c r="L533" s="29"/>
      <c r="M533" s="30"/>
      <c r="N533" s="30"/>
      <c r="O533" s="30"/>
      <c r="P533" s="30"/>
      <c r="Q533" s="30"/>
      <c r="R533" s="63" t="s">
        <v>1699</v>
      </c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988.0</v>
      </c>
      <c r="B534" s="23" t="s">
        <v>1700</v>
      </c>
      <c r="C534" s="24" t="s">
        <v>1701</v>
      </c>
      <c r="D534" s="123" t="s">
        <v>1702</v>
      </c>
      <c r="E534" s="26">
        <v>4.0</v>
      </c>
      <c r="F534" s="26">
        <v>2.0</v>
      </c>
      <c r="G534" s="26">
        <v>1.0</v>
      </c>
      <c r="H534" s="47"/>
      <c r="I534" s="47"/>
      <c r="J534" s="47"/>
      <c r="K534" s="28">
        <v>15.0</v>
      </c>
      <c r="L534" s="44" t="s">
        <v>60</v>
      </c>
      <c r="M534" s="30" t="s">
        <v>22</v>
      </c>
      <c r="N534" s="30"/>
      <c r="O534" s="30"/>
      <c r="P534" s="30"/>
      <c r="Q534" s="30"/>
      <c r="R534" s="63" t="s">
        <v>1703</v>
      </c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1656.0</v>
      </c>
      <c r="B535" s="23" t="s">
        <v>1704</v>
      </c>
      <c r="C535" s="24" t="s">
        <v>1705</v>
      </c>
      <c r="D535" s="122"/>
      <c r="E535" s="48"/>
      <c r="F535" s="48"/>
      <c r="G535" s="48"/>
      <c r="H535" s="47"/>
      <c r="I535" s="47"/>
      <c r="J535" s="47"/>
      <c r="K535" s="28">
        <v>1.0</v>
      </c>
      <c r="L535" s="39" t="s">
        <v>91</v>
      </c>
      <c r="M535" s="30" t="s">
        <v>22</v>
      </c>
      <c r="N535" s="30"/>
      <c r="O535" s="30"/>
      <c r="P535" s="30"/>
      <c r="Q535" s="30"/>
      <c r="R535" s="12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>
        <v>7424.0</v>
      </c>
      <c r="B536" s="23" t="s">
        <v>1706</v>
      </c>
      <c r="C536" s="24" t="s">
        <v>1707</v>
      </c>
      <c r="D536" s="123" t="s">
        <v>1708</v>
      </c>
      <c r="E536" s="26">
        <v>2.0</v>
      </c>
      <c r="F536" s="26">
        <v>0.0</v>
      </c>
      <c r="G536" s="26">
        <v>0.0</v>
      </c>
      <c r="H536" s="47"/>
      <c r="I536" s="47"/>
      <c r="J536" s="47"/>
      <c r="K536" s="28">
        <v>11.0</v>
      </c>
      <c r="L536" s="39"/>
      <c r="M536" s="30" t="s">
        <v>22</v>
      </c>
      <c r="N536" s="30"/>
      <c r="O536" s="30"/>
      <c r="P536" s="30"/>
      <c r="Q536" s="30"/>
      <c r="R536" s="63" t="s">
        <v>1709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429.0</v>
      </c>
      <c r="B537" s="23" t="s">
        <v>1710</v>
      </c>
      <c r="C537" s="24" t="s">
        <v>1711</v>
      </c>
      <c r="D537" s="118" t="s">
        <v>1712</v>
      </c>
      <c r="E537" s="26">
        <v>2.0</v>
      </c>
      <c r="F537" s="26">
        <v>0.0</v>
      </c>
      <c r="G537" s="26">
        <v>0.0</v>
      </c>
      <c r="H537" s="47"/>
      <c r="I537" s="47"/>
      <c r="J537" s="47"/>
      <c r="K537" s="28">
        <v>4.0</v>
      </c>
      <c r="L537" s="44" t="s">
        <v>409</v>
      </c>
      <c r="M537" s="30" t="s">
        <v>22</v>
      </c>
      <c r="N537" s="30"/>
      <c r="O537" s="30"/>
      <c r="P537" s="30"/>
      <c r="Q537" s="30"/>
      <c r="R537" s="63" t="s">
        <v>1713</v>
      </c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1668.0</v>
      </c>
      <c r="B538" s="23" t="s">
        <v>1714</v>
      </c>
      <c r="C538" s="24" t="s">
        <v>1715</v>
      </c>
      <c r="D538" s="122"/>
      <c r="E538" s="48"/>
      <c r="F538" s="48"/>
      <c r="G538" s="48"/>
      <c r="H538" s="47"/>
      <c r="I538" s="47"/>
      <c r="J538" s="47"/>
      <c r="K538" s="28">
        <v>7.0</v>
      </c>
      <c r="L538" s="44" t="s">
        <v>120</v>
      </c>
      <c r="M538" s="30" t="s">
        <v>22</v>
      </c>
      <c r="N538" s="30"/>
      <c r="O538" s="30"/>
      <c r="P538" s="30"/>
      <c r="Q538" s="30"/>
      <c r="R538" s="12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742.0</v>
      </c>
      <c r="B539" s="23" t="s">
        <v>1716</v>
      </c>
      <c r="C539" s="111" t="s">
        <v>1717</v>
      </c>
      <c r="D539" s="118" t="s">
        <v>1718</v>
      </c>
      <c r="E539" s="108">
        <v>8.0</v>
      </c>
      <c r="F539" s="26">
        <v>26.0</v>
      </c>
      <c r="G539" s="26">
        <v>3.0</v>
      </c>
      <c r="H539" s="27">
        <v>3.0</v>
      </c>
      <c r="I539" s="27">
        <v>4.0</v>
      </c>
      <c r="J539" s="27">
        <v>1.0</v>
      </c>
      <c r="K539" s="28">
        <v>165.0</v>
      </c>
      <c r="L539" s="29" t="s">
        <v>329</v>
      </c>
      <c r="M539" s="30" t="s">
        <v>22</v>
      </c>
      <c r="N539" s="30"/>
      <c r="O539" s="30"/>
      <c r="P539" s="30"/>
      <c r="Q539" s="30"/>
      <c r="R539" s="63" t="s">
        <v>1719</v>
      </c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114.0</v>
      </c>
      <c r="B540" s="23" t="s">
        <v>1720</v>
      </c>
      <c r="C540" s="27"/>
      <c r="D540" s="27"/>
      <c r="E540" s="48"/>
      <c r="F540" s="48"/>
      <c r="G540" s="48"/>
      <c r="H540" s="47"/>
      <c r="I540" s="47"/>
      <c r="J540" s="47"/>
      <c r="K540" s="28">
        <v>0.0</v>
      </c>
      <c r="L540" s="39" t="s">
        <v>78</v>
      </c>
      <c r="M540" s="30" t="s">
        <v>22</v>
      </c>
      <c r="N540" s="30"/>
      <c r="O540" s="30"/>
      <c r="P540" s="30"/>
      <c r="Q540" s="30"/>
      <c r="R540" s="12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7725.0</v>
      </c>
      <c r="B541" s="23" t="s">
        <v>1721</v>
      </c>
      <c r="C541" s="27"/>
      <c r="D541" s="27"/>
      <c r="E541" s="48"/>
      <c r="F541" s="48"/>
      <c r="G541" s="48"/>
      <c r="H541" s="47"/>
      <c r="I541" s="47"/>
      <c r="J541" s="47"/>
      <c r="K541" s="28">
        <v>3.0</v>
      </c>
      <c r="L541" s="44" t="s">
        <v>272</v>
      </c>
      <c r="M541" s="30" t="s">
        <v>22</v>
      </c>
      <c r="N541" s="30"/>
      <c r="O541" s="30"/>
      <c r="P541" s="30"/>
      <c r="Q541" s="30"/>
      <c r="R541" s="12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7888.0</v>
      </c>
      <c r="B542" s="23" t="s">
        <v>1722</v>
      </c>
      <c r="C542" s="24" t="s">
        <v>1723</v>
      </c>
      <c r="D542" s="118" t="s">
        <v>1724</v>
      </c>
      <c r="E542" s="26">
        <v>2.0</v>
      </c>
      <c r="F542" s="26">
        <v>2.0</v>
      </c>
      <c r="G542" s="26">
        <v>1.0</v>
      </c>
      <c r="H542" s="47"/>
      <c r="I542" s="47"/>
      <c r="J542" s="47"/>
      <c r="K542" s="28">
        <v>4.0</v>
      </c>
      <c r="L542" s="29"/>
      <c r="M542" s="30" t="s">
        <v>22</v>
      </c>
      <c r="N542" s="30"/>
      <c r="O542" s="30"/>
      <c r="P542" s="30"/>
      <c r="Q542" s="30"/>
      <c r="R542" s="63" t="s">
        <v>1725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6454.0</v>
      </c>
      <c r="B543" s="23" t="s">
        <v>1726</v>
      </c>
      <c r="C543" s="24" t="s">
        <v>1727</v>
      </c>
      <c r="D543" s="55" t="s">
        <v>1728</v>
      </c>
      <c r="E543" s="26">
        <v>1.0</v>
      </c>
      <c r="F543" s="26">
        <v>0.0</v>
      </c>
      <c r="G543" s="26">
        <v>0.0</v>
      </c>
      <c r="H543" s="47"/>
      <c r="I543" s="47"/>
      <c r="J543" s="47"/>
      <c r="K543" s="28">
        <v>1.0</v>
      </c>
      <c r="L543" s="29" t="s">
        <v>329</v>
      </c>
      <c r="M543" s="30" t="s">
        <v>22</v>
      </c>
      <c r="N543" s="30"/>
      <c r="O543" s="30"/>
      <c r="P543" s="30"/>
      <c r="Q543" s="30"/>
      <c r="R543" s="13" t="s">
        <v>1729</v>
      </c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6738.0</v>
      </c>
      <c r="B544" s="23" t="s">
        <v>1730</v>
      </c>
      <c r="C544" s="24" t="s">
        <v>1731</v>
      </c>
      <c r="D544" s="27"/>
      <c r="E544" s="48">
        <v>0.0</v>
      </c>
      <c r="F544" s="48">
        <v>0.0</v>
      </c>
      <c r="G544" s="48">
        <v>0.0</v>
      </c>
      <c r="H544" s="47">
        <v>0.0</v>
      </c>
      <c r="I544" s="47">
        <v>0.0</v>
      </c>
      <c r="J544" s="47">
        <v>0.0</v>
      </c>
      <c r="K544" s="28">
        <v>0.0</v>
      </c>
      <c r="L544" s="44" t="s">
        <v>137</v>
      </c>
      <c r="M544" s="30" t="s">
        <v>22</v>
      </c>
      <c r="N544" s="30"/>
      <c r="O544" s="30"/>
      <c r="P544" s="30"/>
      <c r="Q544" s="30"/>
      <c r="R544" s="12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22">
        <v>6446.0</v>
      </c>
      <c r="B545" s="23" t="s">
        <v>1732</v>
      </c>
      <c r="C545" s="24" t="s">
        <v>1733</v>
      </c>
      <c r="D545" s="118" t="s">
        <v>1734</v>
      </c>
      <c r="E545" s="26">
        <v>5.0</v>
      </c>
      <c r="F545" s="26">
        <v>3.0</v>
      </c>
      <c r="G545" s="26">
        <v>1.0</v>
      </c>
      <c r="H545" s="27">
        <v>4.0</v>
      </c>
      <c r="I545" s="27">
        <v>0.0</v>
      </c>
      <c r="J545" s="27">
        <v>0.0</v>
      </c>
      <c r="K545" s="58">
        <v>6.0</v>
      </c>
      <c r="L545" s="29" t="s">
        <v>36</v>
      </c>
      <c r="M545" s="59" t="s">
        <v>22</v>
      </c>
      <c r="N545" s="59"/>
      <c r="O545" s="59"/>
      <c r="P545" s="59"/>
      <c r="Q545" s="59"/>
      <c r="R545" s="63" t="s">
        <v>1735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34">
        <v>348.0</v>
      </c>
      <c r="B546" s="23" t="s">
        <v>1736</v>
      </c>
      <c r="C546" s="35" t="s">
        <v>1737</v>
      </c>
      <c r="D546" s="124" t="s">
        <v>1738</v>
      </c>
      <c r="E546" s="26">
        <v>1.0</v>
      </c>
      <c r="F546" s="26">
        <v>1.0</v>
      </c>
      <c r="G546" s="26">
        <v>1.0</v>
      </c>
      <c r="H546" s="51"/>
      <c r="I546" s="51"/>
      <c r="J546" s="51"/>
      <c r="K546" s="38">
        <v>1.0</v>
      </c>
      <c r="L546" s="44" t="s">
        <v>210</v>
      </c>
      <c r="M546" s="40" t="s">
        <v>22</v>
      </c>
      <c r="N546" s="40"/>
      <c r="O546" s="40"/>
      <c r="P546" s="40"/>
      <c r="Q546" s="40"/>
      <c r="R546" s="12" t="s">
        <v>1739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>
        <v>243.0</v>
      </c>
      <c r="B547" s="23" t="s">
        <v>1740</v>
      </c>
      <c r="C547" s="24" t="s">
        <v>1741</v>
      </c>
      <c r="D547" s="125" t="s">
        <v>1742</v>
      </c>
      <c r="E547" s="26">
        <v>5.0</v>
      </c>
      <c r="F547" s="26">
        <v>5.0</v>
      </c>
      <c r="G547" s="26">
        <v>1.0</v>
      </c>
      <c r="H547" s="47"/>
      <c r="I547" s="47"/>
      <c r="J547" s="47"/>
      <c r="K547" s="28">
        <v>41.0</v>
      </c>
      <c r="L547" s="29" t="s">
        <v>21</v>
      </c>
      <c r="M547" s="30" t="s">
        <v>22</v>
      </c>
      <c r="N547" s="30"/>
      <c r="O547" s="30"/>
      <c r="P547" s="30"/>
      <c r="Q547" s="30"/>
      <c r="R547" s="63" t="s">
        <v>1743</v>
      </c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/>
      <c r="B548" s="23" t="s">
        <v>1744</v>
      </c>
      <c r="C548" s="24" t="s">
        <v>1745</v>
      </c>
      <c r="D548" s="125" t="s">
        <v>1746</v>
      </c>
      <c r="E548" s="26">
        <v>1.0</v>
      </c>
      <c r="F548" s="26">
        <v>0.0</v>
      </c>
      <c r="G548" s="26">
        <v>0.0</v>
      </c>
      <c r="H548" s="47">
        <v>1.0</v>
      </c>
      <c r="I548" s="47">
        <v>0.0</v>
      </c>
      <c r="J548" s="47">
        <v>0.0</v>
      </c>
      <c r="K548" s="28"/>
      <c r="L548" s="44" t="s">
        <v>859</v>
      </c>
      <c r="M548" s="30" t="s">
        <v>22</v>
      </c>
      <c r="N548" s="30"/>
      <c r="O548" s="30"/>
      <c r="P548" s="30"/>
      <c r="Q548" s="30"/>
      <c r="R548" s="63" t="s">
        <v>1747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2">
        <v>83.0</v>
      </c>
      <c r="B549" s="23" t="s">
        <v>1748</v>
      </c>
      <c r="C549" s="24" t="s">
        <v>1749</v>
      </c>
      <c r="D549" s="125" t="s">
        <v>1750</v>
      </c>
      <c r="E549" s="26">
        <v>1.0</v>
      </c>
      <c r="F549" s="26">
        <v>9.0</v>
      </c>
      <c r="G549" s="26">
        <v>1.0</v>
      </c>
      <c r="H549" s="47"/>
      <c r="I549" s="47"/>
      <c r="J549" s="47"/>
      <c r="K549" s="28">
        <v>2.0</v>
      </c>
      <c r="L549" s="29" t="s">
        <v>329</v>
      </c>
      <c r="M549" s="30" t="s">
        <v>22</v>
      </c>
      <c r="N549" s="30"/>
      <c r="O549" s="30"/>
      <c r="P549" s="30"/>
      <c r="Q549" s="30"/>
      <c r="R549" s="63" t="s">
        <v>1751</v>
      </c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22">
        <v>6655.0</v>
      </c>
      <c r="B550" s="23" t="s">
        <v>1752</v>
      </c>
      <c r="C550" s="47"/>
      <c r="D550" s="47"/>
      <c r="E550" s="50"/>
      <c r="F550" s="50"/>
      <c r="G550" s="50"/>
      <c r="H550" s="47"/>
      <c r="I550" s="47"/>
      <c r="J550" s="47"/>
      <c r="K550" s="28">
        <v>4.0</v>
      </c>
      <c r="L550" s="44" t="s">
        <v>272</v>
      </c>
      <c r="M550" s="30" t="s">
        <v>22</v>
      </c>
      <c r="N550" s="30"/>
      <c r="O550" s="30"/>
      <c r="P550" s="30"/>
      <c r="Q550" s="30"/>
      <c r="R550" s="12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34">
        <v>1745.0</v>
      </c>
      <c r="B551" s="23" t="s">
        <v>1753</v>
      </c>
      <c r="C551" s="35" t="s">
        <v>1754</v>
      </c>
      <c r="D551" s="126" t="s">
        <v>1755</v>
      </c>
      <c r="E551" s="26">
        <v>116.0</v>
      </c>
      <c r="F551" s="26">
        <v>473.0</v>
      </c>
      <c r="G551" s="26">
        <v>12.0</v>
      </c>
      <c r="H551" s="37">
        <v>70.0</v>
      </c>
      <c r="I551" s="37">
        <v>272.0</v>
      </c>
      <c r="J551" s="37">
        <v>9.0</v>
      </c>
      <c r="K551" s="38">
        <v>0.0</v>
      </c>
      <c r="L551" s="39"/>
      <c r="M551" s="40" t="s">
        <v>22</v>
      </c>
      <c r="N551" s="40"/>
      <c r="O551" s="40"/>
      <c r="P551" s="40"/>
      <c r="Q551" s="40"/>
      <c r="R551" s="63" t="s">
        <v>1756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22">
        <v>2197.0</v>
      </c>
      <c r="B552" s="23" t="s">
        <v>1757</v>
      </c>
      <c r="C552" s="24" t="s">
        <v>1758</v>
      </c>
      <c r="D552" s="125" t="s">
        <v>1759</v>
      </c>
      <c r="E552" s="26">
        <v>2.0</v>
      </c>
      <c r="F552" s="26">
        <v>2.0</v>
      </c>
      <c r="G552" s="26">
        <v>1.0</v>
      </c>
      <c r="H552" s="47"/>
      <c r="I552" s="47"/>
      <c r="J552" s="47"/>
      <c r="K552" s="28">
        <v>23.0</v>
      </c>
      <c r="L552" s="44" t="s">
        <v>163</v>
      </c>
      <c r="M552" s="30" t="s">
        <v>22</v>
      </c>
      <c r="N552" s="30"/>
      <c r="O552" s="30"/>
      <c r="P552" s="30"/>
      <c r="Q552" s="30"/>
      <c r="R552" s="63" t="s">
        <v>1760</v>
      </c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4">
        <v>1658.0</v>
      </c>
      <c r="B553" s="23" t="s">
        <v>1761</v>
      </c>
      <c r="C553" s="127"/>
      <c r="D553" s="128" t="s">
        <v>1762</v>
      </c>
      <c r="E553" s="57">
        <v>1.0</v>
      </c>
      <c r="F553" s="57">
        <v>0.0</v>
      </c>
      <c r="G553" s="57">
        <v>0.0</v>
      </c>
      <c r="H553" s="51"/>
      <c r="I553" s="51"/>
      <c r="J553" s="51"/>
      <c r="K553" s="38">
        <v>0.0</v>
      </c>
      <c r="L553" s="56" t="s">
        <v>94</v>
      </c>
      <c r="M553" s="40" t="s">
        <v>22</v>
      </c>
      <c r="N553" s="40"/>
      <c r="O553" s="40"/>
      <c r="P553" s="40"/>
      <c r="Q553" s="40"/>
      <c r="R553" s="12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34">
        <v>7115.0</v>
      </c>
      <c r="B554" s="23" t="s">
        <v>1763</v>
      </c>
      <c r="C554" s="127"/>
      <c r="D554" s="126" t="s">
        <v>1764</v>
      </c>
      <c r="E554" s="26">
        <v>7.0</v>
      </c>
      <c r="F554" s="26">
        <v>15.0</v>
      </c>
      <c r="G554" s="26">
        <v>2.0</v>
      </c>
      <c r="H554" s="51">
        <v>7.0</v>
      </c>
      <c r="I554" s="51">
        <v>2.0</v>
      </c>
      <c r="J554" s="51">
        <v>1.0</v>
      </c>
      <c r="K554" s="38">
        <v>3.0</v>
      </c>
      <c r="L554" s="39"/>
      <c r="M554" s="40" t="s">
        <v>22</v>
      </c>
      <c r="N554" s="40"/>
      <c r="O554" s="40"/>
      <c r="P554" s="40"/>
      <c r="Q554" s="40"/>
      <c r="R554" s="63" t="s">
        <v>1765</v>
      </c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2">
        <v>957.0</v>
      </c>
      <c r="B555" s="23" t="s">
        <v>1766</v>
      </c>
      <c r="C555" s="24" t="s">
        <v>1767</v>
      </c>
      <c r="D555" s="125" t="s">
        <v>1768</v>
      </c>
      <c r="E555" s="26">
        <v>7.0</v>
      </c>
      <c r="F555" s="26">
        <v>10.0</v>
      </c>
      <c r="G555" s="26">
        <v>2.0</v>
      </c>
      <c r="H555" s="79">
        <v>1.0</v>
      </c>
      <c r="I555" s="79">
        <v>1.0</v>
      </c>
      <c r="J555" s="79">
        <v>1.0</v>
      </c>
      <c r="K555" s="93">
        <v>48.0</v>
      </c>
      <c r="L555" s="29"/>
      <c r="M555" s="94" t="s">
        <v>79</v>
      </c>
      <c r="N555" s="94"/>
      <c r="O555" s="94"/>
      <c r="P555" s="94"/>
      <c r="Q555" s="94"/>
      <c r="R555" s="63" t="s">
        <v>1769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22">
        <v>7986.0</v>
      </c>
      <c r="B556" s="23" t="s">
        <v>1770</v>
      </c>
      <c r="C556" s="102"/>
      <c r="D556" s="125" t="s">
        <v>1771</v>
      </c>
      <c r="E556" s="26">
        <v>2.0</v>
      </c>
      <c r="F556" s="26">
        <v>0.0</v>
      </c>
      <c r="G556" s="26">
        <v>0.0</v>
      </c>
      <c r="H556" s="47">
        <v>1.0</v>
      </c>
      <c r="I556" s="47">
        <v>0.0</v>
      </c>
      <c r="J556" s="47">
        <v>0.0</v>
      </c>
      <c r="K556" s="28">
        <v>0.0</v>
      </c>
      <c r="L556" s="29" t="s">
        <v>167</v>
      </c>
      <c r="M556" s="30"/>
      <c r="N556" s="30"/>
      <c r="O556" s="30"/>
      <c r="P556" s="30"/>
      <c r="Q556" s="30"/>
      <c r="R556" s="63" t="s">
        <v>1772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34">
        <v>5059.0</v>
      </c>
      <c r="B557" s="23" t="s">
        <v>1773</v>
      </c>
      <c r="C557" s="35" t="s">
        <v>1774</v>
      </c>
      <c r="D557" s="128" t="s">
        <v>1775</v>
      </c>
      <c r="E557" s="57">
        <v>2.0</v>
      </c>
      <c r="F557" s="57">
        <v>0.0</v>
      </c>
      <c r="G557" s="57">
        <v>0.0</v>
      </c>
      <c r="H557" s="51">
        <v>0.0</v>
      </c>
      <c r="I557" s="51">
        <v>0.0</v>
      </c>
      <c r="J557" s="51">
        <v>0.0</v>
      </c>
      <c r="K557" s="38">
        <v>1.0</v>
      </c>
      <c r="L557" s="29" t="s">
        <v>36</v>
      </c>
      <c r="M557" s="40" t="s">
        <v>22</v>
      </c>
      <c r="N557" s="40"/>
      <c r="O557" s="40"/>
      <c r="P557" s="40"/>
      <c r="Q557" s="40"/>
      <c r="R557" s="63" t="s">
        <v>1776</v>
      </c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2">
        <v>6197.0</v>
      </c>
      <c r="B558" s="23" t="s">
        <v>1777</v>
      </c>
      <c r="C558" s="24" t="s">
        <v>1778</v>
      </c>
      <c r="D558" s="125" t="s">
        <v>1779</v>
      </c>
      <c r="E558" s="26">
        <v>2.0</v>
      </c>
      <c r="F558" s="26">
        <v>0.0</v>
      </c>
      <c r="G558" s="26">
        <v>0.0</v>
      </c>
      <c r="H558" s="27">
        <v>1.0</v>
      </c>
      <c r="I558" s="27">
        <v>0.0</v>
      </c>
      <c r="J558" s="27">
        <v>0.0</v>
      </c>
      <c r="K558" s="28">
        <v>9.0</v>
      </c>
      <c r="L558" s="44" t="s">
        <v>108</v>
      </c>
      <c r="M558" s="30" t="s">
        <v>22</v>
      </c>
      <c r="N558" s="30"/>
      <c r="O558" s="30"/>
      <c r="P558" s="30"/>
      <c r="Q558" s="30"/>
      <c r="R558" s="63" t="s">
        <v>1780</v>
      </c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405.0</v>
      </c>
      <c r="B559" s="23" t="s">
        <v>1781</v>
      </c>
      <c r="C559" s="24" t="s">
        <v>1782</v>
      </c>
      <c r="D559" s="47"/>
      <c r="E559" s="50"/>
      <c r="F559" s="50"/>
      <c r="G559" s="50"/>
      <c r="H559" s="47"/>
      <c r="I559" s="47"/>
      <c r="J559" s="47"/>
      <c r="K559" s="28">
        <v>2.0</v>
      </c>
      <c r="L559" s="39" t="s">
        <v>91</v>
      </c>
      <c r="M559" s="30" t="s">
        <v>22</v>
      </c>
      <c r="N559" s="30"/>
      <c r="O559" s="30"/>
      <c r="P559" s="30"/>
      <c r="Q559" s="30"/>
      <c r="R559" s="12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3785.0</v>
      </c>
      <c r="B560" s="23" t="s">
        <v>1783</v>
      </c>
      <c r="C560" s="24" t="s">
        <v>1784</v>
      </c>
      <c r="D560" s="125" t="s">
        <v>1785</v>
      </c>
      <c r="E560" s="26">
        <v>2.0</v>
      </c>
      <c r="F560" s="26">
        <v>9.0</v>
      </c>
      <c r="G560" s="26">
        <v>1.0</v>
      </c>
      <c r="H560" s="27">
        <v>2.0</v>
      </c>
      <c r="I560" s="27">
        <v>4.0</v>
      </c>
      <c r="J560" s="27">
        <v>1.0</v>
      </c>
      <c r="K560" s="28">
        <v>7.0</v>
      </c>
      <c r="L560" s="44" t="s">
        <v>41</v>
      </c>
      <c r="M560" s="30" t="s">
        <v>22</v>
      </c>
      <c r="N560" s="30"/>
      <c r="O560" s="30"/>
      <c r="P560" s="30"/>
      <c r="Q560" s="30"/>
      <c r="R560" s="63" t="s">
        <v>1786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2">
        <v>2312.0</v>
      </c>
      <c r="B561" s="23" t="s">
        <v>1787</v>
      </c>
      <c r="C561" s="24" t="s">
        <v>1788</v>
      </c>
      <c r="D561" s="125" t="s">
        <v>1789</v>
      </c>
      <c r="E561" s="64">
        <v>69.0</v>
      </c>
      <c r="F561" s="26">
        <v>710.0</v>
      </c>
      <c r="G561" s="26">
        <v>17.0</v>
      </c>
      <c r="H561" s="27">
        <v>21.0</v>
      </c>
      <c r="I561" s="27">
        <v>46.0</v>
      </c>
      <c r="J561" s="27">
        <v>5.0</v>
      </c>
      <c r="K561" s="28">
        <v>63.0</v>
      </c>
      <c r="L561" s="29" t="s">
        <v>36</v>
      </c>
      <c r="M561" s="30" t="s">
        <v>22</v>
      </c>
      <c r="N561" s="30"/>
      <c r="O561" s="30"/>
      <c r="P561" s="30"/>
      <c r="Q561" s="30"/>
      <c r="R561" s="63" t="s">
        <v>1790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5029.0</v>
      </c>
      <c r="B562" s="23" t="s">
        <v>1791</v>
      </c>
      <c r="C562" s="24" t="s">
        <v>1792</v>
      </c>
      <c r="D562" s="125" t="s">
        <v>1793</v>
      </c>
      <c r="E562" s="26">
        <v>3.0</v>
      </c>
      <c r="F562" s="26">
        <v>6.0</v>
      </c>
      <c r="G562" s="26">
        <v>1.0</v>
      </c>
      <c r="H562" s="47">
        <v>0.0</v>
      </c>
      <c r="I562" s="27">
        <v>0.0</v>
      </c>
      <c r="J562" s="27">
        <v>0.0</v>
      </c>
      <c r="K562" s="28">
        <v>16.0</v>
      </c>
      <c r="L562" s="29" t="s">
        <v>71</v>
      </c>
      <c r="M562" s="30"/>
      <c r="N562" s="30"/>
      <c r="O562" s="30"/>
      <c r="P562" s="30"/>
      <c r="Q562" s="30"/>
      <c r="R562" s="63" t="s">
        <v>1794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4943.0</v>
      </c>
      <c r="B563" s="23" t="s">
        <v>1795</v>
      </c>
      <c r="C563" s="129" t="s">
        <v>1796</v>
      </c>
      <c r="D563" s="125" t="s">
        <v>1797</v>
      </c>
      <c r="E563" s="26">
        <v>4.0</v>
      </c>
      <c r="F563" s="26">
        <v>3.0</v>
      </c>
      <c r="G563" s="26">
        <v>1.0</v>
      </c>
      <c r="H563" s="27">
        <v>4.0</v>
      </c>
      <c r="I563" s="27">
        <v>0.0</v>
      </c>
      <c r="J563" s="27">
        <v>0.0</v>
      </c>
      <c r="K563" s="28">
        <v>16.0</v>
      </c>
      <c r="L563" s="44" t="s">
        <v>60</v>
      </c>
      <c r="M563" s="30" t="s">
        <v>22</v>
      </c>
      <c r="N563" s="30"/>
      <c r="O563" s="30"/>
      <c r="P563" s="30"/>
      <c r="Q563" s="30"/>
      <c r="R563" s="63" t="s">
        <v>1798</v>
      </c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7627.0</v>
      </c>
      <c r="B564" s="23" t="s">
        <v>1799</v>
      </c>
      <c r="C564" s="129" t="s">
        <v>1800</v>
      </c>
      <c r="D564" s="125" t="s">
        <v>1801</v>
      </c>
      <c r="E564" s="64">
        <v>12.0</v>
      </c>
      <c r="F564" s="26">
        <v>8.0</v>
      </c>
      <c r="G564" s="26">
        <v>2.0</v>
      </c>
      <c r="H564" s="47"/>
      <c r="I564" s="47"/>
      <c r="J564" s="47"/>
      <c r="K564" s="28">
        <v>1.0</v>
      </c>
      <c r="L564" s="44" t="s">
        <v>144</v>
      </c>
      <c r="M564" s="30" t="s">
        <v>22</v>
      </c>
      <c r="N564" s="30"/>
      <c r="O564" s="30"/>
      <c r="P564" s="30"/>
      <c r="Q564" s="30"/>
      <c r="R564" s="63" t="s">
        <v>1802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5691.0</v>
      </c>
      <c r="B565" s="23" t="s">
        <v>1803</v>
      </c>
      <c r="C565" s="129" t="s">
        <v>1804</v>
      </c>
      <c r="D565" s="125" t="s">
        <v>1805</v>
      </c>
      <c r="E565" s="64">
        <v>16.0</v>
      </c>
      <c r="F565" s="26">
        <v>22.0</v>
      </c>
      <c r="G565" s="26">
        <v>3.0</v>
      </c>
      <c r="H565" s="27">
        <v>2.0</v>
      </c>
      <c r="I565" s="27">
        <v>0.0</v>
      </c>
      <c r="J565" s="27">
        <v>0.0</v>
      </c>
      <c r="K565" s="28">
        <v>1.0</v>
      </c>
      <c r="L565" s="45" t="s">
        <v>46</v>
      </c>
      <c r="M565" s="30" t="s">
        <v>22</v>
      </c>
      <c r="N565" s="30"/>
      <c r="O565" s="30"/>
      <c r="P565" s="30"/>
      <c r="Q565" s="30"/>
      <c r="R565" s="63" t="s">
        <v>1806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204.0</v>
      </c>
      <c r="B566" s="23" t="s">
        <v>1807</v>
      </c>
      <c r="C566" s="129" t="s">
        <v>1808</v>
      </c>
      <c r="D566" s="130" t="s">
        <v>1809</v>
      </c>
      <c r="E566" s="26">
        <v>2.0</v>
      </c>
      <c r="F566" s="26">
        <v>0.0</v>
      </c>
      <c r="G566" s="26">
        <v>0.0</v>
      </c>
      <c r="H566" s="27">
        <v>0.0</v>
      </c>
      <c r="I566" s="47">
        <v>0.0</v>
      </c>
      <c r="J566" s="47">
        <v>0.0</v>
      </c>
      <c r="K566" s="28">
        <v>11.0</v>
      </c>
      <c r="L566" s="44" t="s">
        <v>137</v>
      </c>
      <c r="M566" s="30" t="s">
        <v>22</v>
      </c>
      <c r="N566" s="30"/>
      <c r="O566" s="30"/>
      <c r="P566" s="30"/>
      <c r="Q566" s="30"/>
      <c r="R566" s="63" t="s">
        <v>1810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326.0</v>
      </c>
      <c r="B567" s="23" t="s">
        <v>1811</v>
      </c>
      <c r="C567" s="129" t="s">
        <v>1812</v>
      </c>
      <c r="D567" s="125" t="s">
        <v>1813</v>
      </c>
      <c r="E567" s="26">
        <v>8.0</v>
      </c>
      <c r="F567" s="26">
        <v>21.0</v>
      </c>
      <c r="G567" s="26">
        <v>3.0</v>
      </c>
      <c r="H567" s="27">
        <v>3.0</v>
      </c>
      <c r="I567" s="27">
        <v>2.0</v>
      </c>
      <c r="J567" s="27">
        <v>1.0</v>
      </c>
      <c r="K567" s="28">
        <v>14.0</v>
      </c>
      <c r="L567" s="44" t="s">
        <v>41</v>
      </c>
      <c r="M567" s="30" t="s">
        <v>22</v>
      </c>
      <c r="N567" s="30"/>
      <c r="O567" s="30"/>
      <c r="P567" s="30"/>
      <c r="Q567" s="30"/>
      <c r="R567" s="63" t="s">
        <v>1814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168.0</v>
      </c>
      <c r="B568" s="23" t="s">
        <v>1815</v>
      </c>
      <c r="C568" s="129" t="s">
        <v>1816</v>
      </c>
      <c r="D568" s="125" t="s">
        <v>1817</v>
      </c>
      <c r="E568" s="26">
        <v>3.0</v>
      </c>
      <c r="F568" s="26">
        <v>0.0</v>
      </c>
      <c r="G568" s="26">
        <v>0.0</v>
      </c>
      <c r="H568" s="47">
        <v>0.0</v>
      </c>
      <c r="I568" s="47">
        <v>0.0</v>
      </c>
      <c r="J568" s="47">
        <v>0.0</v>
      </c>
      <c r="K568" s="28">
        <v>4.0</v>
      </c>
      <c r="L568" s="56" t="s">
        <v>94</v>
      </c>
      <c r="M568" s="30" t="s">
        <v>22</v>
      </c>
      <c r="N568" s="30"/>
      <c r="O568" s="30"/>
      <c r="P568" s="30"/>
      <c r="Q568" s="30"/>
      <c r="R568" s="63" t="s">
        <v>1818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7137.0</v>
      </c>
      <c r="B569" s="23" t="s">
        <v>1819</v>
      </c>
      <c r="C569" s="129" t="s">
        <v>1820</v>
      </c>
      <c r="D569" s="125" t="s">
        <v>1821</v>
      </c>
      <c r="E569" s="26">
        <v>8.0</v>
      </c>
      <c r="F569" s="26">
        <v>38.0</v>
      </c>
      <c r="G569" s="26">
        <v>4.0</v>
      </c>
      <c r="H569" s="47">
        <v>1.0</v>
      </c>
      <c r="I569" s="47">
        <v>0.0</v>
      </c>
      <c r="J569" s="47">
        <v>0.0</v>
      </c>
      <c r="K569" s="28">
        <v>3.0</v>
      </c>
      <c r="L569" s="44" t="s">
        <v>137</v>
      </c>
      <c r="M569" s="30" t="s">
        <v>22</v>
      </c>
      <c r="N569" s="30"/>
      <c r="O569" s="30"/>
      <c r="P569" s="30"/>
      <c r="Q569" s="30"/>
      <c r="R569" s="63" t="s">
        <v>1822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22">
        <v>588.0</v>
      </c>
      <c r="B570" s="23" t="s">
        <v>1823</v>
      </c>
      <c r="C570" s="129" t="s">
        <v>1824</v>
      </c>
      <c r="D570" s="25" t="s">
        <v>1825</v>
      </c>
      <c r="E570" s="26">
        <v>5.0</v>
      </c>
      <c r="F570" s="26">
        <v>6.0</v>
      </c>
      <c r="G570" s="26">
        <v>1.0</v>
      </c>
      <c r="H570" s="47"/>
      <c r="I570" s="47"/>
      <c r="J570" s="47"/>
      <c r="K570" s="28">
        <v>2.0</v>
      </c>
      <c r="L570" s="44" t="s">
        <v>859</v>
      </c>
      <c r="M570" s="30" t="s">
        <v>22</v>
      </c>
      <c r="N570" s="30"/>
      <c r="O570" s="30"/>
      <c r="P570" s="30"/>
      <c r="Q570" s="30"/>
      <c r="R570" s="63" t="s">
        <v>1826</v>
      </c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34">
        <v>6537.0</v>
      </c>
      <c r="B571" s="49" t="s">
        <v>1827</v>
      </c>
      <c r="C571" s="127"/>
      <c r="D571" s="51"/>
      <c r="E571" s="50"/>
      <c r="F571" s="50"/>
      <c r="G571" s="50"/>
      <c r="H571" s="51"/>
      <c r="I571" s="51"/>
      <c r="J571" s="51"/>
      <c r="K571" s="38">
        <v>0.0</v>
      </c>
      <c r="L571" s="40" t="s">
        <v>78</v>
      </c>
      <c r="M571" s="40" t="s">
        <v>79</v>
      </c>
      <c r="N571" s="40"/>
      <c r="O571" s="40"/>
      <c r="P571" s="40"/>
      <c r="Q571" s="40"/>
      <c r="R571" s="52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22">
        <v>2515.0</v>
      </c>
      <c r="B572" s="23" t="s">
        <v>1828</v>
      </c>
      <c r="C572" s="78" t="s">
        <v>1829</v>
      </c>
      <c r="D572" s="125" t="s">
        <v>1830</v>
      </c>
      <c r="E572" s="26">
        <v>9.0</v>
      </c>
      <c r="F572" s="26">
        <v>12.0</v>
      </c>
      <c r="G572" s="26">
        <v>2.0</v>
      </c>
      <c r="H572" s="47"/>
      <c r="I572" s="47"/>
      <c r="J572" s="47"/>
      <c r="K572" s="28">
        <v>5.0</v>
      </c>
      <c r="L572" s="45" t="s">
        <v>46</v>
      </c>
      <c r="M572" s="30" t="s">
        <v>22</v>
      </c>
      <c r="N572" s="30"/>
      <c r="O572" s="30"/>
      <c r="P572" s="30"/>
      <c r="Q572" s="30"/>
      <c r="R572" s="63" t="s">
        <v>1831</v>
      </c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22">
        <v>7677.0</v>
      </c>
      <c r="B573" s="23" t="s">
        <v>1832</v>
      </c>
      <c r="C573" s="129" t="s">
        <v>1833</v>
      </c>
      <c r="D573" s="47"/>
      <c r="E573" s="50"/>
      <c r="F573" s="50"/>
      <c r="G573" s="50"/>
      <c r="H573" s="47"/>
      <c r="I573" s="47"/>
      <c r="J573" s="47"/>
      <c r="K573" s="28">
        <v>0.0</v>
      </c>
      <c r="L573" s="39" t="s">
        <v>91</v>
      </c>
      <c r="M573" s="30" t="s">
        <v>22</v>
      </c>
      <c r="N573" s="30"/>
      <c r="O573" s="30"/>
      <c r="P573" s="30"/>
      <c r="Q573" s="30"/>
      <c r="R573" s="12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34">
        <v>7890.0</v>
      </c>
      <c r="B574" s="49" t="s">
        <v>1834</v>
      </c>
      <c r="C574" s="131" t="s">
        <v>1835</v>
      </c>
      <c r="D574" s="128" t="s">
        <v>1836</v>
      </c>
      <c r="E574" s="57">
        <v>16.0</v>
      </c>
      <c r="F574" s="57">
        <v>115.0</v>
      </c>
      <c r="G574" s="57">
        <v>5.0</v>
      </c>
      <c r="H574" s="51">
        <v>2.0</v>
      </c>
      <c r="I574" s="51">
        <v>3.0</v>
      </c>
      <c r="J574" s="51">
        <v>1.0</v>
      </c>
      <c r="K574" s="38">
        <v>0.0</v>
      </c>
      <c r="L574" s="40"/>
      <c r="M574" s="40" t="s">
        <v>79</v>
      </c>
      <c r="N574" s="40"/>
      <c r="O574" s="40"/>
      <c r="P574" s="40"/>
      <c r="Q574" s="40"/>
      <c r="R574" s="77" t="s">
        <v>1837</v>
      </c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34">
        <v>6262.0</v>
      </c>
      <c r="B575" s="49" t="s">
        <v>1838</v>
      </c>
      <c r="C575" s="132"/>
      <c r="D575" s="126" t="s">
        <v>1839</v>
      </c>
      <c r="E575" s="26">
        <v>1.0</v>
      </c>
      <c r="F575" s="26">
        <v>0.0</v>
      </c>
      <c r="G575" s="26">
        <v>0.0</v>
      </c>
      <c r="H575" s="37">
        <v>1.0</v>
      </c>
      <c r="I575" s="37">
        <v>0.0</v>
      </c>
      <c r="J575" s="37">
        <v>0.0</v>
      </c>
      <c r="K575" s="38">
        <v>0.0</v>
      </c>
      <c r="L575" s="40"/>
      <c r="M575" s="40" t="s">
        <v>79</v>
      </c>
      <c r="N575" s="40"/>
      <c r="O575" s="40"/>
      <c r="P575" s="40"/>
      <c r="Q575" s="40"/>
      <c r="R575" s="77" t="s">
        <v>1840</v>
      </c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34">
        <v>16.0</v>
      </c>
      <c r="B576" s="23" t="s">
        <v>1841</v>
      </c>
      <c r="C576" s="133" t="s">
        <v>1842</v>
      </c>
      <c r="D576" s="126" t="s">
        <v>1843</v>
      </c>
      <c r="E576" s="26">
        <v>74.0</v>
      </c>
      <c r="F576" s="134">
        <v>854.0</v>
      </c>
      <c r="G576" s="26">
        <v>18.0</v>
      </c>
      <c r="H576" s="37">
        <v>16.0</v>
      </c>
      <c r="I576" s="37">
        <v>45.0</v>
      </c>
      <c r="J576" s="37">
        <v>4.0</v>
      </c>
      <c r="K576" s="38">
        <v>16.0</v>
      </c>
      <c r="L576" s="39" t="s">
        <v>137</v>
      </c>
      <c r="M576" s="40" t="s">
        <v>22</v>
      </c>
      <c r="N576" s="40"/>
      <c r="O576" s="40"/>
      <c r="P576" s="40"/>
      <c r="Q576" s="40"/>
      <c r="R576" s="63" t="s">
        <v>1844</v>
      </c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34"/>
      <c r="B577" s="23" t="s">
        <v>1845</v>
      </c>
      <c r="C577" s="135" t="s">
        <v>1846</v>
      </c>
      <c r="D577" s="126"/>
      <c r="E577" s="48"/>
      <c r="F577" s="136"/>
      <c r="G577" s="48"/>
      <c r="H577" s="37"/>
      <c r="I577" s="37"/>
      <c r="J577" s="37"/>
      <c r="K577" s="38"/>
      <c r="L577" s="44" t="s">
        <v>409</v>
      </c>
      <c r="M577" s="40"/>
      <c r="N577" s="40"/>
      <c r="O577" s="40"/>
      <c r="P577" s="40"/>
      <c r="Q577" s="40"/>
      <c r="R577" s="12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2">
        <v>6243.0</v>
      </c>
      <c r="B578" s="23" t="s">
        <v>1847</v>
      </c>
      <c r="C578" s="129" t="s">
        <v>1848</v>
      </c>
      <c r="D578" s="125" t="s">
        <v>1849</v>
      </c>
      <c r="E578" s="26">
        <v>1.0</v>
      </c>
      <c r="F578" s="26">
        <v>0.0</v>
      </c>
      <c r="G578" s="26">
        <v>0.0</v>
      </c>
      <c r="H578" s="47"/>
      <c r="I578" s="47"/>
      <c r="J578" s="47"/>
      <c r="K578" s="28">
        <v>6.0</v>
      </c>
      <c r="L578" s="44" t="s">
        <v>60</v>
      </c>
      <c r="M578" s="30" t="s">
        <v>22</v>
      </c>
      <c r="N578" s="30"/>
      <c r="O578" s="30"/>
      <c r="P578" s="30"/>
      <c r="Q578" s="30"/>
      <c r="R578" s="63" t="s">
        <v>1850</v>
      </c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2">
        <v>1527.0</v>
      </c>
      <c r="B579" s="23" t="s">
        <v>1851</v>
      </c>
      <c r="C579" s="129" t="s">
        <v>1852</v>
      </c>
      <c r="D579" s="125" t="s">
        <v>1853</v>
      </c>
      <c r="E579" s="64">
        <v>7.0</v>
      </c>
      <c r="F579" s="26">
        <v>15.0</v>
      </c>
      <c r="G579" s="26">
        <v>3.0</v>
      </c>
      <c r="H579" s="47">
        <v>2.0</v>
      </c>
      <c r="I579" s="27">
        <v>0.0</v>
      </c>
      <c r="J579" s="27">
        <v>0.0</v>
      </c>
      <c r="K579" s="28">
        <v>0.0</v>
      </c>
      <c r="L579" s="29" t="s">
        <v>71</v>
      </c>
      <c r="M579" s="30" t="s">
        <v>22</v>
      </c>
      <c r="N579" s="30"/>
      <c r="O579" s="30"/>
      <c r="P579" s="30"/>
      <c r="Q579" s="30"/>
      <c r="R579" s="63" t="s">
        <v>1854</v>
      </c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22">
        <v>7322.0</v>
      </c>
      <c r="B580" s="23" t="s">
        <v>1855</v>
      </c>
      <c r="C580" s="129" t="s">
        <v>1856</v>
      </c>
      <c r="D580" s="125" t="s">
        <v>1857</v>
      </c>
      <c r="E580" s="26">
        <v>2.0</v>
      </c>
      <c r="F580" s="26">
        <v>2.0</v>
      </c>
      <c r="G580" s="26">
        <v>1.0</v>
      </c>
      <c r="H580" s="27">
        <v>2.0</v>
      </c>
      <c r="I580" s="27">
        <v>0.0</v>
      </c>
      <c r="J580" s="27">
        <v>0.0</v>
      </c>
      <c r="K580" s="28">
        <v>3.0</v>
      </c>
      <c r="L580" s="44" t="s">
        <v>120</v>
      </c>
      <c r="M580" s="30" t="s">
        <v>22</v>
      </c>
      <c r="N580" s="30"/>
      <c r="O580" s="30"/>
      <c r="P580" s="30"/>
      <c r="Q580" s="30"/>
      <c r="R580" s="63" t="s">
        <v>1858</v>
      </c>
      <c r="S580" s="13"/>
      <c r="T580" s="13"/>
      <c r="U580" s="13"/>
      <c r="V580" s="13"/>
      <c r="W580" s="13"/>
      <c r="X580" s="13"/>
      <c r="Y580" s="13"/>
      <c r="Z580" s="13"/>
    </row>
    <row r="581" ht="18.75" customHeight="1">
      <c r="A581" s="22">
        <v>6555.0</v>
      </c>
      <c r="B581" s="23" t="s">
        <v>1859</v>
      </c>
      <c r="C581" s="129" t="s">
        <v>1860</v>
      </c>
      <c r="D581" s="125" t="s">
        <v>1861</v>
      </c>
      <c r="E581" s="64">
        <v>49.0</v>
      </c>
      <c r="F581" s="26">
        <v>319.0</v>
      </c>
      <c r="G581" s="26">
        <v>13.0</v>
      </c>
      <c r="H581" s="47">
        <v>7.0</v>
      </c>
      <c r="I581" s="27">
        <v>6.0</v>
      </c>
      <c r="J581" s="27">
        <v>1.0</v>
      </c>
      <c r="K581" s="28">
        <v>154.0</v>
      </c>
      <c r="L581" s="29" t="s">
        <v>71</v>
      </c>
      <c r="M581" s="30" t="s">
        <v>22</v>
      </c>
      <c r="N581" s="30"/>
      <c r="O581" s="30"/>
      <c r="P581" s="30"/>
      <c r="Q581" s="30"/>
      <c r="R581" s="63" t="s">
        <v>1862</v>
      </c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22">
        <v>274.0</v>
      </c>
      <c r="B582" s="23" t="s">
        <v>1863</v>
      </c>
      <c r="C582" s="129" t="s">
        <v>1864</v>
      </c>
      <c r="D582" s="125" t="s">
        <v>1865</v>
      </c>
      <c r="E582" s="26">
        <v>2.0</v>
      </c>
      <c r="F582" s="26">
        <v>10.0</v>
      </c>
      <c r="G582" s="26">
        <v>2.0</v>
      </c>
      <c r="H582" s="27">
        <v>1.0</v>
      </c>
      <c r="I582" s="27">
        <v>2.0</v>
      </c>
      <c r="J582" s="27">
        <v>1.0</v>
      </c>
      <c r="K582" s="28">
        <v>11.0</v>
      </c>
      <c r="L582" s="29" t="s">
        <v>167</v>
      </c>
      <c r="M582" s="30" t="s">
        <v>22</v>
      </c>
      <c r="N582" s="30"/>
      <c r="O582" s="30"/>
      <c r="P582" s="30"/>
      <c r="Q582" s="30"/>
      <c r="R582" s="63" t="s">
        <v>1866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03">
        <v>526.0</v>
      </c>
      <c r="B583" s="23" t="s">
        <v>1867</v>
      </c>
      <c r="C583" s="129" t="s">
        <v>1868</v>
      </c>
      <c r="D583" s="125" t="s">
        <v>1869</v>
      </c>
      <c r="E583" s="64">
        <v>62.0</v>
      </c>
      <c r="F583" s="26">
        <v>77.0</v>
      </c>
      <c r="G583" s="26">
        <v>5.0</v>
      </c>
      <c r="H583" s="27">
        <v>15.0</v>
      </c>
      <c r="I583" s="27">
        <v>5.0</v>
      </c>
      <c r="J583" s="27">
        <v>2.0</v>
      </c>
      <c r="K583" s="58">
        <v>18.0</v>
      </c>
      <c r="L583" s="44" t="s">
        <v>51</v>
      </c>
      <c r="M583" s="59" t="s">
        <v>22</v>
      </c>
      <c r="N583" s="59"/>
      <c r="O583" s="59"/>
      <c r="P583" s="59"/>
      <c r="Q583" s="59"/>
      <c r="R583" s="63" t="s">
        <v>1870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22">
        <v>1676.0</v>
      </c>
      <c r="B584" s="23" t="s">
        <v>1871</v>
      </c>
      <c r="C584" s="129" t="s">
        <v>1872</v>
      </c>
      <c r="D584" s="125" t="s">
        <v>1873</v>
      </c>
      <c r="E584" s="26">
        <v>11.0</v>
      </c>
      <c r="F584" s="26">
        <v>40.0</v>
      </c>
      <c r="G584" s="26">
        <v>4.0</v>
      </c>
      <c r="H584" s="27">
        <v>3.0</v>
      </c>
      <c r="I584" s="27">
        <v>2.0</v>
      </c>
      <c r="J584" s="27">
        <v>1.0</v>
      </c>
      <c r="K584" s="28">
        <v>17.0</v>
      </c>
      <c r="L584" s="29" t="s">
        <v>356</v>
      </c>
      <c r="M584" s="30" t="s">
        <v>22</v>
      </c>
      <c r="N584" s="30"/>
      <c r="O584" s="30"/>
      <c r="P584" s="30"/>
      <c r="Q584" s="30"/>
      <c r="R584" s="63" t="s">
        <v>1874</v>
      </c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34">
        <v>6129.0</v>
      </c>
      <c r="B585" s="23" t="s">
        <v>1875</v>
      </c>
      <c r="C585" s="133" t="s">
        <v>1876</v>
      </c>
      <c r="D585" s="126" t="s">
        <v>1877</v>
      </c>
      <c r="E585" s="26">
        <v>53.0</v>
      </c>
      <c r="F585" s="26">
        <v>306.0</v>
      </c>
      <c r="G585" s="26">
        <v>8.0</v>
      </c>
      <c r="H585" s="37">
        <v>20.0</v>
      </c>
      <c r="I585" s="37">
        <v>39.0</v>
      </c>
      <c r="J585" s="37">
        <v>4.0</v>
      </c>
      <c r="K585" s="38">
        <v>12.0</v>
      </c>
      <c r="L585" s="39"/>
      <c r="M585" s="40" t="s">
        <v>22</v>
      </c>
      <c r="N585" s="40"/>
      <c r="O585" s="40"/>
      <c r="P585" s="40"/>
      <c r="Q585" s="40"/>
      <c r="R585" s="63" t="s">
        <v>1878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1615.0</v>
      </c>
      <c r="B586" s="23" t="s">
        <v>1879</v>
      </c>
      <c r="C586" s="129" t="s">
        <v>1880</v>
      </c>
      <c r="D586" s="125" t="s">
        <v>1881</v>
      </c>
      <c r="E586" s="64">
        <v>13.0</v>
      </c>
      <c r="F586" s="26">
        <v>22.0</v>
      </c>
      <c r="G586" s="26">
        <v>3.0</v>
      </c>
      <c r="H586" s="27">
        <v>4.0</v>
      </c>
      <c r="I586" s="27">
        <v>4.0</v>
      </c>
      <c r="J586" s="27">
        <v>1.0</v>
      </c>
      <c r="K586" s="28">
        <v>0.0</v>
      </c>
      <c r="L586" s="56"/>
      <c r="M586" s="30" t="s">
        <v>22</v>
      </c>
      <c r="N586" s="30"/>
      <c r="O586" s="30"/>
      <c r="P586" s="30"/>
      <c r="Q586" s="30"/>
      <c r="R586" s="63" t="s">
        <v>1882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2">
        <v>6013.0</v>
      </c>
      <c r="B587" s="23" t="s">
        <v>1883</v>
      </c>
      <c r="C587" s="129" t="s">
        <v>1884</v>
      </c>
      <c r="D587" s="123" t="s">
        <v>1885</v>
      </c>
      <c r="E587" s="57">
        <v>1.0</v>
      </c>
      <c r="F587" s="57">
        <v>1.0</v>
      </c>
      <c r="G587" s="57">
        <v>1.0</v>
      </c>
      <c r="H587" s="47"/>
      <c r="I587" s="47"/>
      <c r="J587" s="47"/>
      <c r="K587" s="28">
        <v>17.0</v>
      </c>
      <c r="L587" s="44" t="s">
        <v>41</v>
      </c>
      <c r="M587" s="30" t="s">
        <v>22</v>
      </c>
      <c r="N587" s="30"/>
      <c r="O587" s="30"/>
      <c r="P587" s="30"/>
      <c r="Q587" s="30"/>
      <c r="R587" s="12" t="s">
        <v>1886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1133.0</v>
      </c>
      <c r="B588" s="23" t="s">
        <v>1887</v>
      </c>
      <c r="C588" s="129" t="s">
        <v>1888</v>
      </c>
      <c r="D588" s="125" t="s">
        <v>1889</v>
      </c>
      <c r="E588" s="64">
        <v>35.0</v>
      </c>
      <c r="F588" s="26">
        <v>121.0</v>
      </c>
      <c r="G588" s="26">
        <v>7.0</v>
      </c>
      <c r="H588" s="27">
        <v>26.0</v>
      </c>
      <c r="I588" s="27">
        <v>50.0</v>
      </c>
      <c r="J588" s="27">
        <v>4.0</v>
      </c>
      <c r="K588" s="28">
        <v>10.0</v>
      </c>
      <c r="L588" s="44" t="s">
        <v>41</v>
      </c>
      <c r="M588" s="30" t="s">
        <v>22</v>
      </c>
      <c r="N588" s="30"/>
      <c r="O588" s="30"/>
      <c r="P588" s="30"/>
      <c r="Q588" s="30"/>
      <c r="R588" s="63" t="s">
        <v>1890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2">
        <v>850.0</v>
      </c>
      <c r="B589" s="23" t="s">
        <v>1891</v>
      </c>
      <c r="C589" s="129" t="s">
        <v>1892</v>
      </c>
      <c r="D589" s="118" t="s">
        <v>1893</v>
      </c>
      <c r="E589" s="57">
        <v>2.0</v>
      </c>
      <c r="F589" s="57">
        <v>0.0</v>
      </c>
      <c r="G589" s="57">
        <v>0.0</v>
      </c>
      <c r="H589" s="27">
        <v>1.0</v>
      </c>
      <c r="I589" s="27">
        <v>1.0</v>
      </c>
      <c r="J589" s="27">
        <v>1.0</v>
      </c>
      <c r="K589" s="28">
        <v>16.0</v>
      </c>
      <c r="L589" s="44" t="s">
        <v>186</v>
      </c>
      <c r="M589" s="30" t="s">
        <v>22</v>
      </c>
      <c r="N589" s="30"/>
      <c r="O589" s="30"/>
      <c r="P589" s="30"/>
      <c r="Q589" s="30"/>
      <c r="R589" s="13" t="s">
        <v>1894</v>
      </c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7825.0</v>
      </c>
      <c r="B590" s="23" t="s">
        <v>1895</v>
      </c>
      <c r="C590" s="102"/>
      <c r="D590" s="47"/>
      <c r="E590" s="50">
        <v>0.0</v>
      </c>
      <c r="F590" s="50">
        <v>0.0</v>
      </c>
      <c r="G590" s="50">
        <v>0.0</v>
      </c>
      <c r="H590" s="47">
        <v>0.0</v>
      </c>
      <c r="I590" s="47">
        <v>0.0</v>
      </c>
      <c r="J590" s="47">
        <v>0.0</v>
      </c>
      <c r="K590" s="28">
        <v>0.0</v>
      </c>
      <c r="L590" s="44" t="s">
        <v>137</v>
      </c>
      <c r="M590" s="30" t="s">
        <v>22</v>
      </c>
      <c r="N590" s="30"/>
      <c r="O590" s="30"/>
      <c r="P590" s="30"/>
      <c r="Q590" s="30"/>
      <c r="R590" s="12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22">
        <v>519.0</v>
      </c>
      <c r="B591" s="23" t="s">
        <v>1896</v>
      </c>
      <c r="C591" s="129" t="s">
        <v>1897</v>
      </c>
      <c r="D591" s="125" t="s">
        <v>1898</v>
      </c>
      <c r="E591" s="26">
        <v>5.0</v>
      </c>
      <c r="F591" s="26">
        <v>15.0</v>
      </c>
      <c r="G591" s="26">
        <v>2.0</v>
      </c>
      <c r="H591" s="27">
        <v>1.0</v>
      </c>
      <c r="I591" s="27">
        <v>1.0</v>
      </c>
      <c r="J591" s="27">
        <v>0.0</v>
      </c>
      <c r="K591" s="28">
        <v>17.0</v>
      </c>
      <c r="L591" s="29" t="s">
        <v>36</v>
      </c>
      <c r="M591" s="30" t="s">
        <v>22</v>
      </c>
      <c r="N591" s="30"/>
      <c r="O591" s="30"/>
      <c r="P591" s="30"/>
      <c r="Q591" s="30"/>
      <c r="R591" s="63" t="s">
        <v>1899</v>
      </c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34">
        <v>1665.0</v>
      </c>
      <c r="B592" s="49" t="s">
        <v>1900</v>
      </c>
      <c r="C592" s="133" t="s">
        <v>1901</v>
      </c>
      <c r="D592" s="126" t="s">
        <v>1902</v>
      </c>
      <c r="E592" s="26">
        <v>3.0</v>
      </c>
      <c r="F592" s="26">
        <v>0.0</v>
      </c>
      <c r="G592" s="26">
        <v>0.0</v>
      </c>
      <c r="H592" s="51"/>
      <c r="I592" s="51"/>
      <c r="J592" s="51"/>
      <c r="K592" s="38">
        <v>4.0</v>
      </c>
      <c r="L592" s="40"/>
      <c r="M592" s="40" t="s">
        <v>79</v>
      </c>
      <c r="N592" s="40"/>
      <c r="O592" s="40"/>
      <c r="P592" s="40"/>
      <c r="Q592" s="40"/>
      <c r="R592" s="77" t="s">
        <v>1903</v>
      </c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34">
        <v>3449.0</v>
      </c>
      <c r="B593" s="49" t="s">
        <v>1904</v>
      </c>
      <c r="C593" s="127"/>
      <c r="D593" s="51"/>
      <c r="E593" s="50"/>
      <c r="F593" s="50"/>
      <c r="G593" s="50"/>
      <c r="H593" s="51"/>
      <c r="I593" s="51"/>
      <c r="J593" s="51"/>
      <c r="K593" s="38">
        <v>1.0</v>
      </c>
      <c r="L593" s="40" t="s">
        <v>91</v>
      </c>
      <c r="M593" s="40" t="s">
        <v>79</v>
      </c>
      <c r="N593" s="40"/>
      <c r="O593" s="40"/>
      <c r="P593" s="40"/>
      <c r="Q593" s="40"/>
      <c r="R593" s="52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22">
        <v>343.0</v>
      </c>
      <c r="B594" s="23" t="s">
        <v>1905</v>
      </c>
      <c r="C594" s="129" t="s">
        <v>1906</v>
      </c>
      <c r="D594" s="125" t="s">
        <v>1907</v>
      </c>
      <c r="E594" s="26">
        <v>8.0</v>
      </c>
      <c r="F594" s="26">
        <v>7.0</v>
      </c>
      <c r="G594" s="26">
        <v>1.0</v>
      </c>
      <c r="H594" s="27">
        <v>4.0</v>
      </c>
      <c r="I594" s="27">
        <v>3.0</v>
      </c>
      <c r="J594" s="27">
        <v>1.0</v>
      </c>
      <c r="K594" s="28">
        <v>43.0</v>
      </c>
      <c r="L594" s="44" t="s">
        <v>218</v>
      </c>
      <c r="M594" s="30" t="s">
        <v>22</v>
      </c>
      <c r="N594" s="30"/>
      <c r="O594" s="30"/>
      <c r="P594" s="30"/>
      <c r="Q594" s="30"/>
      <c r="R594" s="63" t="s">
        <v>1908</v>
      </c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6031.0</v>
      </c>
      <c r="B595" s="23" t="s">
        <v>1909</v>
      </c>
      <c r="C595" s="102"/>
      <c r="D595" s="47"/>
      <c r="E595" s="88"/>
      <c r="F595" s="50"/>
      <c r="G595" s="50"/>
      <c r="H595" s="47"/>
      <c r="I595" s="47"/>
      <c r="J595" s="47"/>
      <c r="K595" s="28">
        <v>0.0</v>
      </c>
      <c r="L595" s="29" t="s">
        <v>36</v>
      </c>
      <c r="M595" s="30" t="s">
        <v>22</v>
      </c>
      <c r="N595" s="30"/>
      <c r="O595" s="30"/>
      <c r="P595" s="30"/>
      <c r="Q595" s="30"/>
      <c r="R595" s="12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2">
        <v>5495.0</v>
      </c>
      <c r="B596" s="23" t="s">
        <v>1910</v>
      </c>
      <c r="C596" s="129" t="s">
        <v>1911</v>
      </c>
      <c r="D596" s="125" t="s">
        <v>1912</v>
      </c>
      <c r="E596" s="26">
        <v>5.0</v>
      </c>
      <c r="F596" s="26">
        <v>29.0</v>
      </c>
      <c r="G596" s="26">
        <v>3.0</v>
      </c>
      <c r="H596" s="27">
        <v>2.0</v>
      </c>
      <c r="I596" s="27">
        <v>0.0</v>
      </c>
      <c r="J596" s="27">
        <v>0.0</v>
      </c>
      <c r="K596" s="28">
        <v>37.0</v>
      </c>
      <c r="L596" s="44" t="s">
        <v>64</v>
      </c>
      <c r="M596" s="30" t="s">
        <v>22</v>
      </c>
      <c r="N596" s="30"/>
      <c r="O596" s="30"/>
      <c r="P596" s="30"/>
      <c r="Q596" s="30"/>
      <c r="R596" s="63" t="s">
        <v>1913</v>
      </c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2">
        <v>4030.0</v>
      </c>
      <c r="B597" s="23" t="s">
        <v>1914</v>
      </c>
      <c r="C597" s="129" t="s">
        <v>1915</v>
      </c>
      <c r="D597" s="47"/>
      <c r="E597" s="50"/>
      <c r="F597" s="50"/>
      <c r="G597" s="50"/>
      <c r="H597" s="47"/>
      <c r="I597" s="47"/>
      <c r="J597" s="47"/>
      <c r="K597" s="28">
        <v>6.0</v>
      </c>
      <c r="L597" s="29" t="s">
        <v>167</v>
      </c>
      <c r="M597" s="30" t="s">
        <v>22</v>
      </c>
      <c r="N597" s="30"/>
      <c r="O597" s="30"/>
      <c r="P597" s="30"/>
      <c r="Q597" s="30"/>
      <c r="R597" s="12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2">
        <v>391.0</v>
      </c>
      <c r="B598" s="23" t="s">
        <v>1916</v>
      </c>
      <c r="C598" s="129" t="s">
        <v>1917</v>
      </c>
      <c r="D598" s="125" t="s">
        <v>1918</v>
      </c>
      <c r="E598" s="64">
        <v>12.0</v>
      </c>
      <c r="F598" s="26">
        <v>6.0</v>
      </c>
      <c r="G598" s="26">
        <v>1.0</v>
      </c>
      <c r="H598" s="27">
        <v>1.0</v>
      </c>
      <c r="I598" s="27">
        <v>0.0</v>
      </c>
      <c r="J598" s="27">
        <v>0.0</v>
      </c>
      <c r="K598" s="28">
        <v>6.0</v>
      </c>
      <c r="L598" s="39"/>
      <c r="M598" s="30" t="s">
        <v>22</v>
      </c>
      <c r="N598" s="30"/>
      <c r="O598" s="30"/>
      <c r="P598" s="30"/>
      <c r="Q598" s="30"/>
      <c r="R598" s="63" t="s">
        <v>1919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6645.0</v>
      </c>
      <c r="B599" s="23" t="s">
        <v>1920</v>
      </c>
      <c r="C599" s="129" t="s">
        <v>1921</v>
      </c>
      <c r="D599" s="137"/>
      <c r="E599" s="50"/>
      <c r="F599" s="50"/>
      <c r="G599" s="50"/>
      <c r="H599" s="27">
        <v>1.0</v>
      </c>
      <c r="I599" s="27">
        <v>0.0</v>
      </c>
      <c r="J599" s="27">
        <v>0.0</v>
      </c>
      <c r="K599" s="28">
        <v>0.0</v>
      </c>
      <c r="L599" s="44" t="s">
        <v>41</v>
      </c>
      <c r="M599" s="30" t="s">
        <v>22</v>
      </c>
      <c r="N599" s="30"/>
      <c r="O599" s="30"/>
      <c r="P599" s="30"/>
      <c r="Q599" s="30"/>
      <c r="R599" s="75" t="s">
        <v>1922</v>
      </c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1073.0</v>
      </c>
      <c r="B600" s="23" t="s">
        <v>1923</v>
      </c>
      <c r="C600" s="129" t="s">
        <v>1924</v>
      </c>
      <c r="D600" s="137"/>
      <c r="E600" s="50"/>
      <c r="F600" s="50"/>
      <c r="G600" s="50"/>
      <c r="H600" s="47"/>
      <c r="I600" s="47"/>
      <c r="J600" s="47"/>
      <c r="K600" s="28">
        <v>2.0</v>
      </c>
      <c r="L600" s="44" t="s">
        <v>41</v>
      </c>
      <c r="M600" s="30" t="s">
        <v>22</v>
      </c>
      <c r="N600" s="30"/>
      <c r="O600" s="30"/>
      <c r="P600" s="30"/>
      <c r="Q600" s="30"/>
      <c r="R600" s="12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257.0</v>
      </c>
      <c r="B601" s="23" t="s">
        <v>1925</v>
      </c>
      <c r="C601" s="129" t="s">
        <v>1926</v>
      </c>
      <c r="D601" s="125" t="s">
        <v>1927</v>
      </c>
      <c r="E601" s="26">
        <v>1.0</v>
      </c>
      <c r="F601" s="26">
        <v>0.0</v>
      </c>
      <c r="G601" s="26">
        <v>0.0</v>
      </c>
      <c r="H601" s="47"/>
      <c r="I601" s="47"/>
      <c r="J601" s="47"/>
      <c r="K601" s="28">
        <v>4.0</v>
      </c>
      <c r="L601" s="29"/>
      <c r="M601" s="30" t="s">
        <v>22</v>
      </c>
      <c r="N601" s="30"/>
      <c r="O601" s="30"/>
      <c r="P601" s="30"/>
      <c r="Q601" s="30"/>
      <c r="R601" s="63" t="s">
        <v>1928</v>
      </c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7899.0</v>
      </c>
      <c r="B602" s="23" t="s">
        <v>1929</v>
      </c>
      <c r="C602" s="102"/>
      <c r="D602" s="137"/>
      <c r="E602" s="50"/>
      <c r="F602" s="50"/>
      <c r="G602" s="50"/>
      <c r="H602" s="47"/>
      <c r="I602" s="47"/>
      <c r="J602" s="47"/>
      <c r="K602" s="28">
        <v>0.0</v>
      </c>
      <c r="L602" s="39" t="s">
        <v>91</v>
      </c>
      <c r="M602" s="30" t="s">
        <v>22</v>
      </c>
      <c r="N602" s="30"/>
      <c r="O602" s="30"/>
      <c r="P602" s="30"/>
      <c r="Q602" s="30"/>
      <c r="R602" s="12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5439.0</v>
      </c>
      <c r="B603" s="23" t="s">
        <v>1930</v>
      </c>
      <c r="C603" s="102"/>
      <c r="D603" s="137"/>
      <c r="E603" s="50"/>
      <c r="F603" s="50"/>
      <c r="G603" s="50"/>
      <c r="H603" s="47"/>
      <c r="I603" s="47"/>
      <c r="J603" s="47"/>
      <c r="K603" s="28">
        <v>0.0</v>
      </c>
      <c r="L603" s="29"/>
      <c r="M603" s="30" t="s">
        <v>22</v>
      </c>
      <c r="N603" s="30"/>
      <c r="O603" s="30"/>
      <c r="P603" s="30"/>
      <c r="Q603" s="30"/>
      <c r="R603" s="12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22">
        <v>1252.0</v>
      </c>
      <c r="B604" s="23" t="s">
        <v>1931</v>
      </c>
      <c r="C604" s="129" t="s">
        <v>1932</v>
      </c>
      <c r="D604" s="125" t="s">
        <v>1933</v>
      </c>
      <c r="E604" s="64">
        <v>49.0</v>
      </c>
      <c r="F604" s="26">
        <v>312.0</v>
      </c>
      <c r="G604" s="26">
        <v>13.0</v>
      </c>
      <c r="H604" s="27">
        <v>14.0</v>
      </c>
      <c r="I604" s="27">
        <v>17.0</v>
      </c>
      <c r="J604" s="27">
        <v>2.0</v>
      </c>
      <c r="K604" s="28">
        <v>1.0</v>
      </c>
      <c r="L604" s="44" t="s">
        <v>381</v>
      </c>
      <c r="M604" s="30" t="s">
        <v>22</v>
      </c>
      <c r="N604" s="30"/>
      <c r="O604" s="30"/>
      <c r="P604" s="30"/>
      <c r="Q604" s="30"/>
      <c r="R604" s="63" t="s">
        <v>1934</v>
      </c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34">
        <v>6171.0</v>
      </c>
      <c r="B605" s="49" t="s">
        <v>1935</v>
      </c>
      <c r="C605" s="127"/>
      <c r="D605" s="126" t="s">
        <v>1936</v>
      </c>
      <c r="E605" s="26">
        <v>2.0</v>
      </c>
      <c r="F605" s="26">
        <v>33.0</v>
      </c>
      <c r="G605" s="26">
        <v>2.0</v>
      </c>
      <c r="H605" s="51"/>
      <c r="I605" s="37"/>
      <c r="J605" s="37"/>
      <c r="K605" s="38">
        <v>2.0</v>
      </c>
      <c r="L605" s="40"/>
      <c r="M605" s="40" t="s">
        <v>79</v>
      </c>
      <c r="N605" s="40"/>
      <c r="O605" s="40"/>
      <c r="P605" s="40"/>
      <c r="Q605" s="40"/>
      <c r="R605" s="77" t="s">
        <v>1937</v>
      </c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22">
        <v>571.0</v>
      </c>
      <c r="B606" s="23" t="s">
        <v>1938</v>
      </c>
      <c r="C606" s="102"/>
      <c r="D606" s="138" t="s">
        <v>1939</v>
      </c>
      <c r="E606" s="26">
        <v>2.0</v>
      </c>
      <c r="F606" s="26">
        <v>0.0</v>
      </c>
      <c r="G606" s="26">
        <v>0.0</v>
      </c>
      <c r="H606" s="47"/>
      <c r="I606" s="47"/>
      <c r="J606" s="47"/>
      <c r="K606" s="28">
        <v>3.0</v>
      </c>
      <c r="L606" s="44" t="s">
        <v>108</v>
      </c>
      <c r="M606" s="30" t="s">
        <v>22</v>
      </c>
      <c r="N606" s="30"/>
      <c r="O606" s="30"/>
      <c r="P606" s="30"/>
      <c r="Q606" s="30"/>
      <c r="R606" s="63" t="s">
        <v>1940</v>
      </c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7885.0</v>
      </c>
      <c r="B607" s="23" t="s">
        <v>1941</v>
      </c>
      <c r="C607" s="129" t="s">
        <v>1942</v>
      </c>
      <c r="D607" s="139"/>
      <c r="E607" s="50"/>
      <c r="F607" s="50"/>
      <c r="G607" s="50"/>
      <c r="H607" s="47"/>
      <c r="I607" s="47"/>
      <c r="J607" s="47"/>
      <c r="K607" s="28">
        <v>0.0</v>
      </c>
      <c r="L607" s="44" t="s">
        <v>218</v>
      </c>
      <c r="M607" s="30" t="s">
        <v>22</v>
      </c>
      <c r="N607" s="30"/>
      <c r="O607" s="30"/>
      <c r="P607" s="30"/>
      <c r="Q607" s="30"/>
      <c r="R607" s="12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7276.0</v>
      </c>
      <c r="B608" s="23" t="s">
        <v>1943</v>
      </c>
      <c r="C608" s="102"/>
      <c r="D608" s="139"/>
      <c r="E608" s="50"/>
      <c r="F608" s="50"/>
      <c r="G608" s="50"/>
      <c r="H608" s="47"/>
      <c r="I608" s="47"/>
      <c r="J608" s="47"/>
      <c r="K608" s="28">
        <v>0.0</v>
      </c>
      <c r="L608" s="29"/>
      <c r="M608" s="30" t="s">
        <v>22</v>
      </c>
      <c r="N608" s="30"/>
      <c r="O608" s="30"/>
      <c r="P608" s="30"/>
      <c r="Q608" s="30"/>
      <c r="R608" s="12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2">
        <v>4802.0</v>
      </c>
      <c r="B609" s="23" t="s">
        <v>1944</v>
      </c>
      <c r="C609" s="129" t="s">
        <v>1945</v>
      </c>
      <c r="D609" s="125" t="s">
        <v>1946</v>
      </c>
      <c r="E609" s="26">
        <v>4.0</v>
      </c>
      <c r="F609" s="26">
        <v>4.0</v>
      </c>
      <c r="G609" s="26">
        <v>1.0</v>
      </c>
      <c r="H609" s="27">
        <v>2.0</v>
      </c>
      <c r="I609" s="27">
        <v>1.0</v>
      </c>
      <c r="J609" s="27">
        <v>1.0</v>
      </c>
      <c r="K609" s="28">
        <v>1.0</v>
      </c>
      <c r="L609" s="44" t="s">
        <v>60</v>
      </c>
      <c r="M609" s="30" t="s">
        <v>22</v>
      </c>
      <c r="N609" s="30"/>
      <c r="O609" s="30"/>
      <c r="P609" s="30"/>
      <c r="Q609" s="30"/>
      <c r="R609" s="63" t="s">
        <v>1947</v>
      </c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2">
        <v>2585.0</v>
      </c>
      <c r="B610" s="23" t="s">
        <v>1948</v>
      </c>
      <c r="C610" s="102"/>
      <c r="D610" s="125" t="s">
        <v>1949</v>
      </c>
      <c r="E610" s="26">
        <v>3.0</v>
      </c>
      <c r="F610" s="26">
        <v>4.0</v>
      </c>
      <c r="G610" s="26">
        <v>1.0</v>
      </c>
      <c r="H610" s="47"/>
      <c r="I610" s="47"/>
      <c r="J610" s="47"/>
      <c r="K610" s="28">
        <v>5.0</v>
      </c>
      <c r="L610" s="29" t="s">
        <v>36</v>
      </c>
      <c r="M610" s="30" t="s">
        <v>22</v>
      </c>
      <c r="N610" s="30"/>
      <c r="O610" s="30"/>
      <c r="P610" s="30"/>
      <c r="Q610" s="30"/>
      <c r="R610" s="63" t="s">
        <v>1950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6649.0</v>
      </c>
      <c r="B611" s="23" t="s">
        <v>1951</v>
      </c>
      <c r="C611" s="24" t="s">
        <v>1952</v>
      </c>
      <c r="D611" s="125" t="s">
        <v>1953</v>
      </c>
      <c r="E611" s="26">
        <v>13.0</v>
      </c>
      <c r="F611" s="26">
        <v>46.0</v>
      </c>
      <c r="G611" s="26">
        <v>5.0</v>
      </c>
      <c r="H611" s="27">
        <v>3.0</v>
      </c>
      <c r="I611" s="27">
        <v>2.0</v>
      </c>
      <c r="J611" s="27">
        <v>1.0</v>
      </c>
      <c r="K611" s="28">
        <v>37.0</v>
      </c>
      <c r="L611" s="29" t="s">
        <v>21</v>
      </c>
      <c r="M611" s="30" t="s">
        <v>22</v>
      </c>
      <c r="N611" s="30"/>
      <c r="O611" s="30"/>
      <c r="P611" s="30"/>
      <c r="Q611" s="30"/>
      <c r="R611" s="63" t="s">
        <v>1954</v>
      </c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22">
        <v>76.0</v>
      </c>
      <c r="B612" s="23" t="s">
        <v>1955</v>
      </c>
      <c r="C612" s="24" t="s">
        <v>1956</v>
      </c>
      <c r="D612" s="139"/>
      <c r="E612" s="50"/>
      <c r="F612" s="50"/>
      <c r="G612" s="50"/>
      <c r="H612" s="47"/>
      <c r="I612" s="47"/>
      <c r="J612" s="47"/>
      <c r="K612" s="28">
        <v>1.0</v>
      </c>
      <c r="L612" s="44" t="s">
        <v>272</v>
      </c>
      <c r="M612" s="30" t="s">
        <v>22</v>
      </c>
      <c r="N612" s="30"/>
      <c r="O612" s="30"/>
      <c r="P612" s="30"/>
      <c r="Q612" s="30"/>
      <c r="R612" s="12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22">
        <v>389.0</v>
      </c>
      <c r="B613" s="23" t="s">
        <v>1957</v>
      </c>
      <c r="C613" s="24" t="s">
        <v>1958</v>
      </c>
      <c r="D613" s="125" t="s">
        <v>1959</v>
      </c>
      <c r="E613" s="26">
        <v>51.0</v>
      </c>
      <c r="F613" s="26">
        <v>150.0</v>
      </c>
      <c r="G613" s="26">
        <v>7.0</v>
      </c>
      <c r="H613" s="27">
        <v>19.0</v>
      </c>
      <c r="I613" s="27">
        <v>12.0</v>
      </c>
      <c r="J613" s="27">
        <v>2.0</v>
      </c>
      <c r="K613" s="28">
        <v>214.0</v>
      </c>
      <c r="L613" s="29" t="s">
        <v>21</v>
      </c>
      <c r="M613" s="30" t="s">
        <v>22</v>
      </c>
      <c r="N613" s="30"/>
      <c r="O613" s="30"/>
      <c r="P613" s="30"/>
      <c r="Q613" s="30"/>
      <c r="R613" s="63" t="s">
        <v>1960</v>
      </c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5559.0</v>
      </c>
      <c r="B614" s="23" t="s">
        <v>1961</v>
      </c>
      <c r="C614" s="102"/>
      <c r="D614" s="139"/>
      <c r="E614" s="50"/>
      <c r="F614" s="50"/>
      <c r="G614" s="50"/>
      <c r="H614" s="47"/>
      <c r="I614" s="47"/>
      <c r="J614" s="47"/>
      <c r="K614" s="28">
        <v>0.0</v>
      </c>
      <c r="L614" s="39" t="s">
        <v>91</v>
      </c>
      <c r="M614" s="30" t="s">
        <v>22</v>
      </c>
      <c r="N614" s="30"/>
      <c r="O614" s="30"/>
      <c r="P614" s="30"/>
      <c r="Q614" s="30"/>
      <c r="R614" s="12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22">
        <v>4878.0</v>
      </c>
      <c r="B615" s="23" t="s">
        <v>1962</v>
      </c>
      <c r="C615" s="24" t="s">
        <v>1963</v>
      </c>
      <c r="D615" s="139"/>
      <c r="E615" s="50"/>
      <c r="F615" s="50"/>
      <c r="G615" s="50"/>
      <c r="H615" s="47"/>
      <c r="I615" s="47"/>
      <c r="J615" s="47"/>
      <c r="K615" s="28">
        <v>1.0</v>
      </c>
      <c r="L615" s="39" t="s">
        <v>116</v>
      </c>
      <c r="M615" s="30" t="s">
        <v>22</v>
      </c>
      <c r="N615" s="30"/>
      <c r="O615" s="30"/>
      <c r="P615" s="30"/>
      <c r="Q615" s="30"/>
      <c r="R615" s="12" t="s">
        <v>1964</v>
      </c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34">
        <v>3231.0</v>
      </c>
      <c r="B616" s="49" t="s">
        <v>1965</v>
      </c>
      <c r="C616" s="35" t="s">
        <v>1966</v>
      </c>
      <c r="D616" s="126" t="s">
        <v>1967</v>
      </c>
      <c r="E616" s="26">
        <v>5.0</v>
      </c>
      <c r="F616" s="26">
        <v>0.0</v>
      </c>
      <c r="G616" s="26">
        <v>0.0</v>
      </c>
      <c r="H616" s="37">
        <v>1.0</v>
      </c>
      <c r="I616" s="37">
        <v>0.0</v>
      </c>
      <c r="J616" s="37">
        <v>0.0</v>
      </c>
      <c r="K616" s="38">
        <v>41.0</v>
      </c>
      <c r="L616" s="40"/>
      <c r="M616" s="40" t="s">
        <v>79</v>
      </c>
      <c r="N616" s="40"/>
      <c r="O616" s="40"/>
      <c r="P616" s="40"/>
      <c r="Q616" s="40"/>
      <c r="R616" s="77" t="s">
        <v>1968</v>
      </c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22">
        <v>118.0</v>
      </c>
      <c r="B617" s="23" t="s">
        <v>1969</v>
      </c>
      <c r="C617" s="102"/>
      <c r="D617" s="139"/>
      <c r="E617" s="50"/>
      <c r="F617" s="50"/>
      <c r="G617" s="50"/>
      <c r="H617" s="47"/>
      <c r="I617" s="47"/>
      <c r="J617" s="47"/>
      <c r="K617" s="28">
        <v>0.0</v>
      </c>
      <c r="L617" s="39" t="s">
        <v>91</v>
      </c>
      <c r="M617" s="30" t="s">
        <v>22</v>
      </c>
      <c r="N617" s="30"/>
      <c r="O617" s="30"/>
      <c r="P617" s="30"/>
      <c r="Q617" s="30"/>
      <c r="R617" s="12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573.0</v>
      </c>
      <c r="B618" s="23" t="s">
        <v>1970</v>
      </c>
      <c r="C618" s="24" t="s">
        <v>1971</v>
      </c>
      <c r="D618" s="139"/>
      <c r="E618" s="50"/>
      <c r="F618" s="50"/>
      <c r="G618" s="50"/>
      <c r="H618" s="47"/>
      <c r="I618" s="47"/>
      <c r="J618" s="47"/>
      <c r="K618" s="28">
        <v>0.0</v>
      </c>
      <c r="L618" s="39"/>
      <c r="M618" s="30" t="s">
        <v>22</v>
      </c>
      <c r="N618" s="30"/>
      <c r="O618" s="30"/>
      <c r="P618" s="30"/>
      <c r="Q618" s="30"/>
      <c r="R618" s="12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4345.0</v>
      </c>
      <c r="B619" s="23" t="s">
        <v>1972</v>
      </c>
      <c r="C619" s="24" t="s">
        <v>1973</v>
      </c>
      <c r="D619" s="125" t="s">
        <v>1974</v>
      </c>
      <c r="E619" s="26">
        <v>5.0</v>
      </c>
      <c r="F619" s="26">
        <v>9.0</v>
      </c>
      <c r="G619" s="26">
        <v>2.0</v>
      </c>
      <c r="H619" s="47"/>
      <c r="I619" s="47"/>
      <c r="J619" s="47"/>
      <c r="K619" s="28">
        <v>24.0</v>
      </c>
      <c r="L619" s="44" t="s">
        <v>51</v>
      </c>
      <c r="M619" s="30" t="s">
        <v>22</v>
      </c>
      <c r="N619" s="30"/>
      <c r="O619" s="30"/>
      <c r="P619" s="30"/>
      <c r="Q619" s="30"/>
      <c r="R619" s="63" t="s">
        <v>1975</v>
      </c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2">
        <v>1788.0</v>
      </c>
      <c r="B620" s="23" t="s">
        <v>1976</v>
      </c>
      <c r="C620" s="24" t="s">
        <v>1977</v>
      </c>
      <c r="D620" s="139"/>
      <c r="E620" s="50"/>
      <c r="F620" s="50"/>
      <c r="G620" s="50"/>
      <c r="H620" s="47"/>
      <c r="I620" s="47"/>
      <c r="J620" s="47"/>
      <c r="K620" s="28">
        <v>0.0</v>
      </c>
      <c r="L620" s="39" t="s">
        <v>91</v>
      </c>
      <c r="M620" s="30" t="s">
        <v>22</v>
      </c>
      <c r="N620" s="30"/>
      <c r="O620" s="30"/>
      <c r="P620" s="30"/>
      <c r="Q620" s="30"/>
      <c r="R620" s="12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2">
        <v>861.0</v>
      </c>
      <c r="B621" s="23" t="s">
        <v>1978</v>
      </c>
      <c r="C621" s="24" t="s">
        <v>1979</v>
      </c>
      <c r="D621" s="139"/>
      <c r="E621" s="50"/>
      <c r="F621" s="50"/>
      <c r="G621" s="50"/>
      <c r="H621" s="47"/>
      <c r="I621" s="47"/>
      <c r="J621" s="47"/>
      <c r="K621" s="28">
        <v>0.0</v>
      </c>
      <c r="L621" s="44" t="s">
        <v>428</v>
      </c>
      <c r="M621" s="30" t="s">
        <v>22</v>
      </c>
      <c r="N621" s="30"/>
      <c r="O621" s="30"/>
      <c r="P621" s="30"/>
      <c r="Q621" s="30"/>
      <c r="R621" s="12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7640.0</v>
      </c>
      <c r="B622" s="23" t="s">
        <v>1980</v>
      </c>
      <c r="C622" s="102"/>
      <c r="D622" s="139"/>
      <c r="E622" s="50"/>
      <c r="F622" s="50"/>
      <c r="G622" s="50"/>
      <c r="H622" s="47"/>
      <c r="I622" s="47"/>
      <c r="J622" s="47"/>
      <c r="K622" s="28">
        <v>0.0</v>
      </c>
      <c r="L622" s="44" t="s">
        <v>218</v>
      </c>
      <c r="M622" s="30" t="s">
        <v>22</v>
      </c>
      <c r="N622" s="30"/>
      <c r="O622" s="30"/>
      <c r="P622" s="30"/>
      <c r="Q622" s="30"/>
      <c r="R622" s="12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22">
        <v>4313.0</v>
      </c>
      <c r="B623" s="23" t="s">
        <v>1981</v>
      </c>
      <c r="C623" s="24" t="s">
        <v>1982</v>
      </c>
      <c r="D623" s="139"/>
      <c r="E623" s="50"/>
      <c r="F623" s="50"/>
      <c r="G623" s="50"/>
      <c r="H623" s="47"/>
      <c r="I623" s="47"/>
      <c r="J623" s="47"/>
      <c r="K623" s="28">
        <v>0.0</v>
      </c>
      <c r="L623" s="29" t="s">
        <v>356</v>
      </c>
      <c r="M623" s="30" t="s">
        <v>22</v>
      </c>
      <c r="N623" s="30"/>
      <c r="O623" s="30"/>
      <c r="P623" s="30"/>
      <c r="Q623" s="30"/>
      <c r="R623" s="13" t="s">
        <v>1983</v>
      </c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34">
        <v>472.0</v>
      </c>
      <c r="B624" s="49" t="s">
        <v>1984</v>
      </c>
      <c r="C624" s="127"/>
      <c r="D624" s="140"/>
      <c r="E624" s="50"/>
      <c r="F624" s="50"/>
      <c r="G624" s="50"/>
      <c r="H624" s="51"/>
      <c r="I624" s="51"/>
      <c r="J624" s="51"/>
      <c r="K624" s="38">
        <v>0.0</v>
      </c>
      <c r="L624" s="40"/>
      <c r="M624" s="40" t="s">
        <v>79</v>
      </c>
      <c r="N624" s="40"/>
      <c r="O624" s="40"/>
      <c r="P624" s="40"/>
      <c r="Q624" s="40"/>
      <c r="R624" s="52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22">
        <v>2329.0</v>
      </c>
      <c r="B625" s="23" t="s">
        <v>1985</v>
      </c>
      <c r="C625" s="24" t="s">
        <v>1986</v>
      </c>
      <c r="D625" s="120" t="s">
        <v>1987</v>
      </c>
      <c r="E625" s="26">
        <v>6.0</v>
      </c>
      <c r="F625" s="26">
        <v>3.0</v>
      </c>
      <c r="G625" s="26">
        <v>1.0</v>
      </c>
      <c r="H625" s="27">
        <v>8.0</v>
      </c>
      <c r="I625" s="27">
        <v>3.0</v>
      </c>
      <c r="J625" s="27">
        <v>1.0</v>
      </c>
      <c r="K625" s="28">
        <v>2.0</v>
      </c>
      <c r="L625" s="44" t="s">
        <v>428</v>
      </c>
      <c r="M625" s="30" t="s">
        <v>22</v>
      </c>
      <c r="N625" s="30"/>
      <c r="O625" s="30"/>
      <c r="P625" s="30"/>
      <c r="Q625" s="30"/>
      <c r="R625" s="63" t="s">
        <v>1988</v>
      </c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6112.0</v>
      </c>
      <c r="B626" s="23" t="s">
        <v>1989</v>
      </c>
      <c r="C626" s="102"/>
      <c r="D626" s="139"/>
      <c r="E626" s="50"/>
      <c r="F626" s="50"/>
      <c r="G626" s="50"/>
      <c r="H626" s="47"/>
      <c r="I626" s="47"/>
      <c r="J626" s="47"/>
      <c r="K626" s="28">
        <v>0.0</v>
      </c>
      <c r="L626" s="39" t="s">
        <v>78</v>
      </c>
      <c r="M626" s="30" t="s">
        <v>22</v>
      </c>
      <c r="N626" s="30"/>
      <c r="O626" s="30"/>
      <c r="P626" s="30"/>
      <c r="Q626" s="30"/>
      <c r="R626" s="12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22">
        <v>67.0</v>
      </c>
      <c r="B627" s="23" t="s">
        <v>1990</v>
      </c>
      <c r="C627" s="24" t="s">
        <v>1991</v>
      </c>
      <c r="D627" s="139"/>
      <c r="E627" s="50"/>
      <c r="F627" s="50"/>
      <c r="G627" s="50"/>
      <c r="H627" s="47"/>
      <c r="I627" s="47"/>
      <c r="J627" s="47"/>
      <c r="K627" s="28">
        <v>1.0</v>
      </c>
      <c r="L627" s="39" t="s">
        <v>91</v>
      </c>
      <c r="M627" s="30" t="s">
        <v>22</v>
      </c>
      <c r="N627" s="30"/>
      <c r="O627" s="30"/>
      <c r="P627" s="30"/>
      <c r="Q627" s="30"/>
      <c r="R627" s="12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34">
        <v>6168.0</v>
      </c>
      <c r="B628" s="23" t="s">
        <v>1992</v>
      </c>
      <c r="C628" s="35" t="s">
        <v>1993</v>
      </c>
      <c r="D628" s="141" t="s">
        <v>1994</v>
      </c>
      <c r="E628" s="57">
        <v>56.0</v>
      </c>
      <c r="F628" s="57">
        <v>56.0</v>
      </c>
      <c r="G628" s="57">
        <v>3.0</v>
      </c>
      <c r="H628" s="51">
        <v>11.0</v>
      </c>
      <c r="I628" s="51">
        <v>6.0</v>
      </c>
      <c r="J628" s="51">
        <v>2.0</v>
      </c>
      <c r="K628" s="38">
        <v>0.0</v>
      </c>
      <c r="L628" s="39"/>
      <c r="M628" s="40" t="s">
        <v>22</v>
      </c>
      <c r="N628" s="40"/>
      <c r="O628" s="40"/>
      <c r="P628" s="40"/>
      <c r="Q628" s="40"/>
      <c r="R628" s="63" t="s">
        <v>1995</v>
      </c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22">
        <v>420.0</v>
      </c>
      <c r="B629" s="23" t="s">
        <v>1996</v>
      </c>
      <c r="C629" s="24" t="s">
        <v>1997</v>
      </c>
      <c r="D629" s="142" t="s">
        <v>1998</v>
      </c>
      <c r="E629" s="26">
        <v>17.0</v>
      </c>
      <c r="F629" s="26">
        <v>17.0</v>
      </c>
      <c r="G629" s="26">
        <v>2.0</v>
      </c>
      <c r="H629" s="27">
        <v>5.0</v>
      </c>
      <c r="I629" s="27">
        <v>1.0</v>
      </c>
      <c r="J629" s="27">
        <v>1.0</v>
      </c>
      <c r="K629" s="28">
        <v>23.0</v>
      </c>
      <c r="L629" s="44" t="s">
        <v>137</v>
      </c>
      <c r="M629" s="30" t="s">
        <v>22</v>
      </c>
      <c r="N629" s="30"/>
      <c r="O629" s="30"/>
      <c r="P629" s="30"/>
      <c r="Q629" s="30"/>
      <c r="R629" s="63" t="s">
        <v>1999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34">
        <v>290.0</v>
      </c>
      <c r="B630" s="23" t="s">
        <v>2000</v>
      </c>
      <c r="C630" s="35" t="s">
        <v>2001</v>
      </c>
      <c r="D630" s="143" t="s">
        <v>2002</v>
      </c>
      <c r="E630" s="26">
        <v>2.0</v>
      </c>
      <c r="F630" s="26">
        <v>1.0</v>
      </c>
      <c r="G630" s="26">
        <v>1.0</v>
      </c>
      <c r="H630" s="37">
        <v>2.0</v>
      </c>
      <c r="I630" s="37">
        <v>1.0</v>
      </c>
      <c r="J630" s="37">
        <v>1.0</v>
      </c>
      <c r="K630" s="38">
        <v>2.0</v>
      </c>
      <c r="L630" s="44" t="s">
        <v>137</v>
      </c>
      <c r="M630" s="40" t="s">
        <v>22</v>
      </c>
      <c r="N630" s="40"/>
      <c r="O630" s="40"/>
      <c r="P630" s="40"/>
      <c r="Q630" s="40"/>
      <c r="R630" s="13" t="s">
        <v>2003</v>
      </c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03">
        <v>3849.0</v>
      </c>
      <c r="B631" s="23" t="s">
        <v>2004</v>
      </c>
      <c r="C631" s="24" t="s">
        <v>2005</v>
      </c>
      <c r="D631" s="142" t="s">
        <v>2006</v>
      </c>
      <c r="E631" s="26">
        <v>25.0</v>
      </c>
      <c r="F631" s="26">
        <v>46.0</v>
      </c>
      <c r="G631" s="26">
        <v>5.0</v>
      </c>
      <c r="H631" s="27">
        <v>11.0</v>
      </c>
      <c r="I631" s="27">
        <v>8.0</v>
      </c>
      <c r="J631" s="27">
        <v>2.0</v>
      </c>
      <c r="K631" s="28">
        <v>10.0</v>
      </c>
      <c r="L631" s="44" t="s">
        <v>60</v>
      </c>
      <c r="M631" s="30" t="s">
        <v>22</v>
      </c>
      <c r="N631" s="30"/>
      <c r="O631" s="30"/>
      <c r="P631" s="30"/>
      <c r="Q631" s="30"/>
      <c r="R631" s="63" t="s">
        <v>2007</v>
      </c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2">
        <v>1128.0</v>
      </c>
      <c r="B632" s="23" t="s">
        <v>2008</v>
      </c>
      <c r="C632" s="24" t="s">
        <v>2009</v>
      </c>
      <c r="D632" s="142" t="s">
        <v>2010</v>
      </c>
      <c r="E632" s="26">
        <v>5.0</v>
      </c>
      <c r="F632" s="26">
        <v>0.0</v>
      </c>
      <c r="G632" s="26">
        <v>0.0</v>
      </c>
      <c r="H632" s="47"/>
      <c r="I632" s="47"/>
      <c r="J632" s="47"/>
      <c r="K632" s="28">
        <v>25.0</v>
      </c>
      <c r="L632" s="39"/>
      <c r="M632" s="30" t="s">
        <v>22</v>
      </c>
      <c r="N632" s="30"/>
      <c r="O632" s="30"/>
      <c r="P632" s="30"/>
      <c r="Q632" s="30"/>
      <c r="R632" s="63" t="s">
        <v>2011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395.0</v>
      </c>
      <c r="B633" s="23" t="s">
        <v>2012</v>
      </c>
      <c r="C633" s="102"/>
      <c r="D633" s="137"/>
      <c r="E633" s="50">
        <v>1.0</v>
      </c>
      <c r="F633" s="50">
        <v>8.0</v>
      </c>
      <c r="G633" s="50">
        <v>1.0</v>
      </c>
      <c r="H633" s="47"/>
      <c r="I633" s="47"/>
      <c r="J633" s="47"/>
      <c r="K633" s="28">
        <v>4.0</v>
      </c>
      <c r="L633" s="29" t="s">
        <v>167</v>
      </c>
      <c r="M633" s="30" t="s">
        <v>22</v>
      </c>
      <c r="N633" s="30"/>
      <c r="O633" s="30"/>
      <c r="P633" s="30"/>
      <c r="Q633" s="30"/>
      <c r="R633" s="63" t="s">
        <v>2013</v>
      </c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2">
        <v>1156.0</v>
      </c>
      <c r="B634" s="23" t="s">
        <v>2014</v>
      </c>
      <c r="C634" s="24" t="s">
        <v>2015</v>
      </c>
      <c r="D634" s="137"/>
      <c r="E634" s="50"/>
      <c r="F634" s="50"/>
      <c r="G634" s="50"/>
      <c r="H634" s="47"/>
      <c r="I634" s="47"/>
      <c r="J634" s="47"/>
      <c r="K634" s="28">
        <v>16.0</v>
      </c>
      <c r="L634" s="44" t="s">
        <v>60</v>
      </c>
      <c r="M634" s="30" t="s">
        <v>22</v>
      </c>
      <c r="N634" s="30"/>
      <c r="O634" s="30"/>
      <c r="P634" s="30"/>
      <c r="Q634" s="30"/>
      <c r="R634" s="12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2">
        <v>7660.0</v>
      </c>
      <c r="B635" s="23" t="s">
        <v>2016</v>
      </c>
      <c r="C635" s="102"/>
      <c r="D635" s="137"/>
      <c r="E635" s="50"/>
      <c r="F635" s="50"/>
      <c r="G635" s="50"/>
      <c r="H635" s="47"/>
      <c r="I635" s="47"/>
      <c r="J635" s="47"/>
      <c r="K635" s="28">
        <v>0.0</v>
      </c>
      <c r="L635" s="29"/>
      <c r="M635" s="30" t="s">
        <v>22</v>
      </c>
      <c r="N635" s="30"/>
      <c r="O635" s="30"/>
      <c r="P635" s="30"/>
      <c r="Q635" s="30"/>
      <c r="R635" s="12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842.0</v>
      </c>
      <c r="B636" s="23" t="s">
        <v>2017</v>
      </c>
      <c r="C636" s="24" t="s">
        <v>2018</v>
      </c>
      <c r="D636" s="137"/>
      <c r="E636" s="50"/>
      <c r="F636" s="50"/>
      <c r="G636" s="50"/>
      <c r="H636" s="47"/>
      <c r="I636" s="47"/>
      <c r="J636" s="47"/>
      <c r="K636" s="28">
        <v>45.0</v>
      </c>
      <c r="L636" s="29"/>
      <c r="M636" s="30" t="s">
        <v>22</v>
      </c>
      <c r="N636" s="30"/>
      <c r="O636" s="30"/>
      <c r="P636" s="30"/>
      <c r="Q636" s="30"/>
      <c r="R636" s="12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4013.0</v>
      </c>
      <c r="B637" s="23" t="s">
        <v>2019</v>
      </c>
      <c r="C637" s="24" t="s">
        <v>2020</v>
      </c>
      <c r="D637" s="118" t="s">
        <v>2021</v>
      </c>
      <c r="E637" s="57">
        <v>5.0</v>
      </c>
      <c r="F637" s="57">
        <v>8.0</v>
      </c>
      <c r="G637" s="57">
        <v>1.0</v>
      </c>
      <c r="H637" s="47">
        <v>1.0</v>
      </c>
      <c r="I637" s="47">
        <v>0.0</v>
      </c>
      <c r="J637" s="47">
        <v>0.0</v>
      </c>
      <c r="K637" s="28">
        <v>0.0</v>
      </c>
      <c r="L637" s="44" t="s">
        <v>41</v>
      </c>
      <c r="M637" s="30" t="s">
        <v>22</v>
      </c>
      <c r="N637" s="30"/>
      <c r="O637" s="30"/>
      <c r="P637" s="30"/>
      <c r="Q637" s="30"/>
      <c r="R637" s="63" t="s">
        <v>2022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6618.0</v>
      </c>
      <c r="B638" s="23" t="s">
        <v>2023</v>
      </c>
      <c r="C638" s="24" t="s">
        <v>2024</v>
      </c>
      <c r="D638" s="142" t="s">
        <v>2025</v>
      </c>
      <c r="E638" s="64">
        <v>7.0</v>
      </c>
      <c r="F638" s="26">
        <v>4.0</v>
      </c>
      <c r="G638" s="26">
        <v>1.0</v>
      </c>
      <c r="H638" s="27">
        <v>4.0</v>
      </c>
      <c r="I638" s="27">
        <v>1.0</v>
      </c>
      <c r="J638" s="27">
        <v>1.0</v>
      </c>
      <c r="K638" s="28">
        <v>12.0</v>
      </c>
      <c r="L638" s="44" t="s">
        <v>144</v>
      </c>
      <c r="M638" s="30" t="s">
        <v>22</v>
      </c>
      <c r="N638" s="30"/>
      <c r="O638" s="30"/>
      <c r="P638" s="30"/>
      <c r="Q638" s="30"/>
      <c r="R638" s="63" t="s">
        <v>2026</v>
      </c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7896.0</v>
      </c>
      <c r="B639" s="23" t="s">
        <v>2027</v>
      </c>
      <c r="C639" s="102"/>
      <c r="D639" s="118" t="s">
        <v>2028</v>
      </c>
      <c r="E639" s="57">
        <v>3.0</v>
      </c>
      <c r="F639" s="57">
        <v>10.0</v>
      </c>
      <c r="G639" s="57">
        <v>2.0</v>
      </c>
      <c r="H639" s="47">
        <v>2.0</v>
      </c>
      <c r="I639" s="47">
        <v>1.0</v>
      </c>
      <c r="J639" s="47">
        <v>1.0</v>
      </c>
      <c r="K639" s="28">
        <v>0.0</v>
      </c>
      <c r="L639" s="39"/>
      <c r="M639" s="30" t="s">
        <v>22</v>
      </c>
      <c r="N639" s="30"/>
      <c r="O639" s="30"/>
      <c r="P639" s="30"/>
      <c r="Q639" s="30"/>
      <c r="R639" s="63" t="s">
        <v>2029</v>
      </c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3673.0</v>
      </c>
      <c r="B640" s="23" t="s">
        <v>2030</v>
      </c>
      <c r="C640" s="24" t="s">
        <v>2031</v>
      </c>
      <c r="D640" s="142" t="s">
        <v>2032</v>
      </c>
      <c r="E640" s="64">
        <v>25.0</v>
      </c>
      <c r="F640" s="26">
        <v>176.0</v>
      </c>
      <c r="G640" s="26">
        <v>11.0</v>
      </c>
      <c r="H640" s="27">
        <v>5.0</v>
      </c>
      <c r="I640" s="27">
        <v>5.0</v>
      </c>
      <c r="J640" s="27">
        <v>1.0</v>
      </c>
      <c r="K640" s="28">
        <v>16.0</v>
      </c>
      <c r="L640" s="44" t="s">
        <v>41</v>
      </c>
      <c r="M640" s="30" t="s">
        <v>22</v>
      </c>
      <c r="N640" s="30"/>
      <c r="O640" s="30"/>
      <c r="P640" s="30"/>
      <c r="Q640" s="30"/>
      <c r="R640" s="63" t="s">
        <v>2033</v>
      </c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2332.0</v>
      </c>
      <c r="B641" s="23" t="s">
        <v>2034</v>
      </c>
      <c r="C641" s="24" t="s">
        <v>2035</v>
      </c>
      <c r="D641" s="142" t="s">
        <v>2036</v>
      </c>
      <c r="E641" s="64">
        <v>8.0</v>
      </c>
      <c r="F641" s="26">
        <v>10.0</v>
      </c>
      <c r="G641" s="26">
        <v>1.0</v>
      </c>
      <c r="H641" s="27">
        <v>7.0</v>
      </c>
      <c r="I641" s="27">
        <v>1.0</v>
      </c>
      <c r="J641" s="27">
        <v>1.0</v>
      </c>
      <c r="K641" s="28">
        <v>1.0</v>
      </c>
      <c r="L641" s="29"/>
      <c r="M641" s="30" t="s">
        <v>22</v>
      </c>
      <c r="N641" s="30"/>
      <c r="O641" s="30"/>
      <c r="P641" s="30"/>
      <c r="Q641" s="30"/>
      <c r="R641" s="63" t="s">
        <v>2037</v>
      </c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22">
        <v>404.0</v>
      </c>
      <c r="B642" s="23" t="s">
        <v>2038</v>
      </c>
      <c r="C642" s="24" t="s">
        <v>2039</v>
      </c>
      <c r="D642" s="137"/>
      <c r="E642" s="50"/>
      <c r="F642" s="50"/>
      <c r="G642" s="50"/>
      <c r="H642" s="47"/>
      <c r="I642" s="47"/>
      <c r="J642" s="47"/>
      <c r="K642" s="28">
        <v>2.0</v>
      </c>
      <c r="L642" s="39" t="s">
        <v>91</v>
      </c>
      <c r="M642" s="30" t="s">
        <v>22</v>
      </c>
      <c r="N642" s="30"/>
      <c r="O642" s="30"/>
      <c r="P642" s="30"/>
      <c r="Q642" s="30"/>
      <c r="R642" s="12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34">
        <v>6574.0</v>
      </c>
      <c r="B643" s="49" t="s">
        <v>2040</v>
      </c>
      <c r="C643" s="127"/>
      <c r="D643" s="144"/>
      <c r="E643" s="50"/>
      <c r="F643" s="50"/>
      <c r="G643" s="50"/>
      <c r="H643" s="51"/>
      <c r="I643" s="51"/>
      <c r="J643" s="51"/>
      <c r="K643" s="38">
        <v>0.0</v>
      </c>
      <c r="L643" s="40"/>
      <c r="M643" s="40" t="s">
        <v>79</v>
      </c>
      <c r="N643" s="40"/>
      <c r="O643" s="40"/>
      <c r="P643" s="40"/>
      <c r="Q643" s="40"/>
      <c r="R643" s="52" t="s">
        <v>2041</v>
      </c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22">
        <v>4808.0</v>
      </c>
      <c r="B644" s="23" t="s">
        <v>2042</v>
      </c>
      <c r="C644" s="24" t="s">
        <v>2043</v>
      </c>
      <c r="D644" s="142" t="s">
        <v>2044</v>
      </c>
      <c r="E644" s="64">
        <v>13.0</v>
      </c>
      <c r="F644" s="26">
        <v>58.0</v>
      </c>
      <c r="G644" s="26">
        <v>4.0</v>
      </c>
      <c r="H644" s="27">
        <v>9.0</v>
      </c>
      <c r="I644" s="27">
        <v>12.0</v>
      </c>
      <c r="J644" s="27">
        <v>2.0</v>
      </c>
      <c r="K644" s="58">
        <v>5.0</v>
      </c>
      <c r="L644" s="29" t="s">
        <v>36</v>
      </c>
      <c r="M644" s="59" t="s">
        <v>22</v>
      </c>
      <c r="N644" s="59"/>
      <c r="O644" s="59"/>
      <c r="P644" s="59"/>
      <c r="Q644" s="59"/>
      <c r="R644" s="63" t="s">
        <v>2045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4322.0</v>
      </c>
      <c r="B645" s="23" t="s">
        <v>2046</v>
      </c>
      <c r="C645" s="24" t="s">
        <v>2047</v>
      </c>
      <c r="D645" s="142" t="s">
        <v>2048</v>
      </c>
      <c r="E645" s="97">
        <v>20.0</v>
      </c>
      <c r="F645" s="26">
        <v>114.0</v>
      </c>
      <c r="G645" s="26">
        <v>6.0</v>
      </c>
      <c r="H645" s="27">
        <v>12.0</v>
      </c>
      <c r="I645" s="27">
        <v>24.0</v>
      </c>
      <c r="J645" s="27">
        <v>3.0</v>
      </c>
      <c r="K645" s="28">
        <v>8.0</v>
      </c>
      <c r="L645" s="29" t="s">
        <v>21</v>
      </c>
      <c r="M645" s="30" t="s">
        <v>22</v>
      </c>
      <c r="N645" s="30"/>
      <c r="O645" s="30"/>
      <c r="P645" s="30"/>
      <c r="Q645" s="30"/>
      <c r="R645" s="63" t="s">
        <v>2049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1044.0</v>
      </c>
      <c r="B646" s="23" t="s">
        <v>2050</v>
      </c>
      <c r="C646" s="24" t="s">
        <v>2051</v>
      </c>
      <c r="D646" s="142" t="s">
        <v>2052</v>
      </c>
      <c r="E646" s="64">
        <v>8.0</v>
      </c>
      <c r="F646" s="26">
        <v>2.0</v>
      </c>
      <c r="G646" s="26">
        <v>1.0</v>
      </c>
      <c r="H646" s="47"/>
      <c r="I646" s="27"/>
      <c r="J646" s="27"/>
      <c r="K646" s="28">
        <v>2.0</v>
      </c>
      <c r="L646" s="56" t="s">
        <v>94</v>
      </c>
      <c r="M646" s="30" t="s">
        <v>22</v>
      </c>
      <c r="N646" s="30"/>
      <c r="O646" s="30"/>
      <c r="P646" s="30"/>
      <c r="Q646" s="30"/>
      <c r="R646" s="63" t="s">
        <v>2053</v>
      </c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2">
        <v>589.0</v>
      </c>
      <c r="B647" s="23" t="s">
        <v>2054</v>
      </c>
      <c r="C647" s="24" t="s">
        <v>2055</v>
      </c>
      <c r="D647" s="120" t="s">
        <v>2056</v>
      </c>
      <c r="E647" s="26">
        <v>7.0</v>
      </c>
      <c r="F647" s="26">
        <v>61.0</v>
      </c>
      <c r="G647" s="26">
        <v>4.0</v>
      </c>
      <c r="H647" s="47">
        <v>1.0</v>
      </c>
      <c r="I647" s="27">
        <v>0.0</v>
      </c>
      <c r="J647" s="27">
        <v>0.0</v>
      </c>
      <c r="K647" s="28">
        <v>173.0</v>
      </c>
      <c r="L647" s="29" t="s">
        <v>329</v>
      </c>
      <c r="M647" s="30" t="s">
        <v>22</v>
      </c>
      <c r="N647" s="30"/>
      <c r="O647" s="30"/>
      <c r="P647" s="30"/>
      <c r="Q647" s="30"/>
      <c r="R647" s="63" t="s">
        <v>2057</v>
      </c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2">
        <v>6889.0</v>
      </c>
      <c r="B648" s="23" t="s">
        <v>2058</v>
      </c>
      <c r="C648" s="24" t="s">
        <v>2059</v>
      </c>
      <c r="D648" s="137"/>
      <c r="E648" s="50"/>
      <c r="F648" s="50"/>
      <c r="G648" s="50"/>
      <c r="H648" s="47"/>
      <c r="I648" s="47"/>
      <c r="J648" s="47"/>
      <c r="K648" s="28">
        <v>13.0</v>
      </c>
      <c r="L648" s="44" t="s">
        <v>41</v>
      </c>
      <c r="M648" s="30" t="s">
        <v>22</v>
      </c>
      <c r="N648" s="30"/>
      <c r="O648" s="30"/>
      <c r="P648" s="30"/>
      <c r="Q648" s="30"/>
      <c r="R648" s="12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482.0</v>
      </c>
      <c r="B649" s="23" t="s">
        <v>2060</v>
      </c>
      <c r="C649" s="24" t="s">
        <v>2061</v>
      </c>
      <c r="D649" s="145"/>
      <c r="E649" s="146"/>
      <c r="F649" s="146"/>
      <c r="G649" s="146"/>
      <c r="H649" s="47">
        <v>2.0</v>
      </c>
      <c r="I649" s="47">
        <v>4.0</v>
      </c>
      <c r="J649" s="47">
        <v>1.0</v>
      </c>
      <c r="K649" s="28">
        <v>11.0</v>
      </c>
      <c r="L649" s="39" t="s">
        <v>385</v>
      </c>
      <c r="M649" s="30" t="s">
        <v>22</v>
      </c>
      <c r="N649" s="30"/>
      <c r="O649" s="30"/>
      <c r="P649" s="30"/>
      <c r="Q649" s="30"/>
      <c r="R649" s="12" t="s">
        <v>2062</v>
      </c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5467.0</v>
      </c>
      <c r="B650" s="23" t="s">
        <v>2063</v>
      </c>
      <c r="C650" s="102"/>
      <c r="D650" s="137"/>
      <c r="E650" s="50"/>
      <c r="F650" s="50"/>
      <c r="G650" s="50"/>
      <c r="H650" s="47"/>
      <c r="I650" s="47"/>
      <c r="J650" s="47"/>
      <c r="K650" s="28">
        <v>5.0</v>
      </c>
      <c r="L650" s="29"/>
      <c r="M650" s="30" t="s">
        <v>22</v>
      </c>
      <c r="N650" s="30"/>
      <c r="O650" s="30"/>
      <c r="P650" s="30"/>
      <c r="Q650" s="30"/>
      <c r="R650" s="12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6460.0</v>
      </c>
      <c r="B651" s="23" t="s">
        <v>2064</v>
      </c>
      <c r="C651" s="102"/>
      <c r="D651" s="120" t="s">
        <v>2065</v>
      </c>
      <c r="E651" s="26">
        <v>3.0</v>
      </c>
      <c r="F651" s="26">
        <v>0.0</v>
      </c>
      <c r="G651" s="26">
        <v>0.0</v>
      </c>
      <c r="H651" s="27">
        <v>2.0</v>
      </c>
      <c r="I651" s="27">
        <v>1.0</v>
      </c>
      <c r="J651" s="27">
        <v>1.0</v>
      </c>
      <c r="K651" s="28">
        <v>2.0</v>
      </c>
      <c r="L651" s="29" t="s">
        <v>71</v>
      </c>
      <c r="M651" s="30" t="s">
        <v>22</v>
      </c>
      <c r="N651" s="30"/>
      <c r="O651" s="30"/>
      <c r="P651" s="30"/>
      <c r="Q651" s="30"/>
      <c r="R651" s="63" t="s">
        <v>2066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4085.0</v>
      </c>
      <c r="B652" s="23" t="s">
        <v>2067</v>
      </c>
      <c r="C652" s="24" t="s">
        <v>2068</v>
      </c>
      <c r="D652" s="142" t="s">
        <v>2069</v>
      </c>
      <c r="E652" s="64">
        <v>16.0</v>
      </c>
      <c r="F652" s="26">
        <v>56.0</v>
      </c>
      <c r="G652" s="26">
        <v>4.0</v>
      </c>
      <c r="H652" s="27">
        <v>1.0</v>
      </c>
      <c r="I652" s="27">
        <v>1.0</v>
      </c>
      <c r="J652" s="27">
        <v>1.0</v>
      </c>
      <c r="K652" s="58">
        <v>11.0</v>
      </c>
      <c r="L652" s="44" t="s">
        <v>60</v>
      </c>
      <c r="M652" s="59" t="s">
        <v>22</v>
      </c>
      <c r="N652" s="59"/>
      <c r="O652" s="59"/>
      <c r="P652" s="59"/>
      <c r="Q652" s="59"/>
      <c r="R652" s="63" t="s">
        <v>2070</v>
      </c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7168.0</v>
      </c>
      <c r="B653" s="23" t="s">
        <v>2071</v>
      </c>
      <c r="C653" s="24" t="s">
        <v>2072</v>
      </c>
      <c r="D653" s="120" t="s">
        <v>2073</v>
      </c>
      <c r="E653" s="26">
        <v>21.0</v>
      </c>
      <c r="F653" s="26">
        <v>31.0</v>
      </c>
      <c r="G653" s="26">
        <v>4.0</v>
      </c>
      <c r="H653" s="47"/>
      <c r="I653" s="47"/>
      <c r="J653" s="47"/>
      <c r="K653" s="58">
        <v>0.0</v>
      </c>
      <c r="L653" s="39"/>
      <c r="M653" s="59" t="s">
        <v>22</v>
      </c>
      <c r="N653" s="59"/>
      <c r="O653" s="59"/>
      <c r="P653" s="59"/>
      <c r="Q653" s="59"/>
      <c r="R653" s="63" t="s">
        <v>2074</v>
      </c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3659.0</v>
      </c>
      <c r="B654" s="23" t="s">
        <v>2075</v>
      </c>
      <c r="C654" s="24" t="s">
        <v>2076</v>
      </c>
      <c r="D654" s="137"/>
      <c r="E654" s="50"/>
      <c r="F654" s="50"/>
      <c r="G654" s="50"/>
      <c r="H654" s="47"/>
      <c r="I654" s="47"/>
      <c r="J654" s="47"/>
      <c r="K654" s="28">
        <v>7.0</v>
      </c>
      <c r="L654" s="44" t="s">
        <v>428</v>
      </c>
      <c r="M654" s="30" t="s">
        <v>22</v>
      </c>
      <c r="N654" s="30"/>
      <c r="O654" s="30"/>
      <c r="P654" s="30"/>
      <c r="Q654" s="30"/>
      <c r="R654" s="12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273.0</v>
      </c>
      <c r="B655" s="23" t="s">
        <v>2077</v>
      </c>
      <c r="C655" s="24" t="s">
        <v>2078</v>
      </c>
      <c r="D655" s="137"/>
      <c r="E655" s="50"/>
      <c r="F655" s="50"/>
      <c r="G655" s="50"/>
      <c r="H655" s="47"/>
      <c r="I655" s="47"/>
      <c r="J655" s="47"/>
      <c r="K655" s="28">
        <v>10.0</v>
      </c>
      <c r="L655" s="44" t="s">
        <v>120</v>
      </c>
      <c r="M655" s="30" t="s">
        <v>22</v>
      </c>
      <c r="N655" s="30"/>
      <c r="O655" s="30"/>
      <c r="P655" s="30"/>
      <c r="Q655" s="30"/>
      <c r="R655" s="12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2345.0</v>
      </c>
      <c r="B656" s="23" t="s">
        <v>2079</v>
      </c>
      <c r="C656" s="24" t="s">
        <v>2080</v>
      </c>
      <c r="D656" s="137"/>
      <c r="E656" s="50"/>
      <c r="F656" s="50"/>
      <c r="G656" s="50"/>
      <c r="H656" s="47"/>
      <c r="I656" s="47"/>
      <c r="J656" s="47"/>
      <c r="K656" s="28">
        <v>14.0</v>
      </c>
      <c r="L656" s="44" t="s">
        <v>60</v>
      </c>
      <c r="M656" s="30" t="s">
        <v>22</v>
      </c>
      <c r="N656" s="30"/>
      <c r="O656" s="30"/>
      <c r="P656" s="30"/>
      <c r="Q656" s="30"/>
      <c r="R656" s="12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4056.0</v>
      </c>
      <c r="B657" s="23" t="s">
        <v>2081</v>
      </c>
      <c r="C657" s="24" t="s">
        <v>2082</v>
      </c>
      <c r="D657" s="137"/>
      <c r="E657" s="50"/>
      <c r="F657" s="50"/>
      <c r="G657" s="50"/>
      <c r="H657" s="47"/>
      <c r="I657" s="47"/>
      <c r="J657" s="47"/>
      <c r="K657" s="28">
        <v>0.0</v>
      </c>
      <c r="L657" s="29" t="s">
        <v>329</v>
      </c>
      <c r="M657" s="30" t="s">
        <v>22</v>
      </c>
      <c r="N657" s="30"/>
      <c r="O657" s="30"/>
      <c r="P657" s="30"/>
      <c r="Q657" s="30"/>
      <c r="R657" s="12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1158.0</v>
      </c>
      <c r="B658" s="23" t="s">
        <v>2083</v>
      </c>
      <c r="C658" s="24" t="s">
        <v>2084</v>
      </c>
      <c r="D658" s="118" t="s">
        <v>2085</v>
      </c>
      <c r="E658" s="26">
        <v>3.0</v>
      </c>
      <c r="F658" s="26">
        <v>12.0</v>
      </c>
      <c r="G658" s="26">
        <v>2.0</v>
      </c>
      <c r="H658" s="47"/>
      <c r="I658" s="47"/>
      <c r="J658" s="47"/>
      <c r="K658" s="58">
        <v>3.0</v>
      </c>
      <c r="L658" s="44" t="s">
        <v>163</v>
      </c>
      <c r="M658" s="59" t="s">
        <v>22</v>
      </c>
      <c r="N658" s="59"/>
      <c r="O658" s="59"/>
      <c r="P658" s="59"/>
      <c r="Q658" s="59"/>
      <c r="R658" s="63" t="s">
        <v>2086</v>
      </c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6399.0</v>
      </c>
      <c r="B659" s="23" t="s">
        <v>2087</v>
      </c>
      <c r="C659" s="24" t="s">
        <v>2088</v>
      </c>
      <c r="D659" s="118" t="s">
        <v>2089</v>
      </c>
      <c r="E659" s="26">
        <v>29.0</v>
      </c>
      <c r="F659" s="26">
        <v>49.0</v>
      </c>
      <c r="G659" s="26">
        <v>3.0</v>
      </c>
      <c r="H659" s="27">
        <v>20.0</v>
      </c>
      <c r="I659" s="27">
        <v>28.0</v>
      </c>
      <c r="J659" s="27">
        <v>2.0</v>
      </c>
      <c r="K659" s="147"/>
      <c r="L659" s="148" t="s">
        <v>94</v>
      </c>
      <c r="M659" s="149" t="s">
        <v>22</v>
      </c>
      <c r="N659" s="149"/>
      <c r="O659" s="149"/>
      <c r="P659" s="149"/>
      <c r="Q659" s="149"/>
      <c r="R659" s="63" t="s">
        <v>2090</v>
      </c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584.0</v>
      </c>
      <c r="B660" s="23" t="s">
        <v>2091</v>
      </c>
      <c r="C660" s="24" t="s">
        <v>2092</v>
      </c>
      <c r="D660" s="118" t="s">
        <v>2093</v>
      </c>
      <c r="E660" s="26">
        <v>18.0</v>
      </c>
      <c r="F660" s="26">
        <v>1.0</v>
      </c>
      <c r="G660" s="26">
        <v>1.0</v>
      </c>
      <c r="H660" s="47">
        <v>10.0</v>
      </c>
      <c r="I660" s="47">
        <v>0.0</v>
      </c>
      <c r="J660" s="47">
        <v>0.0</v>
      </c>
      <c r="K660" s="58">
        <v>17.0</v>
      </c>
      <c r="L660" s="44" t="s">
        <v>859</v>
      </c>
      <c r="M660" s="59" t="s">
        <v>22</v>
      </c>
      <c r="N660" s="59"/>
      <c r="O660" s="59"/>
      <c r="P660" s="59"/>
      <c r="Q660" s="59"/>
      <c r="R660" s="63" t="s">
        <v>2094</v>
      </c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705.0</v>
      </c>
      <c r="B661" s="23" t="s">
        <v>2095</v>
      </c>
      <c r="C661" s="24" t="s">
        <v>2096</v>
      </c>
      <c r="D661" s="118" t="s">
        <v>2097</v>
      </c>
      <c r="E661" s="26">
        <v>3.0</v>
      </c>
      <c r="F661" s="26">
        <v>22.0</v>
      </c>
      <c r="G661" s="26">
        <v>2.0</v>
      </c>
      <c r="H661" s="27">
        <v>1.0</v>
      </c>
      <c r="I661" s="27">
        <v>2.0</v>
      </c>
      <c r="J661" s="27">
        <v>1.0</v>
      </c>
      <c r="K661" s="58">
        <v>36.0</v>
      </c>
      <c r="L661" s="29" t="s">
        <v>329</v>
      </c>
      <c r="M661" s="59" t="s">
        <v>22</v>
      </c>
      <c r="N661" s="59"/>
      <c r="O661" s="59"/>
      <c r="P661" s="59"/>
      <c r="Q661" s="59"/>
      <c r="R661" s="63" t="s">
        <v>2098</v>
      </c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317.0</v>
      </c>
      <c r="B662" s="23" t="s">
        <v>2099</v>
      </c>
      <c r="C662" s="81"/>
      <c r="D662" s="118" t="s">
        <v>2100</v>
      </c>
      <c r="E662" s="26">
        <v>2.0</v>
      </c>
      <c r="F662" s="57">
        <v>3.0</v>
      </c>
      <c r="G662" s="57">
        <v>1.0</v>
      </c>
      <c r="H662" s="47"/>
      <c r="I662" s="47"/>
      <c r="J662" s="47"/>
      <c r="K662" s="28">
        <v>0.0</v>
      </c>
      <c r="L662" s="39" t="s">
        <v>91</v>
      </c>
      <c r="M662" s="30" t="s">
        <v>22</v>
      </c>
      <c r="N662" s="30"/>
      <c r="O662" s="30"/>
      <c r="P662" s="30"/>
      <c r="Q662" s="30"/>
      <c r="R662" s="63" t="s">
        <v>2101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22">
        <v>868.0</v>
      </c>
      <c r="B663" s="23" t="s">
        <v>2102</v>
      </c>
      <c r="C663" s="24" t="s">
        <v>2103</v>
      </c>
      <c r="D663" s="118" t="s">
        <v>2104</v>
      </c>
      <c r="E663" s="26">
        <v>80.0</v>
      </c>
      <c r="F663" s="26">
        <v>1251.0</v>
      </c>
      <c r="G663" s="26">
        <v>22.0</v>
      </c>
      <c r="H663" s="47">
        <v>8.0</v>
      </c>
      <c r="I663" s="47">
        <v>11.0</v>
      </c>
      <c r="J663" s="47">
        <v>2.0</v>
      </c>
      <c r="K663" s="58">
        <v>2.0</v>
      </c>
      <c r="L663" s="39" t="s">
        <v>428</v>
      </c>
      <c r="M663" s="59" t="s">
        <v>22</v>
      </c>
      <c r="N663" s="59"/>
      <c r="O663" s="59"/>
      <c r="P663" s="59"/>
      <c r="Q663" s="59"/>
      <c r="R663" s="63" t="s">
        <v>2105</v>
      </c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34">
        <v>1774.0</v>
      </c>
      <c r="B664" s="49" t="s">
        <v>2106</v>
      </c>
      <c r="C664" s="35" t="s">
        <v>2107</v>
      </c>
      <c r="D664" s="119" t="s">
        <v>2108</v>
      </c>
      <c r="E664" s="26">
        <v>16.0</v>
      </c>
      <c r="F664" s="26">
        <v>13.0</v>
      </c>
      <c r="G664" s="26">
        <v>2.0</v>
      </c>
      <c r="H664" s="51">
        <v>3.0</v>
      </c>
      <c r="I664" s="51">
        <v>0.0</v>
      </c>
      <c r="J664" s="51">
        <v>0.0</v>
      </c>
      <c r="K664" s="38">
        <v>8.0</v>
      </c>
      <c r="L664" s="40"/>
      <c r="M664" s="40" t="s">
        <v>79</v>
      </c>
      <c r="N664" s="40"/>
      <c r="O664" s="40"/>
      <c r="P664" s="40"/>
      <c r="Q664" s="40"/>
      <c r="R664" s="77"/>
      <c r="S664" s="150" t="s">
        <v>2109</v>
      </c>
      <c r="T664" s="53"/>
      <c r="U664" s="53"/>
      <c r="V664" s="53"/>
      <c r="W664" s="53"/>
      <c r="X664" s="53"/>
      <c r="Y664" s="53"/>
      <c r="Z664" s="53"/>
    </row>
    <row r="665" ht="15.75" customHeight="1">
      <c r="A665" s="22">
        <v>403.0</v>
      </c>
      <c r="B665" s="23" t="s">
        <v>2110</v>
      </c>
      <c r="C665" s="24" t="s">
        <v>2111</v>
      </c>
      <c r="D665" s="118" t="s">
        <v>2112</v>
      </c>
      <c r="E665" s="64">
        <v>15.0</v>
      </c>
      <c r="F665" s="26">
        <v>28.0</v>
      </c>
      <c r="G665" s="26">
        <v>4.0</v>
      </c>
      <c r="H665" s="47"/>
      <c r="I665" s="47"/>
      <c r="J665" s="47"/>
      <c r="K665" s="58">
        <v>18.0</v>
      </c>
      <c r="L665" s="44" t="s">
        <v>108</v>
      </c>
      <c r="M665" s="59" t="s">
        <v>22</v>
      </c>
      <c r="N665" s="59"/>
      <c r="O665" s="59"/>
      <c r="P665" s="59"/>
      <c r="Q665" s="59"/>
      <c r="R665" s="63" t="s">
        <v>2113</v>
      </c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7562.0</v>
      </c>
      <c r="B666" s="23" t="s">
        <v>2114</v>
      </c>
      <c r="C666" s="81"/>
      <c r="D666" s="137"/>
      <c r="E666" s="48"/>
      <c r="F666" s="50"/>
      <c r="G666" s="50"/>
      <c r="H666" s="47"/>
      <c r="I666" s="47"/>
      <c r="J666" s="47"/>
      <c r="K666" s="28">
        <v>0.0</v>
      </c>
      <c r="L666" s="44" t="s">
        <v>186</v>
      </c>
      <c r="M666" s="30" t="s">
        <v>22</v>
      </c>
      <c r="N666" s="30"/>
      <c r="O666" s="30"/>
      <c r="P666" s="30"/>
      <c r="Q666" s="30"/>
      <c r="R666" s="12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2426.0</v>
      </c>
      <c r="B667" s="23" t="s">
        <v>2115</v>
      </c>
      <c r="C667" s="81"/>
      <c r="D667" s="137"/>
      <c r="E667" s="48"/>
      <c r="F667" s="50"/>
      <c r="G667" s="50"/>
      <c r="H667" s="47"/>
      <c r="I667" s="47"/>
      <c r="J667" s="47"/>
      <c r="K667" s="28">
        <v>0.0</v>
      </c>
      <c r="L667" s="39"/>
      <c r="M667" s="30" t="s">
        <v>22</v>
      </c>
      <c r="N667" s="30"/>
      <c r="O667" s="30"/>
      <c r="P667" s="30"/>
      <c r="Q667" s="30"/>
      <c r="R667" s="12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2">
        <v>827.0</v>
      </c>
      <c r="B668" s="23" t="s">
        <v>2116</v>
      </c>
      <c r="C668" s="24" t="s">
        <v>2117</v>
      </c>
      <c r="D668" s="137"/>
      <c r="E668" s="48"/>
      <c r="F668" s="50"/>
      <c r="G668" s="50"/>
      <c r="H668" s="47"/>
      <c r="I668" s="47"/>
      <c r="J668" s="47"/>
      <c r="K668" s="28">
        <v>1.0</v>
      </c>
      <c r="L668" s="39" t="s">
        <v>91</v>
      </c>
      <c r="M668" s="30" t="s">
        <v>22</v>
      </c>
      <c r="N668" s="30"/>
      <c r="O668" s="30"/>
      <c r="P668" s="30"/>
      <c r="Q668" s="30"/>
      <c r="R668" s="12" t="s">
        <v>2118</v>
      </c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2">
        <v>2422.0</v>
      </c>
      <c r="B669" s="23" t="s">
        <v>2119</v>
      </c>
      <c r="C669" s="24" t="s">
        <v>2120</v>
      </c>
      <c r="D669" s="118" t="s">
        <v>2121</v>
      </c>
      <c r="E669" s="26">
        <v>3.0</v>
      </c>
      <c r="F669" s="57">
        <v>1.0</v>
      </c>
      <c r="G669" s="57">
        <v>1.0</v>
      </c>
      <c r="H669" s="47"/>
      <c r="I669" s="47"/>
      <c r="J669" s="47"/>
      <c r="K669" s="58">
        <v>4.0</v>
      </c>
      <c r="L669" s="39"/>
      <c r="M669" s="59" t="s">
        <v>22</v>
      </c>
      <c r="N669" s="59"/>
      <c r="O669" s="59"/>
      <c r="P669" s="59"/>
      <c r="Q669" s="59"/>
      <c r="R669" s="63" t="s">
        <v>2122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6421.0</v>
      </c>
      <c r="B670" s="23" t="s">
        <v>2123</v>
      </c>
      <c r="C670" s="24" t="s">
        <v>2124</v>
      </c>
      <c r="D670" s="118" t="s">
        <v>2125</v>
      </c>
      <c r="E670" s="64">
        <v>12.0</v>
      </c>
      <c r="F670" s="26">
        <v>54.0</v>
      </c>
      <c r="G670" s="26">
        <v>5.0</v>
      </c>
      <c r="H670" s="27">
        <v>9.0</v>
      </c>
      <c r="I670" s="27">
        <v>16.0</v>
      </c>
      <c r="J670" s="27">
        <v>2.0</v>
      </c>
      <c r="K670" s="58">
        <v>19.0</v>
      </c>
      <c r="L670" s="29" t="s">
        <v>36</v>
      </c>
      <c r="M670" s="59"/>
      <c r="N670" s="59"/>
      <c r="O670" s="59"/>
      <c r="P670" s="59"/>
      <c r="Q670" s="59"/>
      <c r="R670" s="63" t="s">
        <v>2126</v>
      </c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5976.0</v>
      </c>
      <c r="B671" s="23" t="s">
        <v>2127</v>
      </c>
      <c r="C671" s="24" t="s">
        <v>2128</v>
      </c>
      <c r="D671" s="118" t="s">
        <v>2129</v>
      </c>
      <c r="E671" s="26">
        <v>5.0</v>
      </c>
      <c r="F671" s="26">
        <v>10.0</v>
      </c>
      <c r="G671" s="26">
        <v>2.0</v>
      </c>
      <c r="H671" s="27">
        <v>3.0</v>
      </c>
      <c r="I671" s="27">
        <v>0.0</v>
      </c>
      <c r="J671" s="27">
        <v>0.0</v>
      </c>
      <c r="K671" s="58">
        <v>40.0</v>
      </c>
      <c r="L671" s="29" t="s">
        <v>21</v>
      </c>
      <c r="M671" s="59" t="s">
        <v>22</v>
      </c>
      <c r="N671" s="59"/>
      <c r="O671" s="59"/>
      <c r="P671" s="59"/>
      <c r="Q671" s="59"/>
      <c r="R671" s="63" t="s">
        <v>2130</v>
      </c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6029.0</v>
      </c>
      <c r="B672" s="23" t="s">
        <v>2131</v>
      </c>
      <c r="C672" s="24" t="s">
        <v>2132</v>
      </c>
      <c r="D672" s="118" t="s">
        <v>2133</v>
      </c>
      <c r="E672" s="26">
        <v>13.0</v>
      </c>
      <c r="F672" s="26">
        <v>131.0</v>
      </c>
      <c r="G672" s="26">
        <v>4.0</v>
      </c>
      <c r="H672" s="27">
        <v>2.0</v>
      </c>
      <c r="I672" s="27">
        <v>57.0</v>
      </c>
      <c r="J672" s="27">
        <v>1.0</v>
      </c>
      <c r="K672" s="58">
        <v>11.0</v>
      </c>
      <c r="L672" s="44" t="s">
        <v>171</v>
      </c>
      <c r="M672" s="59" t="s">
        <v>22</v>
      </c>
      <c r="N672" s="59"/>
      <c r="O672" s="59"/>
      <c r="P672" s="59"/>
      <c r="Q672" s="59"/>
      <c r="R672" s="63" t="s">
        <v>2134</v>
      </c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1099.0</v>
      </c>
      <c r="B673" s="23" t="s">
        <v>2135</v>
      </c>
      <c r="C673" s="81"/>
      <c r="D673" s="137"/>
      <c r="E673" s="48"/>
      <c r="F673" s="50"/>
      <c r="G673" s="50"/>
      <c r="H673" s="47"/>
      <c r="I673" s="47"/>
      <c r="J673" s="47"/>
      <c r="K673" s="28">
        <v>9.0</v>
      </c>
      <c r="L673" s="44" t="s">
        <v>272</v>
      </c>
      <c r="M673" s="30" t="s">
        <v>22</v>
      </c>
      <c r="N673" s="30"/>
      <c r="O673" s="30"/>
      <c r="P673" s="30"/>
      <c r="Q673" s="30"/>
      <c r="R673" s="12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22">
        <v>2371.0</v>
      </c>
      <c r="B674" s="23" t="s">
        <v>2136</v>
      </c>
      <c r="C674" s="81"/>
      <c r="D674" s="137"/>
      <c r="E674" s="48"/>
      <c r="F674" s="50"/>
      <c r="G674" s="50"/>
      <c r="H674" s="47"/>
      <c r="I674" s="47"/>
      <c r="J674" s="47"/>
      <c r="K674" s="28">
        <v>1.0</v>
      </c>
      <c r="L674" s="29"/>
      <c r="M674" s="30" t="s">
        <v>22</v>
      </c>
      <c r="N674" s="30"/>
      <c r="O674" s="30"/>
      <c r="P674" s="30"/>
      <c r="Q674" s="30"/>
      <c r="R674" s="12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34">
        <v>3453.0</v>
      </c>
      <c r="B675" s="49" t="s">
        <v>2137</v>
      </c>
      <c r="C675" s="151"/>
      <c r="D675" s="119" t="s">
        <v>2138</v>
      </c>
      <c r="E675" s="26">
        <v>203.0</v>
      </c>
      <c r="F675" s="26">
        <v>848.0</v>
      </c>
      <c r="G675" s="26">
        <v>16.0</v>
      </c>
      <c r="H675" s="37">
        <v>27.0</v>
      </c>
      <c r="I675" s="37">
        <v>56.0</v>
      </c>
      <c r="J675" s="37">
        <v>4.0</v>
      </c>
      <c r="K675" s="38">
        <v>9.0</v>
      </c>
      <c r="L675" s="40"/>
      <c r="M675" s="40" t="s">
        <v>79</v>
      </c>
      <c r="N675" s="40"/>
      <c r="O675" s="40"/>
      <c r="P675" s="40"/>
      <c r="Q675" s="40"/>
      <c r="R675" s="77"/>
      <c r="S675" s="150" t="s">
        <v>2139</v>
      </c>
      <c r="T675" s="53"/>
      <c r="U675" s="53"/>
      <c r="V675" s="53"/>
      <c r="W675" s="53"/>
      <c r="X675" s="53"/>
      <c r="Y675" s="53"/>
      <c r="Z675" s="53"/>
    </row>
    <row r="676" ht="15.75" customHeight="1">
      <c r="A676" s="22">
        <v>7173.0</v>
      </c>
      <c r="B676" s="23" t="s">
        <v>2140</v>
      </c>
      <c r="C676" s="24" t="s">
        <v>2141</v>
      </c>
      <c r="D676" s="118" t="s">
        <v>2142</v>
      </c>
      <c r="E676" s="64">
        <v>14.0</v>
      </c>
      <c r="F676" s="26">
        <v>75.0</v>
      </c>
      <c r="G676" s="26">
        <v>4.0</v>
      </c>
      <c r="H676" s="27">
        <v>7.0</v>
      </c>
      <c r="I676" s="27">
        <v>18.0</v>
      </c>
      <c r="J676" s="27">
        <v>2.0</v>
      </c>
      <c r="K676" s="58">
        <v>8.0</v>
      </c>
      <c r="L676" s="44" t="s">
        <v>144</v>
      </c>
      <c r="M676" s="59" t="s">
        <v>22</v>
      </c>
      <c r="N676" s="59"/>
      <c r="O676" s="59"/>
      <c r="P676" s="59"/>
      <c r="Q676" s="59"/>
      <c r="R676" s="63" t="s">
        <v>2143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5849.0</v>
      </c>
      <c r="B677" s="23" t="s">
        <v>2144</v>
      </c>
      <c r="C677" s="24" t="s">
        <v>2145</v>
      </c>
      <c r="D677" s="118" t="s">
        <v>2146</v>
      </c>
      <c r="E677" s="64">
        <v>20.0</v>
      </c>
      <c r="F677" s="26">
        <v>94.0</v>
      </c>
      <c r="G677" s="26">
        <v>7.0</v>
      </c>
      <c r="H677" s="47">
        <v>3.0</v>
      </c>
      <c r="I677" s="47">
        <v>1.0</v>
      </c>
      <c r="J677" s="47">
        <v>1.0</v>
      </c>
      <c r="K677" s="58">
        <v>12.0</v>
      </c>
      <c r="L677" s="29" t="s">
        <v>167</v>
      </c>
      <c r="M677" s="59" t="s">
        <v>22</v>
      </c>
      <c r="N677" s="59"/>
      <c r="O677" s="59"/>
      <c r="P677" s="59"/>
      <c r="Q677" s="59"/>
      <c r="R677" s="63" t="s">
        <v>2147</v>
      </c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1059.0</v>
      </c>
      <c r="B678" s="23" t="s">
        <v>2148</v>
      </c>
      <c r="C678" s="24" t="s">
        <v>2149</v>
      </c>
      <c r="D678" s="118" t="s">
        <v>2150</v>
      </c>
      <c r="E678" s="64">
        <v>22.0</v>
      </c>
      <c r="F678" s="26">
        <v>40.0</v>
      </c>
      <c r="G678" s="26">
        <v>3.0</v>
      </c>
      <c r="H678" s="27">
        <v>6.0</v>
      </c>
      <c r="I678" s="27">
        <v>3.0</v>
      </c>
      <c r="J678" s="27">
        <v>1.0</v>
      </c>
      <c r="K678" s="58">
        <v>74.0</v>
      </c>
      <c r="L678" s="44" t="s">
        <v>428</v>
      </c>
      <c r="M678" s="59" t="s">
        <v>22</v>
      </c>
      <c r="N678" s="59"/>
      <c r="O678" s="59"/>
      <c r="P678" s="59"/>
      <c r="Q678" s="59"/>
      <c r="R678" s="63" t="s">
        <v>2151</v>
      </c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2">
        <v>7982.0</v>
      </c>
      <c r="B679" s="23" t="s">
        <v>2152</v>
      </c>
      <c r="C679" s="81"/>
      <c r="D679" s="118" t="s">
        <v>2153</v>
      </c>
      <c r="E679" s="26">
        <v>6.0</v>
      </c>
      <c r="F679" s="26">
        <v>22.0</v>
      </c>
      <c r="G679" s="26">
        <v>2.0</v>
      </c>
      <c r="H679" s="47">
        <v>1.0</v>
      </c>
      <c r="I679" s="47">
        <v>0.0</v>
      </c>
      <c r="J679" s="47">
        <v>0.0</v>
      </c>
      <c r="K679" s="28">
        <v>1.0</v>
      </c>
      <c r="L679" s="44" t="s">
        <v>41</v>
      </c>
      <c r="M679" s="30" t="s">
        <v>22</v>
      </c>
      <c r="N679" s="30"/>
      <c r="O679" s="30"/>
      <c r="P679" s="30"/>
      <c r="Q679" s="30"/>
      <c r="R679" s="63" t="s">
        <v>2154</v>
      </c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2">
        <v>4355.0</v>
      </c>
      <c r="B680" s="23" t="s">
        <v>2155</v>
      </c>
      <c r="C680" s="24" t="s">
        <v>2156</v>
      </c>
      <c r="D680" s="118" t="s">
        <v>2157</v>
      </c>
      <c r="E680" s="26">
        <v>3.0</v>
      </c>
      <c r="F680" s="26">
        <v>4.0</v>
      </c>
      <c r="G680" s="26">
        <v>1.0</v>
      </c>
      <c r="H680" s="47">
        <v>3.0</v>
      </c>
      <c r="I680" s="47">
        <v>2.0</v>
      </c>
      <c r="J680" s="47">
        <v>1.0</v>
      </c>
      <c r="K680" s="58">
        <v>4.0</v>
      </c>
      <c r="L680" s="29" t="s">
        <v>36</v>
      </c>
      <c r="M680" s="59" t="s">
        <v>22</v>
      </c>
      <c r="N680" s="59"/>
      <c r="O680" s="59"/>
      <c r="P680" s="59"/>
      <c r="Q680" s="59"/>
      <c r="R680" s="63" t="s">
        <v>2158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208.0</v>
      </c>
      <c r="B681" s="23" t="s">
        <v>2159</v>
      </c>
      <c r="C681" s="24" t="s">
        <v>2160</v>
      </c>
      <c r="D681" s="118" t="s">
        <v>2161</v>
      </c>
      <c r="E681" s="26">
        <v>94.0</v>
      </c>
      <c r="F681" s="26">
        <v>987.0</v>
      </c>
      <c r="G681" s="26">
        <v>15.0</v>
      </c>
      <c r="H681" s="27">
        <v>12.0</v>
      </c>
      <c r="I681" s="27">
        <v>44.0</v>
      </c>
      <c r="J681" s="27">
        <v>4.0</v>
      </c>
      <c r="K681" s="58">
        <v>16.0</v>
      </c>
      <c r="L681" s="44" t="s">
        <v>186</v>
      </c>
      <c r="M681" s="59" t="s">
        <v>22</v>
      </c>
      <c r="N681" s="59"/>
      <c r="O681" s="59"/>
      <c r="P681" s="59"/>
      <c r="Q681" s="59"/>
      <c r="R681" s="63" t="s">
        <v>2162</v>
      </c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344.0</v>
      </c>
      <c r="B682" s="23" t="s">
        <v>2163</v>
      </c>
      <c r="C682" s="24" t="s">
        <v>2164</v>
      </c>
      <c r="D682" s="81"/>
      <c r="E682" s="152"/>
      <c r="F682" s="153"/>
      <c r="G682" s="153"/>
      <c r="H682" s="102"/>
      <c r="I682" s="102"/>
      <c r="J682" s="102"/>
      <c r="K682" s="28">
        <v>0.0</v>
      </c>
      <c r="L682" s="39" t="s">
        <v>91</v>
      </c>
      <c r="M682" s="30" t="s">
        <v>22</v>
      </c>
      <c r="N682" s="30"/>
      <c r="O682" s="30"/>
      <c r="P682" s="30"/>
      <c r="Q682" s="30"/>
      <c r="R682" s="12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6633.0</v>
      </c>
      <c r="B683" s="23" t="s">
        <v>2165</v>
      </c>
      <c r="C683" s="24" t="s">
        <v>2166</v>
      </c>
      <c r="D683" s="118" t="s">
        <v>2167</v>
      </c>
      <c r="E683" s="26">
        <v>2.0</v>
      </c>
      <c r="F683" s="26">
        <v>6.0</v>
      </c>
      <c r="G683" s="26">
        <v>1.0</v>
      </c>
      <c r="H683" s="102">
        <v>1.0</v>
      </c>
      <c r="I683" s="102">
        <v>0.0</v>
      </c>
      <c r="J683" s="102">
        <v>0.0</v>
      </c>
      <c r="K683" s="58">
        <v>3.0</v>
      </c>
      <c r="L683" s="44" t="s">
        <v>60</v>
      </c>
      <c r="M683" s="59" t="s">
        <v>22</v>
      </c>
      <c r="N683" s="59"/>
      <c r="O683" s="59"/>
      <c r="P683" s="59"/>
      <c r="Q683" s="59"/>
      <c r="R683" s="63" t="s">
        <v>2168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6652.0</v>
      </c>
      <c r="B684" s="23" t="s">
        <v>2169</v>
      </c>
      <c r="C684" s="24" t="s">
        <v>2170</v>
      </c>
      <c r="D684" s="118" t="s">
        <v>2171</v>
      </c>
      <c r="E684" s="26">
        <v>19.0</v>
      </c>
      <c r="F684" s="26">
        <v>160.0</v>
      </c>
      <c r="G684" s="26">
        <v>6.0</v>
      </c>
      <c r="H684" s="27">
        <v>9.0</v>
      </c>
      <c r="I684" s="27">
        <v>13.0</v>
      </c>
      <c r="J684" s="27">
        <v>2.0</v>
      </c>
      <c r="K684" s="58">
        <v>66.0</v>
      </c>
      <c r="L684" s="29" t="s">
        <v>21</v>
      </c>
      <c r="M684" s="59" t="s">
        <v>22</v>
      </c>
      <c r="N684" s="59"/>
      <c r="O684" s="59"/>
      <c r="P684" s="59"/>
      <c r="Q684" s="59"/>
      <c r="R684" s="63" t="s">
        <v>2172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22">
        <v>1153.0</v>
      </c>
      <c r="B685" s="23" t="s">
        <v>2173</v>
      </c>
      <c r="C685" s="24" t="s">
        <v>2174</v>
      </c>
      <c r="D685" s="118" t="s">
        <v>2175</v>
      </c>
      <c r="E685" s="26">
        <v>1.0</v>
      </c>
      <c r="F685" s="26">
        <v>1.0</v>
      </c>
      <c r="G685" s="26">
        <v>1.0</v>
      </c>
      <c r="H685" s="102"/>
      <c r="I685" s="102"/>
      <c r="J685" s="102"/>
      <c r="K685" s="58">
        <v>3.0</v>
      </c>
      <c r="L685" s="44" t="s">
        <v>210</v>
      </c>
      <c r="M685" s="59" t="s">
        <v>22</v>
      </c>
      <c r="N685" s="59"/>
      <c r="O685" s="59"/>
      <c r="P685" s="59"/>
      <c r="Q685" s="59"/>
      <c r="R685" s="63" t="s">
        <v>2176</v>
      </c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34">
        <v>7605.0</v>
      </c>
      <c r="B686" s="49" t="s">
        <v>2177</v>
      </c>
      <c r="C686" s="35" t="s">
        <v>2178</v>
      </c>
      <c r="D686" s="119" t="s">
        <v>2179</v>
      </c>
      <c r="E686" s="108">
        <v>19.0</v>
      </c>
      <c r="F686" s="26">
        <v>322.0</v>
      </c>
      <c r="G686" s="26">
        <v>5.0</v>
      </c>
      <c r="H686" s="37">
        <v>1.0</v>
      </c>
      <c r="I686" s="37">
        <v>0.0</v>
      </c>
      <c r="J686" s="37">
        <v>0.0</v>
      </c>
      <c r="K686" s="38">
        <v>4.0</v>
      </c>
      <c r="L686" s="40"/>
      <c r="M686" s="40" t="s">
        <v>79</v>
      </c>
      <c r="N686" s="40"/>
      <c r="O686" s="40"/>
      <c r="P686" s="40"/>
      <c r="Q686" s="40"/>
      <c r="R686" s="52" t="s">
        <v>2180</v>
      </c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22">
        <v>400.0</v>
      </c>
      <c r="B687" s="23" t="s">
        <v>2181</v>
      </c>
      <c r="C687" s="24" t="s">
        <v>2182</v>
      </c>
      <c r="D687" s="118" t="s">
        <v>2183</v>
      </c>
      <c r="E687" s="108">
        <v>26.0</v>
      </c>
      <c r="F687" s="26">
        <v>22.0</v>
      </c>
      <c r="G687" s="26">
        <v>3.0</v>
      </c>
      <c r="H687" s="27">
        <v>10.0</v>
      </c>
      <c r="I687" s="27">
        <v>4.0</v>
      </c>
      <c r="J687" s="27">
        <v>1.0</v>
      </c>
      <c r="K687" s="58">
        <v>27.0</v>
      </c>
      <c r="L687" s="44" t="s">
        <v>144</v>
      </c>
      <c r="M687" s="59" t="s">
        <v>22</v>
      </c>
      <c r="N687" s="59"/>
      <c r="O687" s="59"/>
      <c r="P687" s="59"/>
      <c r="Q687" s="59"/>
      <c r="R687" s="63" t="s">
        <v>2184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38.0</v>
      </c>
      <c r="B688" s="23" t="s">
        <v>2185</v>
      </c>
      <c r="C688" s="24" t="s">
        <v>2186</v>
      </c>
      <c r="D688" s="118" t="s">
        <v>2187</v>
      </c>
      <c r="E688" s="108">
        <v>178.0</v>
      </c>
      <c r="F688" s="26">
        <v>451.0</v>
      </c>
      <c r="G688" s="26">
        <v>9.0</v>
      </c>
      <c r="H688" s="27">
        <v>14.0</v>
      </c>
      <c r="I688" s="27">
        <v>4.0</v>
      </c>
      <c r="J688" s="27">
        <v>1.0</v>
      </c>
      <c r="K688" s="58">
        <v>4.0</v>
      </c>
      <c r="L688" s="29" t="s">
        <v>36</v>
      </c>
      <c r="M688" s="59" t="s">
        <v>22</v>
      </c>
      <c r="N688" s="59"/>
      <c r="O688" s="59"/>
      <c r="P688" s="59"/>
      <c r="Q688" s="59"/>
      <c r="R688" s="63" t="s">
        <v>2188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6928.0</v>
      </c>
      <c r="B689" s="23" t="s">
        <v>2189</v>
      </c>
      <c r="C689" s="24" t="s">
        <v>2190</v>
      </c>
      <c r="D689" s="118" t="s">
        <v>2191</v>
      </c>
      <c r="E689" s="26">
        <v>3.0</v>
      </c>
      <c r="F689" s="26">
        <v>3.0</v>
      </c>
      <c r="G689" s="26">
        <v>1.0</v>
      </c>
      <c r="H689" s="27">
        <v>2.0</v>
      </c>
      <c r="I689" s="27">
        <v>1.0</v>
      </c>
      <c r="J689" s="27">
        <v>1.0</v>
      </c>
      <c r="K689" s="28">
        <v>6.0</v>
      </c>
      <c r="L689" s="44" t="s">
        <v>137</v>
      </c>
      <c r="M689" s="30" t="s">
        <v>22</v>
      </c>
      <c r="N689" s="30"/>
      <c r="O689" s="30"/>
      <c r="P689" s="30"/>
      <c r="Q689" s="30"/>
      <c r="R689" s="63" t="s">
        <v>2192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2">
        <v>7760.0</v>
      </c>
      <c r="B690" s="23" t="s">
        <v>2193</v>
      </c>
      <c r="C690" s="102"/>
      <c r="D690" s="118" t="s">
        <v>2194</v>
      </c>
      <c r="E690" s="108">
        <v>7.0</v>
      </c>
      <c r="F690" s="26">
        <v>11.0</v>
      </c>
      <c r="G690" s="26">
        <v>2.0</v>
      </c>
      <c r="H690" s="27">
        <v>4.0</v>
      </c>
      <c r="I690" s="27">
        <v>5.0</v>
      </c>
      <c r="J690" s="27">
        <v>2.0</v>
      </c>
      <c r="K690" s="28">
        <v>5.0</v>
      </c>
      <c r="L690" s="29" t="s">
        <v>167</v>
      </c>
      <c r="M690" s="30" t="s">
        <v>22</v>
      </c>
      <c r="N690" s="30"/>
      <c r="O690" s="30"/>
      <c r="P690" s="30"/>
      <c r="Q690" s="30"/>
      <c r="R690" s="63" t="s">
        <v>2195</v>
      </c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22">
        <v>207.0</v>
      </c>
      <c r="B691" s="23" t="s">
        <v>2196</v>
      </c>
      <c r="C691" s="24" t="s">
        <v>2197</v>
      </c>
      <c r="D691" s="102"/>
      <c r="E691" s="153"/>
      <c r="F691" s="153"/>
      <c r="G691" s="153"/>
      <c r="H691" s="102"/>
      <c r="I691" s="102"/>
      <c r="J691" s="102"/>
      <c r="K691" s="28">
        <v>8.0</v>
      </c>
      <c r="L691" s="44" t="s">
        <v>120</v>
      </c>
      <c r="M691" s="30" t="s">
        <v>22</v>
      </c>
      <c r="N691" s="30"/>
      <c r="O691" s="30"/>
      <c r="P691" s="30"/>
      <c r="Q691" s="30"/>
      <c r="R691" s="12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34">
        <v>6637.0</v>
      </c>
      <c r="B692" s="49" t="s">
        <v>2198</v>
      </c>
      <c r="C692" s="35" t="s">
        <v>2199</v>
      </c>
      <c r="D692" s="127"/>
      <c r="E692" s="153"/>
      <c r="F692" s="153"/>
      <c r="G692" s="153"/>
      <c r="H692" s="127"/>
      <c r="I692" s="127"/>
      <c r="J692" s="127"/>
      <c r="K692" s="154"/>
      <c r="L692" s="155"/>
      <c r="M692" s="155" t="s">
        <v>79</v>
      </c>
      <c r="N692" s="155"/>
      <c r="O692" s="155"/>
      <c r="P692" s="155"/>
      <c r="Q692" s="155"/>
      <c r="R692" s="53" t="s">
        <v>2200</v>
      </c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34">
        <v>7011.0</v>
      </c>
      <c r="B693" s="49" t="s">
        <v>2201</v>
      </c>
      <c r="C693" s="127"/>
      <c r="D693" s="127"/>
      <c r="E693" s="153"/>
      <c r="F693" s="153"/>
      <c r="G693" s="153"/>
      <c r="H693" s="127"/>
      <c r="I693" s="127"/>
      <c r="J693" s="127"/>
      <c r="K693" s="38">
        <v>0.0</v>
      </c>
      <c r="L693" s="40" t="s">
        <v>78</v>
      </c>
      <c r="M693" s="40" t="s">
        <v>79</v>
      </c>
      <c r="N693" s="40"/>
      <c r="O693" s="40"/>
      <c r="P693" s="40"/>
      <c r="Q693" s="40"/>
      <c r="R693" s="52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22">
        <v>546.0</v>
      </c>
      <c r="B694" s="23" t="s">
        <v>2202</v>
      </c>
      <c r="C694" s="24" t="s">
        <v>2203</v>
      </c>
      <c r="D694" s="118" t="s">
        <v>2204</v>
      </c>
      <c r="E694" s="26">
        <v>5.0</v>
      </c>
      <c r="F694" s="26">
        <v>22.0</v>
      </c>
      <c r="G694" s="26">
        <v>2.0</v>
      </c>
      <c r="H694" s="47">
        <v>4.0</v>
      </c>
      <c r="I694" s="47">
        <v>3.0</v>
      </c>
      <c r="J694" s="47">
        <v>1.0</v>
      </c>
      <c r="K694" s="28">
        <v>41.0</v>
      </c>
      <c r="L694" s="44" t="s">
        <v>171</v>
      </c>
      <c r="M694" s="30" t="s">
        <v>22</v>
      </c>
      <c r="N694" s="30"/>
      <c r="O694" s="30"/>
      <c r="P694" s="30"/>
      <c r="Q694" s="30"/>
      <c r="R694" s="63" t="s">
        <v>2205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22">
        <v>4883.0</v>
      </c>
      <c r="B695" s="23" t="s">
        <v>2206</v>
      </c>
      <c r="C695" s="111" t="s">
        <v>2207</v>
      </c>
      <c r="D695" s="118" t="s">
        <v>2208</v>
      </c>
      <c r="E695" s="108">
        <v>24.0</v>
      </c>
      <c r="F695" s="26">
        <v>128.0</v>
      </c>
      <c r="G695" s="26">
        <v>7.0</v>
      </c>
      <c r="H695" s="27">
        <v>4.0</v>
      </c>
      <c r="I695" s="27">
        <v>6.0</v>
      </c>
      <c r="J695" s="27">
        <v>2.0</v>
      </c>
      <c r="K695" s="28">
        <v>90.0</v>
      </c>
      <c r="L695" s="29" t="s">
        <v>71</v>
      </c>
      <c r="M695" s="30" t="s">
        <v>22</v>
      </c>
      <c r="N695" s="30"/>
      <c r="O695" s="30"/>
      <c r="P695" s="30"/>
      <c r="Q695" s="30"/>
      <c r="R695" s="63" t="s">
        <v>2209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4">
        <v>4046.0</v>
      </c>
      <c r="B696" s="23" t="s">
        <v>2210</v>
      </c>
      <c r="C696" s="127" t="s">
        <v>2211</v>
      </c>
      <c r="D696" s="156" t="s">
        <v>2212</v>
      </c>
      <c r="E696" s="26">
        <v>5.0</v>
      </c>
      <c r="F696" s="26">
        <v>31.0</v>
      </c>
      <c r="G696" s="26">
        <v>2.0</v>
      </c>
      <c r="H696" s="51"/>
      <c r="I696" s="51"/>
      <c r="J696" s="51"/>
      <c r="K696" s="38">
        <v>0.0</v>
      </c>
      <c r="L696" s="29" t="s">
        <v>71</v>
      </c>
      <c r="M696" s="40" t="s">
        <v>22</v>
      </c>
      <c r="N696" s="40"/>
      <c r="O696" s="40"/>
      <c r="P696" s="40"/>
      <c r="Q696" s="40"/>
      <c r="R696" s="63" t="s">
        <v>2213</v>
      </c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34">
        <v>1247.0</v>
      </c>
      <c r="B697" s="49" t="s">
        <v>2214</v>
      </c>
      <c r="C697" s="127"/>
      <c r="D697" s="157"/>
      <c r="E697" s="48"/>
      <c r="F697" s="48"/>
      <c r="G697" s="48"/>
      <c r="H697" s="51"/>
      <c r="I697" s="51"/>
      <c r="J697" s="51"/>
      <c r="K697" s="38">
        <v>5.0</v>
      </c>
      <c r="L697" s="40"/>
      <c r="M697" s="40" t="s">
        <v>79</v>
      </c>
      <c r="N697" s="40"/>
      <c r="O697" s="40"/>
      <c r="P697" s="40"/>
      <c r="Q697" s="40"/>
      <c r="R697" s="52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22">
        <v>3671.0</v>
      </c>
      <c r="B698" s="23" t="s">
        <v>2215</v>
      </c>
      <c r="C698" s="24" t="s">
        <v>2216</v>
      </c>
      <c r="D698" s="118" t="s">
        <v>2217</v>
      </c>
      <c r="E698" s="26">
        <v>3.0</v>
      </c>
      <c r="F698" s="26">
        <v>0.0</v>
      </c>
      <c r="G698" s="26">
        <v>0.0</v>
      </c>
      <c r="H698" s="27">
        <v>1.0</v>
      </c>
      <c r="I698" s="27">
        <v>0.0</v>
      </c>
      <c r="J698" s="27">
        <v>0.0</v>
      </c>
      <c r="K698" s="58">
        <v>24.0</v>
      </c>
      <c r="L698" s="29" t="s">
        <v>36</v>
      </c>
      <c r="M698" s="59" t="s">
        <v>22</v>
      </c>
      <c r="N698" s="59"/>
      <c r="O698" s="59"/>
      <c r="P698" s="59"/>
      <c r="Q698" s="59"/>
      <c r="R698" s="63" t="s">
        <v>2218</v>
      </c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2">
        <v>311.0</v>
      </c>
      <c r="B699" s="23" t="s">
        <v>2219</v>
      </c>
      <c r="C699" s="111" t="s">
        <v>2220</v>
      </c>
      <c r="D699" s="118" t="s">
        <v>2221</v>
      </c>
      <c r="E699" s="108">
        <v>11.0</v>
      </c>
      <c r="F699" s="26">
        <v>65.0</v>
      </c>
      <c r="G699" s="26">
        <v>6.0</v>
      </c>
      <c r="H699" s="47">
        <v>2.0</v>
      </c>
      <c r="I699" s="47">
        <v>0.0</v>
      </c>
      <c r="J699" s="47">
        <v>0.0</v>
      </c>
      <c r="K699" s="58">
        <v>63.0</v>
      </c>
      <c r="L699" s="29" t="s">
        <v>71</v>
      </c>
      <c r="M699" s="59" t="s">
        <v>22</v>
      </c>
      <c r="N699" s="59"/>
      <c r="O699" s="59"/>
      <c r="P699" s="59"/>
      <c r="Q699" s="59"/>
      <c r="R699" s="63" t="s">
        <v>2222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1257.0</v>
      </c>
      <c r="B700" s="23" t="s">
        <v>2223</v>
      </c>
      <c r="C700" s="24" t="s">
        <v>2224</v>
      </c>
      <c r="D700" s="118" t="s">
        <v>2225</v>
      </c>
      <c r="E700" s="26">
        <v>4.0</v>
      </c>
      <c r="F700" s="26">
        <v>3.0</v>
      </c>
      <c r="G700" s="26">
        <v>1.0</v>
      </c>
      <c r="H700" s="27">
        <v>3.0</v>
      </c>
      <c r="I700" s="27">
        <v>2.0</v>
      </c>
      <c r="J700" s="27">
        <v>1.0</v>
      </c>
      <c r="K700" s="58">
        <v>10.0</v>
      </c>
      <c r="L700" s="44" t="s">
        <v>60</v>
      </c>
      <c r="M700" s="59" t="s">
        <v>22</v>
      </c>
      <c r="N700" s="59"/>
      <c r="O700" s="59"/>
      <c r="P700" s="59"/>
      <c r="Q700" s="59"/>
      <c r="R700" s="63" t="s">
        <v>2226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2">
        <v>1046.0</v>
      </c>
      <c r="B701" s="23" t="s">
        <v>2227</v>
      </c>
      <c r="C701" s="24" t="s">
        <v>2228</v>
      </c>
      <c r="D701" s="118" t="s">
        <v>2229</v>
      </c>
      <c r="E701" s="26">
        <v>48.0</v>
      </c>
      <c r="F701" s="26">
        <v>212.0</v>
      </c>
      <c r="G701" s="26">
        <v>6.0</v>
      </c>
      <c r="H701" s="47">
        <v>7.0</v>
      </c>
      <c r="I701" s="47">
        <v>10.0</v>
      </c>
      <c r="J701" s="47">
        <v>2.0</v>
      </c>
      <c r="K701" s="58">
        <v>2.0</v>
      </c>
      <c r="L701" s="39"/>
      <c r="M701" s="59" t="s">
        <v>22</v>
      </c>
      <c r="N701" s="59"/>
      <c r="O701" s="59"/>
      <c r="P701" s="59"/>
      <c r="Q701" s="59"/>
      <c r="R701" s="63" t="s">
        <v>2230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2">
        <v>6777.0</v>
      </c>
      <c r="B702" s="23" t="s">
        <v>2231</v>
      </c>
      <c r="C702" s="24" t="s">
        <v>2232</v>
      </c>
      <c r="D702" s="118" t="s">
        <v>2233</v>
      </c>
      <c r="E702" s="64">
        <v>7.0</v>
      </c>
      <c r="F702" s="26">
        <v>12.0</v>
      </c>
      <c r="G702" s="26">
        <v>3.0</v>
      </c>
      <c r="H702" s="27">
        <v>1.0</v>
      </c>
      <c r="I702" s="27">
        <v>0.0</v>
      </c>
      <c r="J702" s="27">
        <v>0.0</v>
      </c>
      <c r="K702" s="58">
        <v>12.0</v>
      </c>
      <c r="L702" s="39"/>
      <c r="M702" s="59" t="s">
        <v>22</v>
      </c>
      <c r="N702" s="59"/>
      <c r="O702" s="59"/>
      <c r="P702" s="59"/>
      <c r="Q702" s="59"/>
      <c r="R702" s="63" t="s">
        <v>2234</v>
      </c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2"/>
      <c r="B703" s="23" t="s">
        <v>2235</v>
      </c>
      <c r="C703" s="27"/>
      <c r="D703" s="122"/>
      <c r="E703" s="48"/>
      <c r="F703" s="48"/>
      <c r="G703" s="48"/>
      <c r="H703" s="47"/>
      <c r="I703" s="47"/>
      <c r="J703" s="47"/>
      <c r="K703" s="28">
        <v>0.0</v>
      </c>
      <c r="L703" s="39"/>
      <c r="M703" s="30" t="s">
        <v>22</v>
      </c>
      <c r="N703" s="30"/>
      <c r="O703" s="30"/>
      <c r="P703" s="30"/>
      <c r="Q703" s="30"/>
      <c r="R703" s="12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1201.0</v>
      </c>
      <c r="B704" s="23" t="s">
        <v>2236</v>
      </c>
      <c r="C704" s="24" t="s">
        <v>2237</v>
      </c>
      <c r="D704" s="118" t="s">
        <v>2238</v>
      </c>
      <c r="E704" s="26">
        <v>1.0</v>
      </c>
      <c r="F704" s="26">
        <v>0.0</v>
      </c>
      <c r="G704" s="26">
        <v>0.0</v>
      </c>
      <c r="H704" s="47"/>
      <c r="I704" s="47"/>
      <c r="J704" s="47"/>
      <c r="K704" s="58">
        <v>19.0</v>
      </c>
      <c r="L704" s="29" t="s">
        <v>71</v>
      </c>
      <c r="M704" s="59" t="s">
        <v>22</v>
      </c>
      <c r="N704" s="59"/>
      <c r="O704" s="59"/>
      <c r="P704" s="59"/>
      <c r="Q704" s="59"/>
      <c r="R704" s="63" t="s">
        <v>2239</v>
      </c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706.0</v>
      </c>
      <c r="B705" s="23" t="s">
        <v>2240</v>
      </c>
      <c r="C705" s="27"/>
      <c r="D705" s="122"/>
      <c r="E705" s="48"/>
      <c r="F705" s="48"/>
      <c r="G705" s="48"/>
      <c r="H705" s="47"/>
      <c r="I705" s="47"/>
      <c r="J705" s="47"/>
      <c r="K705" s="28">
        <v>1.0</v>
      </c>
      <c r="L705" s="29"/>
      <c r="M705" s="30" t="s">
        <v>22</v>
      </c>
      <c r="N705" s="30"/>
      <c r="O705" s="30"/>
      <c r="P705" s="30"/>
      <c r="Q705" s="30"/>
      <c r="R705" s="12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578.0</v>
      </c>
      <c r="B706" s="23" t="s">
        <v>2241</v>
      </c>
      <c r="C706" s="27"/>
      <c r="D706" s="122"/>
      <c r="E706" s="48"/>
      <c r="F706" s="48"/>
      <c r="G706" s="48"/>
      <c r="H706" s="47"/>
      <c r="I706" s="47"/>
      <c r="J706" s="47"/>
      <c r="K706" s="28">
        <v>0.0</v>
      </c>
      <c r="L706" s="44" t="s">
        <v>128</v>
      </c>
      <c r="M706" s="30" t="s">
        <v>22</v>
      </c>
      <c r="N706" s="30"/>
      <c r="O706" s="30"/>
      <c r="P706" s="30"/>
      <c r="Q706" s="30"/>
      <c r="R706" s="12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22">
        <v>3663.0</v>
      </c>
      <c r="B707" s="23" t="s">
        <v>2242</v>
      </c>
      <c r="C707" s="27"/>
      <c r="D707" s="122"/>
      <c r="E707" s="48"/>
      <c r="F707" s="48"/>
      <c r="G707" s="48"/>
      <c r="H707" s="47"/>
      <c r="I707" s="47"/>
      <c r="J707" s="47"/>
      <c r="K707" s="28">
        <v>1.0</v>
      </c>
      <c r="L707" s="39"/>
      <c r="M707" s="30" t="s">
        <v>22</v>
      </c>
      <c r="N707" s="30"/>
      <c r="O707" s="30"/>
      <c r="P707" s="30"/>
      <c r="Q707" s="30"/>
      <c r="R707" s="12"/>
      <c r="S707" s="13"/>
      <c r="T707" s="13"/>
      <c r="U707" s="13"/>
      <c r="V707" s="13"/>
      <c r="W707" s="13"/>
      <c r="X707" s="13"/>
      <c r="Y707" s="13"/>
      <c r="Z707" s="13"/>
    </row>
    <row r="708" ht="53.25" customHeight="1">
      <c r="A708" s="22">
        <v>7889.0</v>
      </c>
      <c r="B708" s="23" t="s">
        <v>2243</v>
      </c>
      <c r="C708" s="27"/>
      <c r="D708" s="158" t="s">
        <v>2244</v>
      </c>
      <c r="E708" s="26">
        <v>4.0</v>
      </c>
      <c r="F708" s="26">
        <v>0.0</v>
      </c>
      <c r="G708" s="26">
        <v>0.0</v>
      </c>
      <c r="H708" s="47"/>
      <c r="I708" s="47"/>
      <c r="J708" s="47"/>
      <c r="K708" s="28">
        <v>15.0</v>
      </c>
      <c r="L708" s="29" t="s">
        <v>21</v>
      </c>
      <c r="M708" s="30" t="s">
        <v>22</v>
      </c>
      <c r="N708" s="159" t="s">
        <v>2245</v>
      </c>
      <c r="O708" s="30"/>
      <c r="P708" s="30"/>
      <c r="Q708" s="30"/>
      <c r="R708" s="12" t="s">
        <v>2246</v>
      </c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6259.0</v>
      </c>
      <c r="B709" s="23" t="s">
        <v>2247</v>
      </c>
      <c r="C709" s="24" t="s">
        <v>2248</v>
      </c>
      <c r="D709" s="160" t="s">
        <v>2249</v>
      </c>
      <c r="E709" s="26">
        <v>14.0</v>
      </c>
      <c r="F709" s="26">
        <v>25.0</v>
      </c>
      <c r="G709" s="26">
        <v>4.0</v>
      </c>
      <c r="H709" s="27">
        <v>7.0</v>
      </c>
      <c r="I709" s="27">
        <v>8.0</v>
      </c>
      <c r="J709" s="27">
        <v>2.0</v>
      </c>
      <c r="K709" s="58">
        <v>10.0</v>
      </c>
      <c r="L709" s="44" t="s">
        <v>41</v>
      </c>
      <c r="M709" s="59" t="s">
        <v>22</v>
      </c>
      <c r="N709" s="59"/>
      <c r="O709" s="59"/>
      <c r="P709" s="59"/>
      <c r="Q709" s="59"/>
      <c r="R709" s="63" t="s">
        <v>2250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6762.0</v>
      </c>
      <c r="B710" s="23" t="s">
        <v>2251</v>
      </c>
      <c r="C710" s="24" t="s">
        <v>2252</v>
      </c>
      <c r="D710" s="161" t="s">
        <v>2253</v>
      </c>
      <c r="E710" s="26">
        <v>3.0</v>
      </c>
      <c r="F710" s="26">
        <v>1.0</v>
      </c>
      <c r="G710" s="26">
        <v>1.0</v>
      </c>
      <c r="H710" s="47"/>
      <c r="I710" s="47"/>
      <c r="J710" s="47"/>
      <c r="K710" s="58">
        <v>5.0</v>
      </c>
      <c r="L710" s="44" t="s">
        <v>120</v>
      </c>
      <c r="M710" s="59" t="s">
        <v>22</v>
      </c>
      <c r="N710" s="59"/>
      <c r="O710" s="59"/>
      <c r="P710" s="59"/>
      <c r="Q710" s="59"/>
      <c r="R710" s="63" t="s">
        <v>2254</v>
      </c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7134.0</v>
      </c>
      <c r="B711" s="23" t="s">
        <v>2255</v>
      </c>
      <c r="C711" s="24" t="s">
        <v>2256</v>
      </c>
      <c r="D711" s="160" t="s">
        <v>2257</v>
      </c>
      <c r="E711" s="26">
        <v>3.0</v>
      </c>
      <c r="F711" s="26">
        <v>3.0</v>
      </c>
      <c r="G711" s="26">
        <v>1.0</v>
      </c>
      <c r="H711" s="27">
        <v>2.0</v>
      </c>
      <c r="I711" s="27">
        <v>0.0</v>
      </c>
      <c r="J711" s="27">
        <v>0.0</v>
      </c>
      <c r="K711" s="58">
        <v>1.0</v>
      </c>
      <c r="L711" s="39"/>
      <c r="M711" s="59" t="s">
        <v>22</v>
      </c>
      <c r="N711" s="59"/>
      <c r="O711" s="59"/>
      <c r="P711" s="59"/>
      <c r="Q711" s="59"/>
      <c r="R711" s="63" t="s">
        <v>2258</v>
      </c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608.0</v>
      </c>
      <c r="B712" s="23" t="s">
        <v>2259</v>
      </c>
      <c r="C712" s="162" t="s">
        <v>2260</v>
      </c>
      <c r="D712" s="160" t="s">
        <v>2261</v>
      </c>
      <c r="E712" s="26">
        <v>1.0</v>
      </c>
      <c r="F712" s="26">
        <v>4.0</v>
      </c>
      <c r="G712" s="26">
        <v>1.0</v>
      </c>
      <c r="H712" s="27">
        <v>1.0</v>
      </c>
      <c r="I712" s="27">
        <v>2.0</v>
      </c>
      <c r="J712" s="27">
        <v>1.0</v>
      </c>
      <c r="K712" s="58">
        <v>6.0</v>
      </c>
      <c r="L712" s="39" t="s">
        <v>91</v>
      </c>
      <c r="M712" s="59" t="s">
        <v>22</v>
      </c>
      <c r="N712" s="59"/>
      <c r="O712" s="59"/>
      <c r="P712" s="59"/>
      <c r="Q712" s="59"/>
      <c r="R712" s="63" t="s">
        <v>2262</v>
      </c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2">
        <v>1204.0</v>
      </c>
      <c r="B713" s="23" t="s">
        <v>2263</v>
      </c>
      <c r="C713" s="24" t="s">
        <v>2264</v>
      </c>
      <c r="D713" s="160" t="s">
        <v>2265</v>
      </c>
      <c r="E713" s="26">
        <v>2.0</v>
      </c>
      <c r="F713" s="26">
        <v>17.0</v>
      </c>
      <c r="G713" s="26">
        <v>2.0</v>
      </c>
      <c r="H713" s="47"/>
      <c r="I713" s="47"/>
      <c r="J713" s="47"/>
      <c r="K713" s="58">
        <v>1.0</v>
      </c>
      <c r="L713" s="44" t="s">
        <v>409</v>
      </c>
      <c r="M713" s="59" t="s">
        <v>22</v>
      </c>
      <c r="N713" s="59"/>
      <c r="O713" s="59"/>
      <c r="P713" s="59"/>
      <c r="Q713" s="59"/>
      <c r="R713" s="63" t="s">
        <v>2266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5624.0</v>
      </c>
      <c r="B714" s="23" t="s">
        <v>2267</v>
      </c>
      <c r="C714" s="24" t="s">
        <v>2268</v>
      </c>
      <c r="D714" s="160" t="s">
        <v>2269</v>
      </c>
      <c r="E714" s="26">
        <v>12.0</v>
      </c>
      <c r="F714" s="26">
        <v>54.0</v>
      </c>
      <c r="G714" s="26">
        <v>4.0</v>
      </c>
      <c r="H714" s="27">
        <v>4.0</v>
      </c>
      <c r="I714" s="27">
        <v>10.0</v>
      </c>
      <c r="J714" s="27">
        <v>2.0</v>
      </c>
      <c r="K714" s="28">
        <v>6.0</v>
      </c>
      <c r="L714" s="44" t="s">
        <v>137</v>
      </c>
      <c r="M714" s="30" t="s">
        <v>22</v>
      </c>
      <c r="N714" s="30"/>
      <c r="O714" s="30"/>
      <c r="P714" s="30"/>
      <c r="Q714" s="30"/>
      <c r="R714" s="63" t="s">
        <v>2270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34.0</v>
      </c>
      <c r="B715" s="23" t="s">
        <v>2271</v>
      </c>
      <c r="C715" s="24" t="s">
        <v>2272</v>
      </c>
      <c r="D715" s="160" t="s">
        <v>2273</v>
      </c>
      <c r="E715" s="26">
        <v>4.0</v>
      </c>
      <c r="F715" s="26">
        <v>1.0</v>
      </c>
      <c r="G715" s="26">
        <v>1.0</v>
      </c>
      <c r="H715" s="47"/>
      <c r="I715" s="47"/>
      <c r="J715" s="47"/>
      <c r="K715" s="147"/>
      <c r="L715" s="163"/>
      <c r="M715" s="149" t="s">
        <v>22</v>
      </c>
      <c r="N715" s="149"/>
      <c r="O715" s="149"/>
      <c r="P715" s="149"/>
      <c r="Q715" s="149"/>
      <c r="R715" s="63" t="s">
        <v>2274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543.0</v>
      </c>
      <c r="B716" s="23" t="s">
        <v>2275</v>
      </c>
      <c r="C716" s="27"/>
      <c r="D716" s="122"/>
      <c r="E716" s="48"/>
      <c r="F716" s="48"/>
      <c r="G716" s="48"/>
      <c r="H716" s="47"/>
      <c r="I716" s="47"/>
      <c r="J716" s="47"/>
      <c r="K716" s="28">
        <v>0.0</v>
      </c>
      <c r="L716" s="44" t="s">
        <v>102</v>
      </c>
      <c r="M716" s="30" t="s">
        <v>22</v>
      </c>
      <c r="N716" s="30"/>
      <c r="O716" s="30"/>
      <c r="P716" s="30"/>
      <c r="Q716" s="30"/>
      <c r="R716" s="61" t="s">
        <v>2276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1726.0</v>
      </c>
      <c r="B717" s="23" t="s">
        <v>2277</v>
      </c>
      <c r="C717" s="24" t="s">
        <v>2278</v>
      </c>
      <c r="D717" s="160" t="s">
        <v>2279</v>
      </c>
      <c r="E717" s="26">
        <v>20.0</v>
      </c>
      <c r="F717" s="26">
        <v>9.0</v>
      </c>
      <c r="G717" s="26">
        <v>2.0</v>
      </c>
      <c r="H717" s="27">
        <v>3.0</v>
      </c>
      <c r="I717" s="27">
        <v>2.0</v>
      </c>
      <c r="J717" s="27">
        <v>1.0</v>
      </c>
      <c r="K717" s="58">
        <v>3.0</v>
      </c>
      <c r="L717" s="44" t="s">
        <v>144</v>
      </c>
      <c r="M717" s="59" t="s">
        <v>22</v>
      </c>
      <c r="N717" s="59"/>
      <c r="O717" s="59"/>
      <c r="P717" s="59"/>
      <c r="Q717" s="59"/>
      <c r="R717" s="63" t="s">
        <v>2280</v>
      </c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4314.0</v>
      </c>
      <c r="B718" s="23" t="s">
        <v>2281</v>
      </c>
      <c r="C718" s="24" t="s">
        <v>2282</v>
      </c>
      <c r="D718" s="27"/>
      <c r="E718" s="48"/>
      <c r="F718" s="48"/>
      <c r="G718" s="48"/>
      <c r="H718" s="47"/>
      <c r="I718" s="47"/>
      <c r="J718" s="47"/>
      <c r="K718" s="58">
        <v>2.0</v>
      </c>
      <c r="L718" s="29" t="s">
        <v>71</v>
      </c>
      <c r="M718" s="59" t="s">
        <v>22</v>
      </c>
      <c r="N718" s="59"/>
      <c r="O718" s="59"/>
      <c r="P718" s="59"/>
      <c r="Q718" s="164"/>
      <c r="R718" s="165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>
        <v>7160.0</v>
      </c>
      <c r="B719" s="23" t="s">
        <v>2283</v>
      </c>
      <c r="C719" s="24" t="s">
        <v>2284</v>
      </c>
      <c r="D719" s="166" t="s">
        <v>2285</v>
      </c>
      <c r="E719" s="26">
        <v>4.0</v>
      </c>
      <c r="F719" s="26">
        <v>1.0</v>
      </c>
      <c r="G719" s="26">
        <v>1.0</v>
      </c>
      <c r="H719" s="47">
        <v>0.0</v>
      </c>
      <c r="I719" s="47">
        <v>0.0</v>
      </c>
      <c r="J719" s="47">
        <v>0.0</v>
      </c>
      <c r="K719" s="28">
        <v>2.0</v>
      </c>
      <c r="L719" s="29" t="s">
        <v>356</v>
      </c>
      <c r="M719" s="30" t="s">
        <v>22</v>
      </c>
      <c r="N719" s="30"/>
      <c r="O719" s="30"/>
      <c r="P719" s="30"/>
      <c r="Q719" s="167"/>
      <c r="R719" s="168" t="s">
        <v>2286</v>
      </c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22"/>
      <c r="B720" s="23" t="s">
        <v>2287</v>
      </c>
      <c r="C720" s="81"/>
      <c r="D720" s="166"/>
      <c r="E720" s="48"/>
      <c r="F720" s="48"/>
      <c r="G720" s="48"/>
      <c r="H720" s="47"/>
      <c r="I720" s="47"/>
      <c r="J720" s="47"/>
      <c r="K720" s="28"/>
      <c r="L720" s="44" t="s">
        <v>210</v>
      </c>
      <c r="M720" s="30"/>
      <c r="N720" s="30"/>
      <c r="O720" s="30"/>
      <c r="P720" s="30"/>
      <c r="Q720" s="167"/>
      <c r="R720" s="165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34"/>
      <c r="B721" s="23" t="s">
        <v>2288</v>
      </c>
      <c r="C721" s="151" t="s">
        <v>2289</v>
      </c>
      <c r="D721" s="169"/>
      <c r="E721" s="48"/>
      <c r="F721" s="48"/>
      <c r="G721" s="48"/>
      <c r="H721" s="51"/>
      <c r="I721" s="51"/>
      <c r="J721" s="51"/>
      <c r="K721" s="38"/>
      <c r="L721" s="29" t="s">
        <v>71</v>
      </c>
      <c r="M721" s="40" t="s">
        <v>22</v>
      </c>
      <c r="N721" s="40"/>
      <c r="O721" s="40"/>
      <c r="P721" s="40"/>
      <c r="Q721" s="40"/>
      <c r="R721" s="13" t="s">
        <v>2290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178.0</v>
      </c>
      <c r="B722" s="23" t="s">
        <v>2291</v>
      </c>
      <c r="C722" s="24" t="s">
        <v>2292</v>
      </c>
      <c r="D722" s="118" t="s">
        <v>2293</v>
      </c>
      <c r="E722" s="26">
        <v>39.0</v>
      </c>
      <c r="F722" s="26">
        <v>66.0</v>
      </c>
      <c r="G722" s="26">
        <v>5.0</v>
      </c>
      <c r="H722" s="27">
        <v>12.0</v>
      </c>
      <c r="I722" s="27">
        <v>10.0</v>
      </c>
      <c r="J722" s="27">
        <v>2.0</v>
      </c>
      <c r="K722" s="58">
        <v>26.0</v>
      </c>
      <c r="L722" s="39"/>
      <c r="M722" s="59" t="s">
        <v>22</v>
      </c>
      <c r="N722" s="59"/>
      <c r="O722" s="59"/>
      <c r="P722" s="59"/>
      <c r="Q722" s="59"/>
      <c r="R722" s="63" t="s">
        <v>2294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396.0</v>
      </c>
      <c r="B723" s="23" t="s">
        <v>2295</v>
      </c>
      <c r="C723" s="24" t="s">
        <v>2296</v>
      </c>
      <c r="D723" s="118" t="s">
        <v>2297</v>
      </c>
      <c r="E723" s="108">
        <v>13.0</v>
      </c>
      <c r="F723" s="108">
        <v>36.0</v>
      </c>
      <c r="G723" s="108">
        <v>3.0</v>
      </c>
      <c r="H723" s="47">
        <v>4.0</v>
      </c>
      <c r="I723" s="47">
        <v>6.0</v>
      </c>
      <c r="J723" s="47">
        <v>2.0</v>
      </c>
      <c r="K723" s="58">
        <v>15.0</v>
      </c>
      <c r="L723" s="44" t="s">
        <v>186</v>
      </c>
      <c r="M723" s="59" t="s">
        <v>22</v>
      </c>
      <c r="N723" s="59"/>
      <c r="O723" s="59"/>
      <c r="P723" s="59"/>
      <c r="Q723" s="59"/>
      <c r="R723" s="63" t="s">
        <v>2298</v>
      </c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3356.0</v>
      </c>
      <c r="B724" s="23" t="s">
        <v>2299</v>
      </c>
      <c r="C724" s="24" t="s">
        <v>2300</v>
      </c>
      <c r="D724" s="118" t="s">
        <v>2301</v>
      </c>
      <c r="E724" s="26">
        <v>4.0</v>
      </c>
      <c r="F724" s="26">
        <v>8.0</v>
      </c>
      <c r="G724" s="26">
        <v>2.0</v>
      </c>
      <c r="H724" s="27">
        <v>1.0</v>
      </c>
      <c r="I724" s="27">
        <v>0.0</v>
      </c>
      <c r="J724" s="27">
        <v>0.0</v>
      </c>
      <c r="K724" s="58">
        <v>4.0</v>
      </c>
      <c r="L724" s="29" t="s">
        <v>71</v>
      </c>
      <c r="M724" s="59" t="s">
        <v>22</v>
      </c>
      <c r="N724" s="59"/>
      <c r="O724" s="59"/>
      <c r="P724" s="59"/>
      <c r="Q724" s="59"/>
      <c r="R724" s="63" t="s">
        <v>2302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>
        <v>4213.0</v>
      </c>
      <c r="B725" s="23" t="s">
        <v>2303</v>
      </c>
      <c r="C725" s="24" t="s">
        <v>2304</v>
      </c>
      <c r="D725" s="118" t="s">
        <v>2305</v>
      </c>
      <c r="E725" s="26">
        <v>13.0</v>
      </c>
      <c r="F725" s="26">
        <v>12.0</v>
      </c>
      <c r="G725" s="26">
        <v>2.0</v>
      </c>
      <c r="H725" s="27">
        <v>6.0</v>
      </c>
      <c r="I725" s="27">
        <v>0.0</v>
      </c>
      <c r="J725" s="27">
        <v>0.0</v>
      </c>
      <c r="K725" s="28">
        <v>11.0</v>
      </c>
      <c r="L725" s="45" t="s">
        <v>46</v>
      </c>
      <c r="M725" s="30" t="s">
        <v>22</v>
      </c>
      <c r="N725" s="30"/>
      <c r="O725" s="30"/>
      <c r="P725" s="30"/>
      <c r="Q725" s="30"/>
      <c r="R725" s="63" t="s">
        <v>2306</v>
      </c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2">
        <v>5695.0</v>
      </c>
      <c r="B726" s="23" t="s">
        <v>2307</v>
      </c>
      <c r="C726" s="24" t="s">
        <v>2308</v>
      </c>
      <c r="D726" s="118" t="s">
        <v>2309</v>
      </c>
      <c r="E726" s="26">
        <v>1.0</v>
      </c>
      <c r="F726" s="26">
        <v>0.0</v>
      </c>
      <c r="G726" s="26">
        <v>0.0</v>
      </c>
      <c r="H726" s="27">
        <v>1.0</v>
      </c>
      <c r="I726" s="27">
        <v>0.0</v>
      </c>
      <c r="J726" s="27">
        <v>0.0</v>
      </c>
      <c r="K726" s="58">
        <v>13.0</v>
      </c>
      <c r="L726" s="29" t="s">
        <v>36</v>
      </c>
      <c r="M726" s="59" t="s">
        <v>22</v>
      </c>
      <c r="N726" s="59"/>
      <c r="O726" s="59"/>
      <c r="P726" s="59"/>
      <c r="Q726" s="59"/>
      <c r="R726" s="63" t="s">
        <v>2310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5864.0</v>
      </c>
      <c r="B727" s="23" t="s">
        <v>2311</v>
      </c>
      <c r="C727" s="27"/>
      <c r="D727" s="166" t="s">
        <v>2312</v>
      </c>
      <c r="E727" s="26">
        <v>3.0</v>
      </c>
      <c r="F727" s="26">
        <v>1.0</v>
      </c>
      <c r="G727" s="26">
        <v>1.0</v>
      </c>
      <c r="H727" s="47"/>
      <c r="I727" s="47"/>
      <c r="J727" s="47"/>
      <c r="K727" s="28">
        <v>6.0</v>
      </c>
      <c r="L727" s="29" t="s">
        <v>71</v>
      </c>
      <c r="M727" s="30" t="s">
        <v>22</v>
      </c>
      <c r="N727" s="30"/>
      <c r="O727" s="30"/>
      <c r="P727" s="30"/>
      <c r="Q727" s="30"/>
      <c r="R727" s="63" t="s">
        <v>2313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5656.0</v>
      </c>
      <c r="B728" s="23" t="s">
        <v>2314</v>
      </c>
      <c r="C728" s="24" t="s">
        <v>2315</v>
      </c>
      <c r="D728" s="118" t="s">
        <v>2316</v>
      </c>
      <c r="E728" s="108">
        <v>6.0</v>
      </c>
      <c r="F728" s="26">
        <v>2.0</v>
      </c>
      <c r="G728" s="26">
        <v>1.0</v>
      </c>
      <c r="H728" s="47"/>
      <c r="I728" s="47"/>
      <c r="J728" s="47"/>
      <c r="K728" s="58">
        <v>6.0</v>
      </c>
      <c r="L728" s="39"/>
      <c r="M728" s="59" t="s">
        <v>22</v>
      </c>
      <c r="N728" s="59"/>
      <c r="O728" s="59"/>
      <c r="P728" s="59"/>
      <c r="Q728" s="59"/>
      <c r="R728" s="63" t="s">
        <v>2317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22">
        <v>2045.0</v>
      </c>
      <c r="B729" s="23" t="s">
        <v>2318</v>
      </c>
      <c r="C729" s="24" t="s">
        <v>2319</v>
      </c>
      <c r="D729" s="118" t="s">
        <v>2320</v>
      </c>
      <c r="E729" s="108">
        <v>20.0</v>
      </c>
      <c r="F729" s="26">
        <v>11.0</v>
      </c>
      <c r="G729" s="26">
        <v>2.0</v>
      </c>
      <c r="H729" s="27">
        <v>10.0</v>
      </c>
      <c r="I729" s="27">
        <v>1.0</v>
      </c>
      <c r="J729" s="27">
        <v>1.0</v>
      </c>
      <c r="K729" s="28">
        <v>28.0</v>
      </c>
      <c r="L729" s="44" t="s">
        <v>108</v>
      </c>
      <c r="M729" s="30" t="s">
        <v>22</v>
      </c>
      <c r="N729" s="30"/>
      <c r="O729" s="30"/>
      <c r="P729" s="30"/>
      <c r="Q729" s="30"/>
      <c r="R729" s="63" t="s">
        <v>2321</v>
      </c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34">
        <v>6230.0</v>
      </c>
      <c r="B730" s="49" t="s">
        <v>2322</v>
      </c>
      <c r="C730" s="35" t="s">
        <v>2323</v>
      </c>
      <c r="D730" s="119" t="s">
        <v>2324</v>
      </c>
      <c r="E730" s="26">
        <v>2.0</v>
      </c>
      <c r="F730" s="26">
        <v>4.0</v>
      </c>
      <c r="G730" s="26">
        <v>1.0</v>
      </c>
      <c r="H730" s="51">
        <v>2.0</v>
      </c>
      <c r="I730" s="51">
        <v>2.0</v>
      </c>
      <c r="J730" s="51">
        <v>1.0</v>
      </c>
      <c r="K730" s="38">
        <v>3.0</v>
      </c>
      <c r="L730" s="40"/>
      <c r="M730" s="40" t="s">
        <v>79</v>
      </c>
      <c r="N730" s="40"/>
      <c r="O730" s="40"/>
      <c r="P730" s="40"/>
      <c r="Q730" s="40"/>
      <c r="R730" s="77" t="s">
        <v>2325</v>
      </c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34">
        <v>7688.0</v>
      </c>
      <c r="B731" s="23" t="s">
        <v>2326</v>
      </c>
      <c r="C731" s="35" t="s">
        <v>2327</v>
      </c>
      <c r="D731" s="119" t="s">
        <v>2328</v>
      </c>
      <c r="E731" s="26">
        <v>33.0</v>
      </c>
      <c r="F731" s="26">
        <v>335.0</v>
      </c>
      <c r="G731" s="26">
        <v>10.0</v>
      </c>
      <c r="H731" s="51">
        <v>20.0</v>
      </c>
      <c r="I731" s="51">
        <v>195.0</v>
      </c>
      <c r="J731" s="51">
        <v>8.0</v>
      </c>
      <c r="K731" s="38">
        <v>0.0</v>
      </c>
      <c r="L731" s="39"/>
      <c r="M731" s="40" t="s">
        <v>22</v>
      </c>
      <c r="N731" s="40"/>
      <c r="O731" s="40"/>
      <c r="P731" s="40"/>
      <c r="Q731" s="40"/>
      <c r="R731" s="63" t="s">
        <v>2329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1235.0</v>
      </c>
      <c r="B732" s="23" t="s">
        <v>2330</v>
      </c>
      <c r="C732" s="24" t="s">
        <v>2331</v>
      </c>
      <c r="D732" s="118" t="s">
        <v>2332</v>
      </c>
      <c r="E732" s="26">
        <v>12.0</v>
      </c>
      <c r="F732" s="26">
        <v>25.0</v>
      </c>
      <c r="G732" s="26">
        <v>3.0</v>
      </c>
      <c r="H732" s="47"/>
      <c r="I732" s="47"/>
      <c r="J732" s="47"/>
      <c r="K732" s="58">
        <v>20.0</v>
      </c>
      <c r="L732" s="29" t="s">
        <v>356</v>
      </c>
      <c r="M732" s="59" t="s">
        <v>22</v>
      </c>
      <c r="N732" s="59"/>
      <c r="O732" s="59"/>
      <c r="P732" s="59"/>
      <c r="Q732" s="59"/>
      <c r="R732" s="63" t="s">
        <v>2333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6808.0</v>
      </c>
      <c r="B733" s="23" t="s">
        <v>2334</v>
      </c>
      <c r="C733" s="24" t="s">
        <v>2335</v>
      </c>
      <c r="D733" s="118" t="s">
        <v>2336</v>
      </c>
      <c r="E733" s="26">
        <v>10.0</v>
      </c>
      <c r="F733" s="26">
        <v>25.0</v>
      </c>
      <c r="G733" s="26">
        <v>3.0</v>
      </c>
      <c r="H733" s="47"/>
      <c r="I733" s="47"/>
      <c r="J733" s="47"/>
      <c r="K733" s="58">
        <v>0.0</v>
      </c>
      <c r="L733" s="29" t="s">
        <v>71</v>
      </c>
      <c r="M733" s="59" t="s">
        <v>22</v>
      </c>
      <c r="N733" s="59"/>
      <c r="O733" s="59"/>
      <c r="P733" s="59"/>
      <c r="Q733" s="59"/>
      <c r="R733" s="63" t="s">
        <v>2337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>
        <v>4404.0</v>
      </c>
      <c r="B734" s="23" t="s">
        <v>2338</v>
      </c>
      <c r="C734" s="24" t="s">
        <v>2339</v>
      </c>
      <c r="D734" s="118" t="s">
        <v>2340</v>
      </c>
      <c r="E734" s="26">
        <v>5.0</v>
      </c>
      <c r="F734" s="26">
        <v>25.0</v>
      </c>
      <c r="G734" s="26">
        <v>2.0</v>
      </c>
      <c r="H734" s="27">
        <v>3.0</v>
      </c>
      <c r="I734" s="27">
        <v>3.0</v>
      </c>
      <c r="J734" s="27">
        <v>1.0</v>
      </c>
      <c r="K734" s="58">
        <v>16.0</v>
      </c>
      <c r="L734" s="44" t="s">
        <v>144</v>
      </c>
      <c r="M734" s="59" t="s">
        <v>22</v>
      </c>
      <c r="N734" s="59"/>
      <c r="O734" s="59"/>
      <c r="P734" s="59"/>
      <c r="Q734" s="59"/>
      <c r="R734" s="63" t="s">
        <v>2341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2"/>
      <c r="B735" s="23" t="s">
        <v>2342</v>
      </c>
      <c r="C735" s="170" t="s">
        <v>2343</v>
      </c>
      <c r="D735" s="42" t="s">
        <v>2344</v>
      </c>
      <c r="E735" s="26">
        <v>12.0</v>
      </c>
      <c r="F735" s="26">
        <v>9.0</v>
      </c>
      <c r="G735" s="26">
        <v>2.0</v>
      </c>
      <c r="H735" s="27">
        <v>4.0</v>
      </c>
      <c r="I735" s="27">
        <v>1.0</v>
      </c>
      <c r="J735" s="27">
        <v>1.0</v>
      </c>
      <c r="K735" s="28"/>
      <c r="L735" s="39"/>
      <c r="M735" s="30" t="s">
        <v>22</v>
      </c>
      <c r="N735" s="30"/>
      <c r="O735" s="30"/>
      <c r="P735" s="30"/>
      <c r="Q735" s="30"/>
      <c r="R735" s="63" t="s">
        <v>2345</v>
      </c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2">
        <v>818.0</v>
      </c>
      <c r="B736" s="23" t="s">
        <v>2346</v>
      </c>
      <c r="C736" s="24" t="s">
        <v>2347</v>
      </c>
      <c r="D736" s="118" t="s">
        <v>2348</v>
      </c>
      <c r="E736" s="171">
        <v>188.0</v>
      </c>
      <c r="F736" s="26">
        <v>488.0</v>
      </c>
      <c r="G736" s="26">
        <v>12.0</v>
      </c>
      <c r="H736" s="27">
        <v>93.0</v>
      </c>
      <c r="I736" s="27">
        <v>65.0</v>
      </c>
      <c r="J736" s="27">
        <v>5.0</v>
      </c>
      <c r="K736" s="28">
        <v>177.0</v>
      </c>
      <c r="L736" s="45" t="s">
        <v>46</v>
      </c>
      <c r="M736" s="30" t="s">
        <v>22</v>
      </c>
      <c r="N736" s="30"/>
      <c r="O736" s="30"/>
      <c r="P736" s="30"/>
      <c r="Q736" s="30"/>
      <c r="R736" s="63" t="s">
        <v>2349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1629.0</v>
      </c>
      <c r="B737" s="23" t="s">
        <v>2350</v>
      </c>
      <c r="C737" s="24" t="s">
        <v>2351</v>
      </c>
      <c r="D737" s="118" t="s">
        <v>2352</v>
      </c>
      <c r="E737" s="108">
        <v>39.0</v>
      </c>
      <c r="F737" s="26">
        <v>94.0</v>
      </c>
      <c r="G737" s="26">
        <v>6.0</v>
      </c>
      <c r="H737" s="27">
        <v>20.0</v>
      </c>
      <c r="I737" s="27">
        <v>3.0</v>
      </c>
      <c r="J737" s="27">
        <v>1.0</v>
      </c>
      <c r="K737" s="28">
        <v>42.0</v>
      </c>
      <c r="L737" s="45" t="s">
        <v>46</v>
      </c>
      <c r="M737" s="30" t="s">
        <v>22</v>
      </c>
      <c r="N737" s="30"/>
      <c r="O737" s="30"/>
      <c r="P737" s="30"/>
      <c r="Q737" s="30"/>
      <c r="R737" s="63" t="s">
        <v>2353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22">
        <v>1711.0</v>
      </c>
      <c r="B738" s="23" t="s">
        <v>2354</v>
      </c>
      <c r="C738" s="24" t="s">
        <v>2355</v>
      </c>
      <c r="D738" s="118" t="s">
        <v>2356</v>
      </c>
      <c r="E738" s="108">
        <v>26.0</v>
      </c>
      <c r="F738" s="26">
        <v>30.0</v>
      </c>
      <c r="G738" s="26">
        <v>3.0</v>
      </c>
      <c r="H738" s="27">
        <v>16.0</v>
      </c>
      <c r="I738" s="27">
        <v>4.0</v>
      </c>
      <c r="J738" s="27">
        <v>1.0</v>
      </c>
      <c r="K738" s="58">
        <v>28.0</v>
      </c>
      <c r="L738" s="45" t="s">
        <v>46</v>
      </c>
      <c r="M738" s="59" t="s">
        <v>22</v>
      </c>
      <c r="N738" s="59"/>
      <c r="O738" s="59"/>
      <c r="P738" s="59"/>
      <c r="Q738" s="59"/>
      <c r="R738" s="63" t="s">
        <v>2357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4">
        <v>7950.0</v>
      </c>
      <c r="B739" s="23" t="s">
        <v>2358</v>
      </c>
      <c r="C739" s="37"/>
      <c r="D739" s="169" t="s">
        <v>2359</v>
      </c>
      <c r="E739" s="26">
        <v>1.0</v>
      </c>
      <c r="F739" s="26">
        <v>0.0</v>
      </c>
      <c r="G739" s="26">
        <v>0.0</v>
      </c>
      <c r="H739" s="51">
        <v>1.0</v>
      </c>
      <c r="I739" s="51">
        <v>0.0</v>
      </c>
      <c r="J739" s="51">
        <v>0.0</v>
      </c>
      <c r="K739" s="38">
        <v>0.0</v>
      </c>
      <c r="L739" s="39"/>
      <c r="M739" s="40" t="s">
        <v>22</v>
      </c>
      <c r="N739" s="40"/>
      <c r="O739" s="40"/>
      <c r="P739" s="40"/>
      <c r="Q739" s="40"/>
      <c r="R739" s="63" t="s">
        <v>2360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34">
        <v>7783.0</v>
      </c>
      <c r="B740" s="23" t="s">
        <v>2361</v>
      </c>
      <c r="C740" s="37"/>
      <c r="D740" s="169" t="s">
        <v>2362</v>
      </c>
      <c r="E740" s="26">
        <v>3.0</v>
      </c>
      <c r="F740" s="26">
        <v>1.0</v>
      </c>
      <c r="G740" s="26">
        <v>1.0</v>
      </c>
      <c r="H740" s="51"/>
      <c r="I740" s="51"/>
      <c r="J740" s="51"/>
      <c r="K740" s="38">
        <v>1.0</v>
      </c>
      <c r="L740" s="29"/>
      <c r="M740" s="40" t="s">
        <v>22</v>
      </c>
      <c r="N740" s="40"/>
      <c r="O740" s="40"/>
      <c r="P740" s="40"/>
      <c r="Q740" s="40"/>
      <c r="R740" s="63" t="s">
        <v>2363</v>
      </c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4068.0</v>
      </c>
      <c r="B741" s="23" t="s">
        <v>2364</v>
      </c>
      <c r="C741" s="27"/>
      <c r="D741" s="122"/>
      <c r="E741" s="48"/>
      <c r="F741" s="48"/>
      <c r="G741" s="48"/>
      <c r="H741" s="47"/>
      <c r="I741" s="47"/>
      <c r="J741" s="47"/>
      <c r="K741" s="28">
        <v>2.0</v>
      </c>
      <c r="L741" s="29"/>
      <c r="M741" s="30" t="s">
        <v>22</v>
      </c>
      <c r="N741" s="30"/>
      <c r="O741" s="30"/>
      <c r="P741" s="30"/>
      <c r="Q741" s="30"/>
      <c r="R741" s="12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22">
        <v>7467.0</v>
      </c>
      <c r="B742" s="23" t="s">
        <v>2365</v>
      </c>
      <c r="C742" s="24" t="s">
        <v>2366</v>
      </c>
      <c r="D742" s="118" t="s">
        <v>2367</v>
      </c>
      <c r="E742" s="26">
        <v>2.0</v>
      </c>
      <c r="F742" s="26">
        <v>10.0</v>
      </c>
      <c r="G742" s="26">
        <v>2.0</v>
      </c>
      <c r="H742" s="47"/>
      <c r="I742" s="47"/>
      <c r="J742" s="47"/>
      <c r="K742" s="58">
        <v>3.0</v>
      </c>
      <c r="L742" s="29" t="s">
        <v>36</v>
      </c>
      <c r="M742" s="59" t="s">
        <v>22</v>
      </c>
      <c r="N742" s="59"/>
      <c r="O742" s="59"/>
      <c r="P742" s="59"/>
      <c r="Q742" s="59"/>
      <c r="R742" s="63" t="s">
        <v>2368</v>
      </c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34">
        <v>6615.0</v>
      </c>
      <c r="B743" s="49" t="s">
        <v>2369</v>
      </c>
      <c r="C743" s="35" t="s">
        <v>2370</v>
      </c>
      <c r="D743" s="157"/>
      <c r="E743" s="48"/>
      <c r="F743" s="48"/>
      <c r="G743" s="48"/>
      <c r="H743" s="51"/>
      <c r="I743" s="51"/>
      <c r="J743" s="51"/>
      <c r="K743" s="38">
        <v>1.0</v>
      </c>
      <c r="L743" s="40"/>
      <c r="M743" s="40" t="s">
        <v>79</v>
      </c>
      <c r="N743" s="40"/>
      <c r="O743" s="40"/>
      <c r="P743" s="40"/>
      <c r="Q743" s="40"/>
      <c r="R743" s="52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22">
        <v>2188.0</v>
      </c>
      <c r="B744" s="23" t="s">
        <v>2371</v>
      </c>
      <c r="C744" s="24" t="s">
        <v>2372</v>
      </c>
      <c r="D744" s="118" t="s">
        <v>2373</v>
      </c>
      <c r="E744" s="26">
        <v>2.0</v>
      </c>
      <c r="F744" s="26">
        <v>1.0</v>
      </c>
      <c r="G744" s="26">
        <v>1.0</v>
      </c>
      <c r="H744" s="47"/>
      <c r="I744" s="47"/>
      <c r="J744" s="47"/>
      <c r="K744" s="58">
        <v>10.0</v>
      </c>
      <c r="L744" s="44" t="s">
        <v>163</v>
      </c>
      <c r="M744" s="59" t="s">
        <v>22</v>
      </c>
      <c r="N744" s="59"/>
      <c r="O744" s="59"/>
      <c r="P744" s="59"/>
      <c r="Q744" s="59"/>
      <c r="R744" s="63" t="s">
        <v>2374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2">
        <v>4069.0</v>
      </c>
      <c r="B745" s="23" t="s">
        <v>2375</v>
      </c>
      <c r="C745" s="24" t="s">
        <v>2376</v>
      </c>
      <c r="D745" s="118" t="s">
        <v>2377</v>
      </c>
      <c r="E745" s="26">
        <v>9.0</v>
      </c>
      <c r="F745" s="26">
        <v>7.0</v>
      </c>
      <c r="G745" s="26">
        <v>2.0</v>
      </c>
      <c r="H745" s="47">
        <v>2.0</v>
      </c>
      <c r="I745" s="47">
        <v>1.0</v>
      </c>
      <c r="J745" s="47">
        <v>1.0</v>
      </c>
      <c r="K745" s="28">
        <v>23.0</v>
      </c>
      <c r="L745" s="44" t="s">
        <v>409</v>
      </c>
      <c r="M745" s="30" t="s">
        <v>22</v>
      </c>
      <c r="N745" s="30"/>
      <c r="O745" s="30"/>
      <c r="P745" s="30"/>
      <c r="Q745" s="30"/>
      <c r="R745" s="63" t="s">
        <v>2378</v>
      </c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56.0</v>
      </c>
      <c r="B746" s="23" t="s">
        <v>2379</v>
      </c>
      <c r="C746" s="27"/>
      <c r="D746" s="122"/>
      <c r="E746" s="48"/>
      <c r="F746" s="48"/>
      <c r="G746" s="48"/>
      <c r="H746" s="47"/>
      <c r="I746" s="47"/>
      <c r="J746" s="47"/>
      <c r="K746" s="28">
        <v>1.0</v>
      </c>
      <c r="L746" s="44" t="s">
        <v>272</v>
      </c>
      <c r="M746" s="30" t="s">
        <v>22</v>
      </c>
      <c r="N746" s="30"/>
      <c r="O746" s="30"/>
      <c r="P746" s="30"/>
      <c r="Q746" s="30"/>
      <c r="R746" s="12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2169.0</v>
      </c>
      <c r="B747" s="23" t="s">
        <v>2380</v>
      </c>
      <c r="C747" s="24" t="s">
        <v>2381</v>
      </c>
      <c r="D747" s="118" t="s">
        <v>2382</v>
      </c>
      <c r="E747" s="26">
        <v>4.0</v>
      </c>
      <c r="F747" s="26">
        <v>18.0</v>
      </c>
      <c r="G747" s="26">
        <v>2.0</v>
      </c>
      <c r="H747" s="27">
        <v>2.0</v>
      </c>
      <c r="I747" s="27">
        <v>2.0</v>
      </c>
      <c r="J747" s="27">
        <v>1.0</v>
      </c>
      <c r="K747" s="58">
        <v>5.0</v>
      </c>
      <c r="L747" s="44" t="s">
        <v>60</v>
      </c>
      <c r="M747" s="59" t="s">
        <v>22</v>
      </c>
      <c r="N747" s="59"/>
      <c r="O747" s="59"/>
      <c r="P747" s="59"/>
      <c r="Q747" s="59"/>
      <c r="R747" s="63" t="s">
        <v>2383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2">
        <v>4501.0</v>
      </c>
      <c r="B748" s="23" t="s">
        <v>2384</v>
      </c>
      <c r="C748" s="24" t="s">
        <v>2385</v>
      </c>
      <c r="D748" s="172" t="s">
        <v>2386</v>
      </c>
      <c r="E748" s="26">
        <v>4.0</v>
      </c>
      <c r="F748" s="26">
        <v>17.0</v>
      </c>
      <c r="G748" s="26">
        <v>2.0</v>
      </c>
      <c r="H748" s="47">
        <v>0.0</v>
      </c>
      <c r="I748" s="47">
        <v>0.0</v>
      </c>
      <c r="J748" s="47">
        <v>0.0</v>
      </c>
      <c r="K748" s="58">
        <v>2.0</v>
      </c>
      <c r="L748" s="44" t="s">
        <v>60</v>
      </c>
      <c r="M748" s="59"/>
      <c r="N748" s="59"/>
      <c r="O748" s="59"/>
      <c r="P748" s="59"/>
      <c r="Q748" s="59"/>
      <c r="R748" s="12" t="s">
        <v>2387</v>
      </c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2">
        <v>4539.0</v>
      </c>
      <c r="B749" s="23" t="s">
        <v>2388</v>
      </c>
      <c r="C749" s="24" t="s">
        <v>2389</v>
      </c>
      <c r="D749" s="118" t="s">
        <v>2390</v>
      </c>
      <c r="E749" s="26">
        <v>4.0</v>
      </c>
      <c r="F749" s="26">
        <v>7.0</v>
      </c>
      <c r="G749" s="26">
        <v>1.0</v>
      </c>
      <c r="H749" s="47"/>
      <c r="I749" s="47"/>
      <c r="J749" s="47"/>
      <c r="K749" s="58">
        <v>4.0</v>
      </c>
      <c r="L749" s="44" t="s">
        <v>137</v>
      </c>
      <c r="M749" s="59" t="s">
        <v>22</v>
      </c>
      <c r="N749" s="59"/>
      <c r="O749" s="59"/>
      <c r="P749" s="59"/>
      <c r="Q749" s="59"/>
      <c r="R749" s="63" t="s">
        <v>2391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747.0</v>
      </c>
      <c r="B750" s="23" t="s">
        <v>2392</v>
      </c>
      <c r="C750" s="24" t="s">
        <v>2393</v>
      </c>
      <c r="D750" s="118" t="s">
        <v>2394</v>
      </c>
      <c r="E750" s="26">
        <v>3.0</v>
      </c>
      <c r="F750" s="26">
        <v>21.0</v>
      </c>
      <c r="G750" s="26">
        <v>3.0</v>
      </c>
      <c r="H750" s="27">
        <v>1.0</v>
      </c>
      <c r="I750" s="27">
        <v>2.0</v>
      </c>
      <c r="J750" s="27">
        <v>1.0</v>
      </c>
      <c r="K750" s="28">
        <v>17.0</v>
      </c>
      <c r="L750" s="44" t="s">
        <v>272</v>
      </c>
      <c r="M750" s="30" t="s">
        <v>22</v>
      </c>
      <c r="N750" s="30"/>
      <c r="O750" s="30"/>
      <c r="P750" s="30"/>
      <c r="Q750" s="30"/>
      <c r="R750" s="63" t="s">
        <v>2395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>
        <v>2058.0</v>
      </c>
      <c r="B751" s="23" t="s">
        <v>2396</v>
      </c>
      <c r="C751" s="24" t="s">
        <v>2397</v>
      </c>
      <c r="D751" s="118" t="s">
        <v>2398</v>
      </c>
      <c r="E751" s="171">
        <v>11.0</v>
      </c>
      <c r="F751" s="26">
        <v>11.0</v>
      </c>
      <c r="G751" s="26">
        <v>2.0</v>
      </c>
      <c r="H751" s="27">
        <v>1.0</v>
      </c>
      <c r="I751" s="27">
        <v>0.0</v>
      </c>
      <c r="J751" s="27">
        <v>0.0</v>
      </c>
      <c r="K751" s="58">
        <v>19.0</v>
      </c>
      <c r="L751" s="44" t="s">
        <v>210</v>
      </c>
      <c r="M751" s="59" t="s">
        <v>22</v>
      </c>
      <c r="N751" s="59"/>
      <c r="O751" s="59"/>
      <c r="P751" s="59"/>
      <c r="Q751" s="59"/>
      <c r="R751" s="63" t="s">
        <v>2399</v>
      </c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3391.0</v>
      </c>
      <c r="B752" s="23" t="s">
        <v>2400</v>
      </c>
      <c r="C752" s="24" t="s">
        <v>2401</v>
      </c>
      <c r="D752" s="122"/>
      <c r="E752" s="48"/>
      <c r="F752" s="48"/>
      <c r="G752" s="48"/>
      <c r="H752" s="47"/>
      <c r="I752" s="47"/>
      <c r="J752" s="47"/>
      <c r="K752" s="28">
        <v>1.0</v>
      </c>
      <c r="L752" s="39" t="s">
        <v>116</v>
      </c>
      <c r="M752" s="30" t="s">
        <v>22</v>
      </c>
      <c r="N752" s="30"/>
      <c r="O752" s="30"/>
      <c r="P752" s="30"/>
      <c r="Q752" s="30"/>
      <c r="R752" s="12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47.0</v>
      </c>
      <c r="B753" s="23" t="s">
        <v>2402</v>
      </c>
      <c r="C753" s="24" t="s">
        <v>2403</v>
      </c>
      <c r="D753" s="118" t="s">
        <v>2404</v>
      </c>
      <c r="E753" s="108">
        <v>12.0</v>
      </c>
      <c r="F753" s="26">
        <v>13.0</v>
      </c>
      <c r="G753" s="26">
        <v>2.0</v>
      </c>
      <c r="H753" s="47">
        <v>1.0</v>
      </c>
      <c r="I753" s="47">
        <v>0.0</v>
      </c>
      <c r="J753" s="47">
        <v>0.0</v>
      </c>
      <c r="K753" s="58">
        <v>13.0</v>
      </c>
      <c r="L753" s="44" t="s">
        <v>60</v>
      </c>
      <c r="M753" s="59" t="s">
        <v>22</v>
      </c>
      <c r="N753" s="59"/>
      <c r="O753" s="59"/>
      <c r="P753" s="59"/>
      <c r="Q753" s="59"/>
      <c r="R753" s="63" t="s">
        <v>2405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3845.0</v>
      </c>
      <c r="B754" s="23" t="s">
        <v>2406</v>
      </c>
      <c r="C754" s="24" t="s">
        <v>2407</v>
      </c>
      <c r="D754" s="118" t="s">
        <v>2408</v>
      </c>
      <c r="E754" s="108">
        <v>31.0</v>
      </c>
      <c r="F754" s="26">
        <v>63.0</v>
      </c>
      <c r="G754" s="26">
        <v>5.0</v>
      </c>
      <c r="H754" s="27">
        <v>9.0</v>
      </c>
      <c r="I754" s="27">
        <v>9.0</v>
      </c>
      <c r="J754" s="27">
        <v>2.0</v>
      </c>
      <c r="K754" s="58">
        <v>64.0</v>
      </c>
      <c r="L754" s="44" t="s">
        <v>64</v>
      </c>
      <c r="M754" s="59" t="s">
        <v>22</v>
      </c>
      <c r="N754" s="59"/>
      <c r="O754" s="59"/>
      <c r="P754" s="59"/>
      <c r="Q754" s="59"/>
      <c r="R754" s="63" t="s">
        <v>2409</v>
      </c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853.0</v>
      </c>
      <c r="B755" s="23" t="s">
        <v>2410</v>
      </c>
      <c r="C755" s="24" t="s">
        <v>2411</v>
      </c>
      <c r="D755" s="122"/>
      <c r="E755" s="48"/>
      <c r="F755" s="48"/>
      <c r="G755" s="48"/>
      <c r="H755" s="47"/>
      <c r="I755" s="47"/>
      <c r="J755" s="47"/>
      <c r="K755" s="28">
        <v>15.0</v>
      </c>
      <c r="L755" s="44" t="s">
        <v>137</v>
      </c>
      <c r="M755" s="30" t="s">
        <v>22</v>
      </c>
      <c r="N755" s="30"/>
      <c r="O755" s="30"/>
      <c r="P755" s="30"/>
      <c r="Q755" s="30"/>
      <c r="R755" s="12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2255.0</v>
      </c>
      <c r="B756" s="23" t="s">
        <v>2412</v>
      </c>
      <c r="C756" s="24" t="s">
        <v>2413</v>
      </c>
      <c r="D756" s="118" t="s">
        <v>2414</v>
      </c>
      <c r="E756" s="108">
        <v>11.0</v>
      </c>
      <c r="F756" s="26">
        <v>35.0</v>
      </c>
      <c r="G756" s="26">
        <v>3.0</v>
      </c>
      <c r="H756" s="27">
        <v>4.0</v>
      </c>
      <c r="I756" s="27">
        <v>2.0</v>
      </c>
      <c r="J756" s="27">
        <v>1.0</v>
      </c>
      <c r="K756" s="58">
        <v>33.0</v>
      </c>
      <c r="L756" s="44" t="s">
        <v>186</v>
      </c>
      <c r="M756" s="59" t="s">
        <v>22</v>
      </c>
      <c r="N756" s="59"/>
      <c r="O756" s="59"/>
      <c r="P756" s="59"/>
      <c r="Q756" s="59"/>
      <c r="R756" s="63" t="s">
        <v>2415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6791.0</v>
      </c>
      <c r="B757" s="23" t="s">
        <v>2416</v>
      </c>
      <c r="C757" s="24" t="s">
        <v>2417</v>
      </c>
      <c r="D757" s="118" t="s">
        <v>2418</v>
      </c>
      <c r="E757" s="26">
        <v>3.0</v>
      </c>
      <c r="F757" s="26">
        <v>17.0</v>
      </c>
      <c r="G757" s="26">
        <v>2.0</v>
      </c>
      <c r="H757" s="47">
        <v>4.0</v>
      </c>
      <c r="I757" s="47">
        <v>1.0</v>
      </c>
      <c r="J757" s="47">
        <v>1.0</v>
      </c>
      <c r="K757" s="58">
        <v>37.0</v>
      </c>
      <c r="L757" s="44" t="s">
        <v>218</v>
      </c>
      <c r="M757" s="59" t="s">
        <v>22</v>
      </c>
      <c r="N757" s="59"/>
      <c r="O757" s="59"/>
      <c r="P757" s="59"/>
      <c r="Q757" s="59"/>
      <c r="R757" s="63" t="s">
        <v>2419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5680.0</v>
      </c>
      <c r="B758" s="23" t="s">
        <v>2420</v>
      </c>
      <c r="C758" s="24" t="s">
        <v>2421</v>
      </c>
      <c r="D758" s="118" t="s">
        <v>2422</v>
      </c>
      <c r="E758" s="108">
        <v>12.0</v>
      </c>
      <c r="F758" s="26">
        <v>11.0</v>
      </c>
      <c r="G758" s="26">
        <v>2.0</v>
      </c>
      <c r="H758" s="27">
        <v>7.0</v>
      </c>
      <c r="I758" s="27">
        <v>6.0</v>
      </c>
      <c r="J758" s="27">
        <v>1.0</v>
      </c>
      <c r="K758" s="58">
        <v>10.0</v>
      </c>
      <c r="L758" s="44" t="s">
        <v>60</v>
      </c>
      <c r="M758" s="59" t="s">
        <v>22</v>
      </c>
      <c r="N758" s="59"/>
      <c r="O758" s="59"/>
      <c r="P758" s="59"/>
      <c r="Q758" s="59"/>
      <c r="R758" s="63" t="s">
        <v>2423</v>
      </c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133.0</v>
      </c>
      <c r="B759" s="23" t="s">
        <v>2424</v>
      </c>
      <c r="C759" s="24" t="s">
        <v>2425</v>
      </c>
      <c r="D759" s="118" t="s">
        <v>2426</v>
      </c>
      <c r="E759" s="26">
        <v>8.0</v>
      </c>
      <c r="F759" s="26">
        <v>38.0</v>
      </c>
      <c r="G759" s="26">
        <v>4.0</v>
      </c>
      <c r="H759" s="47"/>
      <c r="I759" s="47"/>
      <c r="J759" s="47"/>
      <c r="K759" s="28">
        <v>67.0</v>
      </c>
      <c r="L759" s="44" t="s">
        <v>218</v>
      </c>
      <c r="M759" s="30" t="s">
        <v>22</v>
      </c>
      <c r="N759" s="30"/>
      <c r="O759" s="30"/>
      <c r="P759" s="30"/>
      <c r="Q759" s="30"/>
      <c r="R759" s="63" t="s">
        <v>2427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3762.0</v>
      </c>
      <c r="B760" s="23" t="s">
        <v>2428</v>
      </c>
      <c r="C760" s="24" t="s">
        <v>2429</v>
      </c>
      <c r="D760" s="118" t="s">
        <v>2430</v>
      </c>
      <c r="E760" s="108">
        <v>7.0</v>
      </c>
      <c r="F760" s="26">
        <v>6.0</v>
      </c>
      <c r="G760" s="26">
        <v>2.0</v>
      </c>
      <c r="H760" s="27">
        <v>1.0</v>
      </c>
      <c r="I760" s="27">
        <v>0.0</v>
      </c>
      <c r="J760" s="27">
        <v>0.0</v>
      </c>
      <c r="K760" s="58">
        <v>15.0</v>
      </c>
      <c r="L760" s="44" t="s">
        <v>144</v>
      </c>
      <c r="M760" s="59" t="s">
        <v>22</v>
      </c>
      <c r="N760" s="59"/>
      <c r="O760" s="59"/>
      <c r="P760" s="59"/>
      <c r="Q760" s="59"/>
      <c r="R760" s="63" t="s">
        <v>2431</v>
      </c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1650.0</v>
      </c>
      <c r="B761" s="23" t="s">
        <v>2432</v>
      </c>
      <c r="C761" s="24" t="s">
        <v>2433</v>
      </c>
      <c r="D761" s="122"/>
      <c r="E761" s="48"/>
      <c r="F761" s="48"/>
      <c r="G761" s="48"/>
      <c r="H761" s="47"/>
      <c r="I761" s="47"/>
      <c r="J761" s="47"/>
      <c r="K761" s="28">
        <v>28.0</v>
      </c>
      <c r="L761" s="44" t="s">
        <v>171</v>
      </c>
      <c r="M761" s="30" t="s">
        <v>22</v>
      </c>
      <c r="N761" s="30"/>
      <c r="O761" s="30"/>
      <c r="P761" s="30"/>
      <c r="Q761" s="30"/>
      <c r="R761" s="12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209.0</v>
      </c>
      <c r="B762" s="23" t="s">
        <v>2434</v>
      </c>
      <c r="C762" s="24" t="s">
        <v>2435</v>
      </c>
      <c r="D762" s="122"/>
      <c r="E762" s="48"/>
      <c r="F762" s="48"/>
      <c r="G762" s="48"/>
      <c r="H762" s="47"/>
      <c r="I762" s="47"/>
      <c r="J762" s="47"/>
      <c r="K762" s="28">
        <v>17.0</v>
      </c>
      <c r="L762" s="44" t="s">
        <v>171</v>
      </c>
      <c r="M762" s="30" t="s">
        <v>22</v>
      </c>
      <c r="N762" s="30"/>
      <c r="O762" s="30"/>
      <c r="P762" s="30"/>
      <c r="Q762" s="30"/>
      <c r="R762" s="12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6937.0</v>
      </c>
      <c r="B763" s="23" t="s">
        <v>2436</v>
      </c>
      <c r="C763" s="27"/>
      <c r="D763" s="122"/>
      <c r="E763" s="48"/>
      <c r="F763" s="48"/>
      <c r="G763" s="48"/>
      <c r="H763" s="47"/>
      <c r="I763" s="47"/>
      <c r="J763" s="47"/>
      <c r="K763" s="28">
        <v>0.0</v>
      </c>
      <c r="L763" s="39"/>
      <c r="M763" s="30" t="s">
        <v>22</v>
      </c>
      <c r="N763" s="30"/>
      <c r="O763" s="30"/>
      <c r="P763" s="30"/>
      <c r="Q763" s="30"/>
      <c r="R763" s="12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175.0</v>
      </c>
      <c r="B764" s="23" t="s">
        <v>2437</v>
      </c>
      <c r="C764" s="24" t="s">
        <v>2438</v>
      </c>
      <c r="D764" s="122"/>
      <c r="E764" s="48"/>
      <c r="F764" s="48"/>
      <c r="G764" s="48"/>
      <c r="H764" s="47"/>
      <c r="I764" s="47"/>
      <c r="J764" s="47"/>
      <c r="K764" s="28">
        <v>0.0</v>
      </c>
      <c r="L764" s="39" t="s">
        <v>91</v>
      </c>
      <c r="M764" s="30" t="s">
        <v>22</v>
      </c>
      <c r="N764" s="30"/>
      <c r="O764" s="30"/>
      <c r="P764" s="30"/>
      <c r="Q764" s="30"/>
      <c r="R764" s="12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22">
        <v>1732.0</v>
      </c>
      <c r="B765" s="23" t="s">
        <v>2439</v>
      </c>
      <c r="C765" s="24" t="s">
        <v>2440</v>
      </c>
      <c r="D765" s="122"/>
      <c r="E765" s="48"/>
      <c r="F765" s="48"/>
      <c r="G765" s="48"/>
      <c r="H765" s="47"/>
      <c r="I765" s="47"/>
      <c r="J765" s="47"/>
      <c r="K765" s="28">
        <v>21.0</v>
      </c>
      <c r="L765" s="44" t="s">
        <v>41</v>
      </c>
      <c r="M765" s="30" t="s">
        <v>22</v>
      </c>
      <c r="N765" s="30"/>
      <c r="O765" s="30"/>
      <c r="P765" s="30"/>
      <c r="Q765" s="30"/>
      <c r="R765" s="12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34">
        <v>5304.0</v>
      </c>
      <c r="B766" s="49" t="s">
        <v>2441</v>
      </c>
      <c r="C766" s="35" t="s">
        <v>2442</v>
      </c>
      <c r="D766" s="119" t="s">
        <v>2443</v>
      </c>
      <c r="E766" s="26">
        <v>1.0</v>
      </c>
      <c r="F766" s="26">
        <v>0.0</v>
      </c>
      <c r="G766" s="26">
        <v>0.0</v>
      </c>
      <c r="H766" s="51"/>
      <c r="I766" s="51"/>
      <c r="J766" s="51"/>
      <c r="K766" s="38">
        <v>18.0</v>
      </c>
      <c r="L766" s="40"/>
      <c r="M766" s="40" t="s">
        <v>79</v>
      </c>
      <c r="N766" s="40"/>
      <c r="O766" s="40"/>
      <c r="P766" s="40"/>
      <c r="Q766" s="40"/>
      <c r="R766" s="52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22">
        <v>1110.0</v>
      </c>
      <c r="B767" s="23" t="s">
        <v>2444</v>
      </c>
      <c r="C767" s="24" t="s">
        <v>2445</v>
      </c>
      <c r="D767" s="118" t="s">
        <v>2446</v>
      </c>
      <c r="E767" s="108">
        <v>8.0</v>
      </c>
      <c r="F767" s="26">
        <v>3.0</v>
      </c>
      <c r="G767" s="26">
        <v>1.0</v>
      </c>
      <c r="H767" s="27">
        <v>1.0</v>
      </c>
      <c r="I767" s="27">
        <v>0.0</v>
      </c>
      <c r="J767" s="27">
        <v>0.0</v>
      </c>
      <c r="K767" s="28">
        <v>6.0</v>
      </c>
      <c r="L767" s="39" t="s">
        <v>409</v>
      </c>
      <c r="M767" s="30" t="s">
        <v>22</v>
      </c>
      <c r="N767" s="30"/>
      <c r="O767" s="30"/>
      <c r="P767" s="30"/>
      <c r="Q767" s="30"/>
      <c r="R767" s="63" t="s">
        <v>2447</v>
      </c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835.0</v>
      </c>
      <c r="B768" s="23" t="s">
        <v>2448</v>
      </c>
      <c r="C768" s="24" t="s">
        <v>2449</v>
      </c>
      <c r="D768" s="118" t="s">
        <v>2450</v>
      </c>
      <c r="E768" s="108">
        <v>11.0</v>
      </c>
      <c r="F768" s="26">
        <v>15.0</v>
      </c>
      <c r="G768" s="26">
        <v>3.0</v>
      </c>
      <c r="H768" s="27">
        <v>7.0</v>
      </c>
      <c r="I768" s="27">
        <v>0.0</v>
      </c>
      <c r="J768" s="27">
        <v>0.0</v>
      </c>
      <c r="K768" s="28">
        <v>50.0</v>
      </c>
      <c r="L768" s="44" t="s">
        <v>41</v>
      </c>
      <c r="M768" s="30" t="s">
        <v>22</v>
      </c>
      <c r="N768" s="30"/>
      <c r="O768" s="30"/>
      <c r="P768" s="30"/>
      <c r="Q768" s="30"/>
      <c r="R768" s="63" t="s">
        <v>2451</v>
      </c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7690.0</v>
      </c>
      <c r="B769" s="23" t="s">
        <v>2452</v>
      </c>
      <c r="C769" s="24" t="s">
        <v>2453</v>
      </c>
      <c r="D769" s="118" t="s">
        <v>2454</v>
      </c>
      <c r="E769" s="26">
        <v>1.0</v>
      </c>
      <c r="F769" s="26">
        <v>0.0</v>
      </c>
      <c r="G769" s="26">
        <v>0.0</v>
      </c>
      <c r="H769" s="47"/>
      <c r="I769" s="47"/>
      <c r="J769" s="47"/>
      <c r="K769" s="28">
        <v>4.0</v>
      </c>
      <c r="L769" s="44" t="s">
        <v>218</v>
      </c>
      <c r="M769" s="30" t="s">
        <v>22</v>
      </c>
      <c r="N769" s="30"/>
      <c r="O769" s="30"/>
      <c r="P769" s="30"/>
      <c r="Q769" s="30"/>
      <c r="R769" s="63" t="s">
        <v>2455</v>
      </c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>
        <v>6617.0</v>
      </c>
      <c r="B770" s="23" t="s">
        <v>2456</v>
      </c>
      <c r="C770" s="24" t="s">
        <v>2457</v>
      </c>
      <c r="D770" s="118" t="s">
        <v>2458</v>
      </c>
      <c r="E770" s="26">
        <v>4.0</v>
      </c>
      <c r="F770" s="26">
        <v>6.0</v>
      </c>
      <c r="G770" s="26">
        <v>2.0</v>
      </c>
      <c r="H770" s="27">
        <v>2.0</v>
      </c>
      <c r="I770" s="27">
        <v>1.0</v>
      </c>
      <c r="J770" s="27">
        <v>1.0</v>
      </c>
      <c r="K770" s="28">
        <v>2.0</v>
      </c>
      <c r="L770" s="44" t="s">
        <v>137</v>
      </c>
      <c r="M770" s="30" t="s">
        <v>22</v>
      </c>
      <c r="N770" s="30"/>
      <c r="O770" s="30"/>
      <c r="P770" s="30"/>
      <c r="Q770" s="30"/>
      <c r="R770" s="63" t="s">
        <v>2459</v>
      </c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22"/>
      <c r="B771" s="23" t="s">
        <v>2460</v>
      </c>
      <c r="C771" s="81"/>
      <c r="D771" s="137"/>
      <c r="E771" s="48"/>
      <c r="F771" s="48"/>
      <c r="G771" s="48"/>
      <c r="H771" s="27"/>
      <c r="I771" s="27"/>
      <c r="J771" s="27"/>
      <c r="K771" s="28"/>
      <c r="L771" s="44" t="s">
        <v>859</v>
      </c>
      <c r="M771" s="30"/>
      <c r="N771" s="30"/>
      <c r="O771" s="30"/>
      <c r="P771" s="30"/>
      <c r="Q771" s="30"/>
      <c r="R771" s="12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34">
        <v>7959.0</v>
      </c>
      <c r="B772" s="23" t="s">
        <v>2461</v>
      </c>
      <c r="C772" s="173" t="s">
        <v>2462</v>
      </c>
      <c r="D772" s="169" t="s">
        <v>2463</v>
      </c>
      <c r="E772" s="26">
        <v>21.0</v>
      </c>
      <c r="F772" s="26">
        <v>194.0</v>
      </c>
      <c r="G772" s="26">
        <v>9.0</v>
      </c>
      <c r="H772" s="51">
        <v>7.0</v>
      </c>
      <c r="I772" s="51">
        <v>49.0</v>
      </c>
      <c r="J772" s="51">
        <v>2.0</v>
      </c>
      <c r="K772" s="38">
        <v>0.0</v>
      </c>
      <c r="L772" s="39"/>
      <c r="M772" s="40"/>
      <c r="N772" s="40"/>
      <c r="O772" s="40"/>
      <c r="P772" s="40"/>
      <c r="Q772" s="40"/>
      <c r="R772" s="63" t="s">
        <v>2464</v>
      </c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2">
        <v>1914.0</v>
      </c>
      <c r="B773" s="23" t="s">
        <v>2465</v>
      </c>
      <c r="C773" s="174"/>
      <c r="D773" s="166" t="s">
        <v>2466</v>
      </c>
      <c r="E773" s="26">
        <v>1.0</v>
      </c>
      <c r="F773" s="26">
        <v>0.0</v>
      </c>
      <c r="G773" s="26">
        <v>0.0</v>
      </c>
      <c r="H773" s="47">
        <v>0.0</v>
      </c>
      <c r="I773" s="47">
        <v>0.0</v>
      </c>
      <c r="J773" s="47">
        <v>0.0</v>
      </c>
      <c r="K773" s="28">
        <v>13.0</v>
      </c>
      <c r="L773" s="29" t="s">
        <v>21</v>
      </c>
      <c r="M773" s="30" t="s">
        <v>22</v>
      </c>
      <c r="N773" s="30"/>
      <c r="O773" s="30"/>
      <c r="P773" s="30"/>
      <c r="Q773" s="30"/>
      <c r="R773" s="63" t="s">
        <v>2467</v>
      </c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6121.0</v>
      </c>
      <c r="B774" s="23" t="s">
        <v>2468</v>
      </c>
      <c r="C774" s="27"/>
      <c r="D774" s="122"/>
      <c r="E774" s="48"/>
      <c r="F774" s="48"/>
      <c r="G774" s="48"/>
      <c r="H774" s="47"/>
      <c r="I774" s="47"/>
      <c r="J774" s="47"/>
      <c r="K774" s="28">
        <v>1.0</v>
      </c>
      <c r="L774" s="39"/>
      <c r="M774" s="30" t="s">
        <v>22</v>
      </c>
      <c r="N774" s="30"/>
      <c r="O774" s="30"/>
      <c r="P774" s="30"/>
      <c r="Q774" s="30"/>
      <c r="R774" s="12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1246.0</v>
      </c>
      <c r="B775" s="23" t="s">
        <v>2469</v>
      </c>
      <c r="C775" s="24" t="s">
        <v>2470</v>
      </c>
      <c r="D775" s="118" t="s">
        <v>2471</v>
      </c>
      <c r="E775" s="108">
        <v>27.0</v>
      </c>
      <c r="F775" s="26">
        <v>20.0</v>
      </c>
      <c r="G775" s="26">
        <v>3.0</v>
      </c>
      <c r="H775" s="27">
        <v>12.0</v>
      </c>
      <c r="I775" s="27">
        <v>1.0</v>
      </c>
      <c r="J775" s="27">
        <v>1.0</v>
      </c>
      <c r="K775" s="58">
        <v>34.0</v>
      </c>
      <c r="L775" s="44" t="s">
        <v>409</v>
      </c>
      <c r="M775" s="59" t="s">
        <v>22</v>
      </c>
      <c r="N775" s="59"/>
      <c r="O775" s="59"/>
      <c r="P775" s="59"/>
      <c r="Q775" s="59"/>
      <c r="R775" s="63" t="s">
        <v>2472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1245.0</v>
      </c>
      <c r="B776" s="23" t="s">
        <v>2473</v>
      </c>
      <c r="C776" s="24" t="s">
        <v>2474</v>
      </c>
      <c r="D776" s="118" t="s">
        <v>2475</v>
      </c>
      <c r="E776" s="108">
        <v>91.0</v>
      </c>
      <c r="F776" s="26">
        <v>232.0</v>
      </c>
      <c r="G776" s="26">
        <v>10.0</v>
      </c>
      <c r="H776" s="27">
        <v>39.0</v>
      </c>
      <c r="I776" s="27">
        <v>32.0</v>
      </c>
      <c r="J776" s="27">
        <v>2.0</v>
      </c>
      <c r="K776" s="28">
        <v>68.0</v>
      </c>
      <c r="L776" s="45" t="s">
        <v>46</v>
      </c>
      <c r="M776" s="30" t="s">
        <v>22</v>
      </c>
      <c r="N776" s="30"/>
      <c r="O776" s="30"/>
      <c r="P776" s="30"/>
      <c r="Q776" s="30"/>
      <c r="R776" s="63" t="s">
        <v>2476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>
        <v>4309.0</v>
      </c>
      <c r="B777" s="23" t="s">
        <v>2477</v>
      </c>
      <c r="C777" s="24" t="s">
        <v>2478</v>
      </c>
      <c r="D777" s="118" t="s">
        <v>2479</v>
      </c>
      <c r="E777" s="108">
        <v>19.0</v>
      </c>
      <c r="F777" s="26">
        <v>105.0</v>
      </c>
      <c r="G777" s="26">
        <v>7.0</v>
      </c>
      <c r="H777" s="27">
        <v>2.0</v>
      </c>
      <c r="I777" s="27">
        <v>1.0</v>
      </c>
      <c r="J777" s="27">
        <v>1.0</v>
      </c>
      <c r="K777" s="58">
        <v>0.0</v>
      </c>
      <c r="L777" s="44" t="s">
        <v>41</v>
      </c>
      <c r="M777" s="59" t="s">
        <v>22</v>
      </c>
      <c r="N777" s="59"/>
      <c r="O777" s="59"/>
      <c r="P777" s="59"/>
      <c r="Q777" s="59"/>
      <c r="R777" s="63" t="s">
        <v>2480</v>
      </c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22">
        <v>5844.0</v>
      </c>
      <c r="B778" s="23" t="s">
        <v>2481</v>
      </c>
      <c r="C778" s="175" t="s">
        <v>2482</v>
      </c>
      <c r="D778" s="176" t="s">
        <v>2483</v>
      </c>
      <c r="E778" s="26">
        <v>1.0</v>
      </c>
      <c r="F778" s="26">
        <v>0.0</v>
      </c>
      <c r="G778" s="26">
        <v>0.0</v>
      </c>
      <c r="H778" s="47">
        <v>1.0</v>
      </c>
      <c r="I778" s="47">
        <v>0.0</v>
      </c>
      <c r="J778" s="47">
        <v>0.0</v>
      </c>
      <c r="K778" s="58">
        <v>0.0</v>
      </c>
      <c r="L778" s="39" t="s">
        <v>78</v>
      </c>
      <c r="M778" s="59" t="s">
        <v>22</v>
      </c>
      <c r="N778" s="59"/>
      <c r="O778" s="59"/>
      <c r="P778" s="59"/>
      <c r="Q778" s="59"/>
      <c r="R778" s="12" t="s">
        <v>2484</v>
      </c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34">
        <v>535.0</v>
      </c>
      <c r="B779" s="49" t="s">
        <v>2485</v>
      </c>
      <c r="C779" s="37"/>
      <c r="D779" s="157"/>
      <c r="E779" s="48"/>
      <c r="F779" s="48"/>
      <c r="G779" s="48"/>
      <c r="H779" s="51"/>
      <c r="I779" s="51"/>
      <c r="J779" s="51"/>
      <c r="K779" s="38">
        <v>0.0</v>
      </c>
      <c r="L779" s="40"/>
      <c r="M779" s="40" t="s">
        <v>79</v>
      </c>
      <c r="N779" s="40"/>
      <c r="O779" s="40"/>
      <c r="P779" s="40"/>
      <c r="Q779" s="40"/>
      <c r="R779" s="52"/>
      <c r="S779" s="53"/>
      <c r="T779" s="53"/>
      <c r="U779" s="53"/>
      <c r="V779" s="53"/>
      <c r="W779" s="53"/>
      <c r="X779" s="53"/>
      <c r="Y779" s="53"/>
      <c r="Z779" s="53"/>
    </row>
    <row r="780" ht="21.0" customHeight="1">
      <c r="A780" s="22">
        <v>857.0</v>
      </c>
      <c r="B780" s="23" t="s">
        <v>2486</v>
      </c>
      <c r="C780" s="24" t="s">
        <v>2487</v>
      </c>
      <c r="D780" s="118" t="s">
        <v>2488</v>
      </c>
      <c r="E780" s="108">
        <v>72.0</v>
      </c>
      <c r="F780" s="26">
        <v>95.0</v>
      </c>
      <c r="G780" s="26">
        <v>5.0</v>
      </c>
      <c r="H780" s="27">
        <v>45.0</v>
      </c>
      <c r="I780" s="27">
        <v>30.0</v>
      </c>
      <c r="J780" s="27">
        <v>2.0</v>
      </c>
      <c r="K780" s="58">
        <v>61.0</v>
      </c>
      <c r="L780" s="39"/>
      <c r="M780" s="59" t="s">
        <v>22</v>
      </c>
      <c r="N780" s="59"/>
      <c r="O780" s="59"/>
      <c r="P780" s="59"/>
      <c r="Q780" s="59"/>
      <c r="R780" s="63" t="s">
        <v>2489</v>
      </c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/>
      <c r="B781" s="23" t="s">
        <v>2490</v>
      </c>
      <c r="C781" s="81"/>
      <c r="D781" s="118"/>
      <c r="E781" s="116"/>
      <c r="F781" s="48"/>
      <c r="G781" s="48"/>
      <c r="H781" s="27"/>
      <c r="I781" s="27"/>
      <c r="J781" s="27"/>
      <c r="K781" s="28"/>
      <c r="L781" s="44" t="s">
        <v>171</v>
      </c>
      <c r="M781" s="30"/>
      <c r="N781" s="30"/>
      <c r="O781" s="30"/>
      <c r="P781" s="30"/>
      <c r="Q781" s="30"/>
      <c r="R781" s="12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22">
        <v>101.0</v>
      </c>
      <c r="B782" s="23" t="s">
        <v>2491</v>
      </c>
      <c r="C782" s="24" t="s">
        <v>2492</v>
      </c>
      <c r="D782" s="122"/>
      <c r="E782" s="48"/>
      <c r="F782" s="48"/>
      <c r="G782" s="48"/>
      <c r="H782" s="47"/>
      <c r="I782" s="47"/>
      <c r="J782" s="47"/>
      <c r="K782" s="28">
        <v>1.0</v>
      </c>
      <c r="L782" s="39" t="s">
        <v>91</v>
      </c>
      <c r="M782" s="30" t="s">
        <v>22</v>
      </c>
      <c r="N782" s="30"/>
      <c r="O782" s="30"/>
      <c r="P782" s="30"/>
      <c r="Q782" s="30"/>
      <c r="R782" s="12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34">
        <v>7404.0</v>
      </c>
      <c r="B783" s="49" t="s">
        <v>2493</v>
      </c>
      <c r="C783" s="35" t="s">
        <v>2494</v>
      </c>
      <c r="D783" s="119" t="s">
        <v>2495</v>
      </c>
      <c r="E783" s="26">
        <v>6.0</v>
      </c>
      <c r="F783" s="26">
        <v>1.0</v>
      </c>
      <c r="G783" s="26">
        <v>1.0</v>
      </c>
      <c r="H783" s="51"/>
      <c r="I783" s="51"/>
      <c r="J783" s="51"/>
      <c r="K783" s="38">
        <v>2.0</v>
      </c>
      <c r="L783" s="40" t="s">
        <v>210</v>
      </c>
      <c r="M783" s="40" t="s">
        <v>79</v>
      </c>
      <c r="N783" s="40"/>
      <c r="O783" s="40"/>
      <c r="P783" s="40"/>
      <c r="Q783" s="40"/>
      <c r="R783" s="77" t="s">
        <v>2496</v>
      </c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22">
        <v>7391.0</v>
      </c>
      <c r="B784" s="23" t="s">
        <v>2497</v>
      </c>
      <c r="C784" s="24" t="s">
        <v>2498</v>
      </c>
      <c r="D784" s="118" t="s">
        <v>2499</v>
      </c>
      <c r="E784" s="26">
        <v>14.0</v>
      </c>
      <c r="F784" s="26">
        <v>45.0</v>
      </c>
      <c r="G784" s="26">
        <v>4.0</v>
      </c>
      <c r="H784" s="27">
        <v>6.0</v>
      </c>
      <c r="I784" s="27">
        <v>0.0</v>
      </c>
      <c r="J784" s="27">
        <v>0.0</v>
      </c>
      <c r="K784" s="58">
        <v>2.0</v>
      </c>
      <c r="L784" s="29" t="s">
        <v>36</v>
      </c>
      <c r="M784" s="59" t="s">
        <v>22</v>
      </c>
      <c r="N784" s="59"/>
      <c r="O784" s="59"/>
      <c r="P784" s="59"/>
      <c r="Q784" s="59"/>
      <c r="R784" s="63" t="s">
        <v>2500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2">
        <v>5493.0</v>
      </c>
      <c r="B785" s="23" t="s">
        <v>2501</v>
      </c>
      <c r="C785" s="24" t="s">
        <v>2502</v>
      </c>
      <c r="D785" s="118" t="s">
        <v>2503</v>
      </c>
      <c r="E785" s="26">
        <v>6.0</v>
      </c>
      <c r="F785" s="26">
        <v>10.0</v>
      </c>
      <c r="G785" s="26">
        <v>2.0</v>
      </c>
      <c r="H785" s="27">
        <v>3.0</v>
      </c>
      <c r="I785" s="27">
        <v>2.0</v>
      </c>
      <c r="J785" s="27">
        <v>1.0</v>
      </c>
      <c r="K785" s="58">
        <v>1.0</v>
      </c>
      <c r="L785" s="39"/>
      <c r="M785" s="59" t="s">
        <v>22</v>
      </c>
      <c r="N785" s="59"/>
      <c r="O785" s="59"/>
      <c r="P785" s="59"/>
      <c r="Q785" s="59"/>
      <c r="R785" s="63" t="s">
        <v>2504</v>
      </c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2"/>
      <c r="B786" s="23" t="s">
        <v>2505</v>
      </c>
      <c r="C786" s="81"/>
      <c r="D786" s="137"/>
      <c r="E786" s="48"/>
      <c r="F786" s="48"/>
      <c r="G786" s="48"/>
      <c r="H786" s="27"/>
      <c r="I786" s="27"/>
      <c r="J786" s="27"/>
      <c r="K786" s="28"/>
      <c r="L786" s="29" t="s">
        <v>356</v>
      </c>
      <c r="M786" s="30"/>
      <c r="N786" s="30"/>
      <c r="O786" s="30"/>
      <c r="P786" s="30"/>
      <c r="Q786" s="30"/>
      <c r="R786" s="12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22">
        <v>5890.0</v>
      </c>
      <c r="B787" s="23" t="s">
        <v>2506</v>
      </c>
      <c r="C787" s="24" t="s">
        <v>2507</v>
      </c>
      <c r="D787" s="118" t="s">
        <v>2508</v>
      </c>
      <c r="E787" s="108">
        <v>14.0</v>
      </c>
      <c r="F787" s="26">
        <v>26.0</v>
      </c>
      <c r="G787" s="26">
        <v>3.0</v>
      </c>
      <c r="H787" s="27">
        <v>5.0</v>
      </c>
      <c r="I787" s="27">
        <v>1.0</v>
      </c>
      <c r="J787" s="27">
        <v>1.0</v>
      </c>
      <c r="K787" s="58">
        <v>2.0</v>
      </c>
      <c r="L787" s="29" t="s">
        <v>167</v>
      </c>
      <c r="M787" s="59" t="s">
        <v>22</v>
      </c>
      <c r="N787" s="59"/>
      <c r="O787" s="59"/>
      <c r="P787" s="59"/>
      <c r="Q787" s="59"/>
      <c r="R787" s="63" t="s">
        <v>2509</v>
      </c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03">
        <v>1683.0</v>
      </c>
      <c r="B788" s="23" t="s">
        <v>2510</v>
      </c>
      <c r="C788" s="24" t="s">
        <v>2511</v>
      </c>
      <c r="D788" s="118" t="s">
        <v>2512</v>
      </c>
      <c r="E788" s="26">
        <v>3.0</v>
      </c>
      <c r="F788" s="26">
        <v>15.0</v>
      </c>
      <c r="G788" s="26">
        <v>1.0</v>
      </c>
      <c r="H788" s="177">
        <v>1.0</v>
      </c>
      <c r="I788" s="178">
        <v>9.0</v>
      </c>
      <c r="J788" s="178">
        <v>1.0</v>
      </c>
      <c r="K788" s="58">
        <v>2.0</v>
      </c>
      <c r="L788" s="44" t="s">
        <v>186</v>
      </c>
      <c r="M788" s="59" t="s">
        <v>22</v>
      </c>
      <c r="N788" s="59"/>
      <c r="O788" s="59"/>
      <c r="P788" s="59"/>
      <c r="Q788" s="59"/>
      <c r="R788" s="63" t="s">
        <v>2513</v>
      </c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2">
        <v>2019.0</v>
      </c>
      <c r="B789" s="23" t="s">
        <v>2514</v>
      </c>
      <c r="C789" s="24" t="s">
        <v>2515</v>
      </c>
      <c r="D789" s="122"/>
      <c r="E789" s="48"/>
      <c r="F789" s="48"/>
      <c r="G789" s="48"/>
      <c r="H789" s="47"/>
      <c r="I789" s="47"/>
      <c r="J789" s="47"/>
      <c r="K789" s="58">
        <v>1.0</v>
      </c>
      <c r="L789" s="44" t="s">
        <v>41</v>
      </c>
      <c r="M789" s="59" t="s">
        <v>22</v>
      </c>
      <c r="N789" s="59"/>
      <c r="O789" s="59"/>
      <c r="P789" s="59"/>
      <c r="Q789" s="59"/>
      <c r="R789" s="12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2">
        <v>1940.0</v>
      </c>
      <c r="B790" s="23" t="s">
        <v>2516</v>
      </c>
      <c r="C790" s="24" t="s">
        <v>2517</v>
      </c>
      <c r="D790" s="118" t="s">
        <v>2518</v>
      </c>
      <c r="E790" s="26">
        <v>6.0</v>
      </c>
      <c r="F790" s="26">
        <v>2.0</v>
      </c>
      <c r="G790" s="26">
        <v>1.0</v>
      </c>
      <c r="H790" s="47">
        <v>1.0</v>
      </c>
      <c r="I790" s="47">
        <v>0.0</v>
      </c>
      <c r="J790" s="47">
        <v>0.0</v>
      </c>
      <c r="K790" s="58">
        <v>5.0</v>
      </c>
      <c r="L790" s="45" t="s">
        <v>46</v>
      </c>
      <c r="M790" s="59" t="s">
        <v>22</v>
      </c>
      <c r="N790" s="59"/>
      <c r="O790" s="59"/>
      <c r="P790" s="59"/>
      <c r="Q790" s="59"/>
      <c r="R790" s="63" t="s">
        <v>2519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301.0</v>
      </c>
      <c r="B791" s="23" t="s">
        <v>2520</v>
      </c>
      <c r="C791" s="24" t="s">
        <v>2521</v>
      </c>
      <c r="D791" s="118" t="s">
        <v>2522</v>
      </c>
      <c r="E791" s="26">
        <v>1.0</v>
      </c>
      <c r="F791" s="26">
        <v>2.0</v>
      </c>
      <c r="G791" s="26">
        <v>1.0</v>
      </c>
      <c r="H791" s="47">
        <v>1.0</v>
      </c>
      <c r="I791" s="47">
        <v>0.0</v>
      </c>
      <c r="J791" s="47">
        <v>0.0</v>
      </c>
      <c r="K791" s="58">
        <v>28.0</v>
      </c>
      <c r="L791" s="29" t="s">
        <v>329</v>
      </c>
      <c r="M791" s="59" t="s">
        <v>22</v>
      </c>
      <c r="N791" s="59"/>
      <c r="O791" s="59"/>
      <c r="P791" s="59"/>
      <c r="Q791" s="59"/>
      <c r="R791" s="63" t="s">
        <v>2523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>
        <v>2353.0</v>
      </c>
      <c r="B792" s="23" t="s">
        <v>2524</v>
      </c>
      <c r="C792" s="24" t="s">
        <v>2525</v>
      </c>
      <c r="D792" s="118" t="s">
        <v>2526</v>
      </c>
      <c r="E792" s="108">
        <v>23.0</v>
      </c>
      <c r="F792" s="26">
        <v>82.0</v>
      </c>
      <c r="G792" s="26">
        <v>6.0</v>
      </c>
      <c r="H792" s="27">
        <v>5.0</v>
      </c>
      <c r="I792" s="27">
        <v>16.0</v>
      </c>
      <c r="J792" s="27">
        <v>3.0</v>
      </c>
      <c r="K792" s="58">
        <v>13.0</v>
      </c>
      <c r="L792" s="44" t="s">
        <v>210</v>
      </c>
      <c r="M792" s="59" t="s">
        <v>22</v>
      </c>
      <c r="N792" s="59"/>
      <c r="O792" s="59"/>
      <c r="P792" s="59"/>
      <c r="Q792" s="59"/>
      <c r="R792" s="63" t="s">
        <v>2527</v>
      </c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694.0</v>
      </c>
      <c r="B793" s="23" t="s">
        <v>2528</v>
      </c>
      <c r="C793" s="24" t="s">
        <v>2529</v>
      </c>
      <c r="D793" s="118" t="s">
        <v>2530</v>
      </c>
      <c r="E793" s="108">
        <v>12.0</v>
      </c>
      <c r="F793" s="26">
        <v>20.0</v>
      </c>
      <c r="G793" s="26">
        <v>2.0</v>
      </c>
      <c r="H793" s="27">
        <v>8.0</v>
      </c>
      <c r="I793" s="27">
        <v>3.0</v>
      </c>
      <c r="J793" s="27">
        <v>1.0</v>
      </c>
      <c r="K793" s="58">
        <v>9.0</v>
      </c>
      <c r="L793" s="44" t="s">
        <v>186</v>
      </c>
      <c r="M793" s="59" t="s">
        <v>22</v>
      </c>
      <c r="N793" s="59"/>
      <c r="O793" s="59"/>
      <c r="P793" s="59"/>
      <c r="Q793" s="59"/>
      <c r="R793" s="63" t="s">
        <v>2531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2">
        <v>7154.0</v>
      </c>
      <c r="B794" s="23" t="s">
        <v>2532</v>
      </c>
      <c r="C794" s="24" t="s">
        <v>2533</v>
      </c>
      <c r="D794" s="118" t="s">
        <v>2534</v>
      </c>
      <c r="E794" s="26">
        <v>13.0</v>
      </c>
      <c r="F794" s="26">
        <v>59.0</v>
      </c>
      <c r="G794" s="26">
        <v>4.0</v>
      </c>
      <c r="H794" s="27">
        <v>4.0</v>
      </c>
      <c r="I794" s="27">
        <v>10.0</v>
      </c>
      <c r="J794" s="27">
        <v>2.0</v>
      </c>
      <c r="K794" s="58">
        <v>7.0</v>
      </c>
      <c r="L794" s="39"/>
      <c r="M794" s="59" t="s">
        <v>22</v>
      </c>
      <c r="N794" s="59"/>
      <c r="O794" s="59"/>
      <c r="P794" s="59"/>
      <c r="Q794" s="59"/>
      <c r="R794" s="63" t="s">
        <v>2535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7153.0</v>
      </c>
      <c r="B795" s="23" t="s">
        <v>2536</v>
      </c>
      <c r="C795" s="24" t="s">
        <v>2537</v>
      </c>
      <c r="D795" s="166" t="s">
        <v>2538</v>
      </c>
      <c r="E795" s="26">
        <v>1.0</v>
      </c>
      <c r="F795" s="26">
        <v>1.0</v>
      </c>
      <c r="G795" s="26">
        <v>1.0</v>
      </c>
      <c r="H795" s="47">
        <v>0.0</v>
      </c>
      <c r="I795" s="47">
        <v>0.0</v>
      </c>
      <c r="J795" s="47">
        <v>0.0</v>
      </c>
      <c r="K795" s="28">
        <v>2.0</v>
      </c>
      <c r="L795" s="39"/>
      <c r="M795" s="30" t="s">
        <v>22</v>
      </c>
      <c r="N795" s="30"/>
      <c r="O795" s="30"/>
      <c r="P795" s="30"/>
      <c r="Q795" s="30"/>
      <c r="R795" s="63" t="s">
        <v>2539</v>
      </c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7780.0</v>
      </c>
      <c r="B796" s="23" t="s">
        <v>2540</v>
      </c>
      <c r="C796" s="24" t="s">
        <v>2541</v>
      </c>
      <c r="D796" s="122"/>
      <c r="E796" s="48"/>
      <c r="F796" s="48"/>
      <c r="G796" s="48"/>
      <c r="H796" s="47"/>
      <c r="I796" s="47"/>
      <c r="J796" s="47"/>
      <c r="K796" s="28">
        <v>7.0</v>
      </c>
      <c r="L796" s="29" t="s">
        <v>329</v>
      </c>
      <c r="M796" s="30" t="s">
        <v>22</v>
      </c>
      <c r="N796" s="30"/>
      <c r="O796" s="30"/>
      <c r="P796" s="30"/>
      <c r="Q796" s="30"/>
      <c r="R796" s="12" t="s">
        <v>2542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4.0</v>
      </c>
      <c r="B797" s="23" t="s">
        <v>2543</v>
      </c>
      <c r="C797" s="24" t="s">
        <v>2544</v>
      </c>
      <c r="D797" s="118" t="s">
        <v>2545</v>
      </c>
      <c r="E797" s="26">
        <v>6.0</v>
      </c>
      <c r="F797" s="26">
        <v>5.0</v>
      </c>
      <c r="G797" s="26">
        <v>1.0</v>
      </c>
      <c r="H797" s="27">
        <v>1.0</v>
      </c>
      <c r="I797" s="27">
        <v>0.0</v>
      </c>
      <c r="J797" s="27">
        <v>0.0</v>
      </c>
      <c r="K797" s="58">
        <v>6.0</v>
      </c>
      <c r="L797" s="44" t="s">
        <v>41</v>
      </c>
      <c r="M797" s="59" t="s">
        <v>22</v>
      </c>
      <c r="N797" s="59"/>
      <c r="O797" s="59"/>
      <c r="P797" s="59"/>
      <c r="Q797" s="59"/>
      <c r="R797" s="63" t="s">
        <v>2546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10.0</v>
      </c>
      <c r="B798" s="23" t="s">
        <v>2547</v>
      </c>
      <c r="C798" s="24" t="s">
        <v>2548</v>
      </c>
      <c r="D798" s="118" t="s">
        <v>2549</v>
      </c>
      <c r="E798" s="26">
        <v>1.0</v>
      </c>
      <c r="F798" s="26">
        <v>0.0</v>
      </c>
      <c r="G798" s="26">
        <v>0.0</v>
      </c>
      <c r="H798" s="47"/>
      <c r="I798" s="47"/>
      <c r="J798" s="47"/>
      <c r="K798" s="58">
        <v>2.0</v>
      </c>
      <c r="L798" s="44" t="s">
        <v>144</v>
      </c>
      <c r="M798" s="59" t="s">
        <v>22</v>
      </c>
      <c r="N798" s="59"/>
      <c r="O798" s="59"/>
      <c r="P798" s="59"/>
      <c r="Q798" s="59"/>
      <c r="R798" s="63" t="s">
        <v>2550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690.0</v>
      </c>
      <c r="B799" s="23" t="s">
        <v>2551</v>
      </c>
      <c r="C799" s="24" t="s">
        <v>2552</v>
      </c>
      <c r="D799" s="118" t="s">
        <v>2553</v>
      </c>
      <c r="E799" s="108">
        <v>18.0</v>
      </c>
      <c r="F799" s="26">
        <v>22.0</v>
      </c>
      <c r="G799" s="26">
        <v>3.0</v>
      </c>
      <c r="H799" s="27">
        <v>6.0</v>
      </c>
      <c r="I799" s="27">
        <v>2.0</v>
      </c>
      <c r="J799" s="27">
        <v>1.0</v>
      </c>
      <c r="K799" s="28">
        <v>56.0</v>
      </c>
      <c r="L799" s="45" t="s">
        <v>46</v>
      </c>
      <c r="M799" s="30" t="s">
        <v>22</v>
      </c>
      <c r="N799" s="30"/>
      <c r="O799" s="30"/>
      <c r="P799" s="30"/>
      <c r="Q799" s="30"/>
      <c r="R799" s="63" t="s">
        <v>2554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22">
        <v>7035.0</v>
      </c>
      <c r="B800" s="23" t="s">
        <v>2555</v>
      </c>
      <c r="C800" s="24" t="s">
        <v>2556</v>
      </c>
      <c r="D800" s="118" t="s">
        <v>2557</v>
      </c>
      <c r="E800" s="26">
        <v>12.0</v>
      </c>
      <c r="F800" s="26">
        <v>54.0</v>
      </c>
      <c r="G800" s="26">
        <v>5.0</v>
      </c>
      <c r="H800" s="47"/>
      <c r="I800" s="47"/>
      <c r="J800" s="47"/>
      <c r="K800" s="58">
        <v>1.0</v>
      </c>
      <c r="L800" s="29"/>
      <c r="M800" s="59" t="s">
        <v>22</v>
      </c>
      <c r="N800" s="59"/>
      <c r="O800" s="59"/>
      <c r="P800" s="59"/>
      <c r="Q800" s="59"/>
      <c r="R800" s="63" t="s">
        <v>2558</v>
      </c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34">
        <v>4743.0</v>
      </c>
      <c r="B801" s="49" t="s">
        <v>2559</v>
      </c>
      <c r="C801" s="35" t="s">
        <v>2560</v>
      </c>
      <c r="D801" s="156" t="s">
        <v>2561</v>
      </c>
      <c r="E801" s="26">
        <v>2.0</v>
      </c>
      <c r="F801" s="26">
        <v>1.0</v>
      </c>
      <c r="G801" s="26">
        <v>1.0</v>
      </c>
      <c r="H801" s="179"/>
      <c r="I801" s="179"/>
      <c r="J801" s="179"/>
      <c r="K801" s="38">
        <v>2.0</v>
      </c>
      <c r="L801" s="40"/>
      <c r="M801" s="40" t="s">
        <v>79</v>
      </c>
      <c r="N801" s="40"/>
      <c r="O801" s="40"/>
      <c r="P801" s="40"/>
      <c r="Q801" s="40"/>
      <c r="R801" s="77" t="s">
        <v>2562</v>
      </c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22">
        <v>7072.0</v>
      </c>
      <c r="B802" s="23" t="s">
        <v>2563</v>
      </c>
      <c r="C802" s="24" t="s">
        <v>2564</v>
      </c>
      <c r="D802" s="118" t="s">
        <v>2565</v>
      </c>
      <c r="E802" s="108">
        <v>14.0</v>
      </c>
      <c r="F802" s="26">
        <v>37.0</v>
      </c>
      <c r="G802" s="26">
        <v>4.0</v>
      </c>
      <c r="H802" s="27">
        <v>4.0</v>
      </c>
      <c r="I802" s="27">
        <v>2.0</v>
      </c>
      <c r="J802" s="27">
        <v>1.0</v>
      </c>
      <c r="K802" s="58">
        <v>1.0</v>
      </c>
      <c r="L802" s="39"/>
      <c r="M802" s="59" t="s">
        <v>22</v>
      </c>
      <c r="N802" s="59"/>
      <c r="O802" s="59"/>
      <c r="P802" s="59"/>
      <c r="Q802" s="59"/>
      <c r="R802" s="63" t="s">
        <v>2566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4421.0</v>
      </c>
      <c r="B803" s="23" t="s">
        <v>2567</v>
      </c>
      <c r="C803" s="24" t="s">
        <v>2568</v>
      </c>
      <c r="D803" s="118" t="s">
        <v>2569</v>
      </c>
      <c r="E803" s="171">
        <v>14.0</v>
      </c>
      <c r="F803" s="26">
        <v>29.0</v>
      </c>
      <c r="G803" s="26">
        <v>3.0</v>
      </c>
      <c r="H803" s="27">
        <v>4.0</v>
      </c>
      <c r="I803" s="27">
        <v>1.0</v>
      </c>
      <c r="J803" s="27">
        <v>1.0</v>
      </c>
      <c r="K803" s="58">
        <v>19.0</v>
      </c>
      <c r="L803" s="29"/>
      <c r="M803" s="59" t="s">
        <v>22</v>
      </c>
      <c r="N803" s="59"/>
      <c r="O803" s="59"/>
      <c r="P803" s="59"/>
      <c r="Q803" s="59"/>
      <c r="R803" s="63" t="s">
        <v>2570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2275.0</v>
      </c>
      <c r="B804" s="23" t="s">
        <v>2571</v>
      </c>
      <c r="C804" s="24" t="s">
        <v>2572</v>
      </c>
      <c r="D804" s="118" t="s">
        <v>2573</v>
      </c>
      <c r="E804" s="108">
        <v>6.0</v>
      </c>
      <c r="F804" s="26">
        <v>6.0</v>
      </c>
      <c r="G804" s="26">
        <v>1.0</v>
      </c>
      <c r="H804" s="27">
        <v>5.0</v>
      </c>
      <c r="I804" s="27">
        <v>4.0</v>
      </c>
      <c r="J804" s="27">
        <v>1.0</v>
      </c>
      <c r="K804" s="58">
        <v>6.0</v>
      </c>
      <c r="L804" s="29" t="s">
        <v>36</v>
      </c>
      <c r="M804" s="59" t="s">
        <v>22</v>
      </c>
      <c r="N804" s="59"/>
      <c r="O804" s="59"/>
      <c r="P804" s="59"/>
      <c r="Q804" s="59"/>
      <c r="R804" s="63" t="s">
        <v>2574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1042.0</v>
      </c>
      <c r="B805" s="23" t="s">
        <v>2575</v>
      </c>
      <c r="C805" s="24" t="s">
        <v>2576</v>
      </c>
      <c r="D805" s="118" t="s">
        <v>2577</v>
      </c>
      <c r="E805" s="26">
        <v>2.0</v>
      </c>
      <c r="F805" s="26">
        <v>0.0</v>
      </c>
      <c r="G805" s="26">
        <v>0.0</v>
      </c>
      <c r="H805" s="27">
        <v>10.0</v>
      </c>
      <c r="I805" s="27">
        <v>14.0</v>
      </c>
      <c r="J805" s="27">
        <v>2.0</v>
      </c>
      <c r="K805" s="58">
        <v>19.0</v>
      </c>
      <c r="L805" s="44" t="s">
        <v>120</v>
      </c>
      <c r="M805" s="59" t="s">
        <v>22</v>
      </c>
      <c r="N805" s="59"/>
      <c r="O805" s="59"/>
      <c r="P805" s="59"/>
      <c r="Q805" s="59"/>
      <c r="R805" s="63" t="s">
        <v>2578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2266.0</v>
      </c>
      <c r="B806" s="23" t="s">
        <v>2579</v>
      </c>
      <c r="C806" s="24" t="s">
        <v>2580</v>
      </c>
      <c r="D806" s="118" t="s">
        <v>2581</v>
      </c>
      <c r="E806" s="26">
        <v>5.0</v>
      </c>
      <c r="F806" s="26">
        <v>7.0</v>
      </c>
      <c r="G806" s="26">
        <v>2.0</v>
      </c>
      <c r="H806" s="27">
        <v>1.0</v>
      </c>
      <c r="I806" s="27">
        <v>4.0</v>
      </c>
      <c r="J806" s="27">
        <v>1.0</v>
      </c>
      <c r="K806" s="58">
        <v>8.0</v>
      </c>
      <c r="L806" s="29" t="s">
        <v>594</v>
      </c>
      <c r="M806" s="59" t="s">
        <v>22</v>
      </c>
      <c r="N806" s="59"/>
      <c r="O806" s="59"/>
      <c r="P806" s="59"/>
      <c r="Q806" s="59"/>
      <c r="R806" s="63" t="s">
        <v>2582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22">
        <v>6286.0</v>
      </c>
      <c r="B807" s="23" t="s">
        <v>2583</v>
      </c>
      <c r="C807" s="24" t="s">
        <v>2584</v>
      </c>
      <c r="D807" s="118" t="s">
        <v>2585</v>
      </c>
      <c r="E807" s="26">
        <v>3.0</v>
      </c>
      <c r="F807" s="26">
        <v>51.0</v>
      </c>
      <c r="G807" s="26">
        <v>3.0</v>
      </c>
      <c r="H807" s="27">
        <v>1.0</v>
      </c>
      <c r="I807" s="27">
        <v>0.0</v>
      </c>
      <c r="J807" s="27">
        <v>0.0</v>
      </c>
      <c r="K807" s="58">
        <v>24.0</v>
      </c>
      <c r="L807" s="44" t="s">
        <v>64</v>
      </c>
      <c r="M807" s="59" t="s">
        <v>22</v>
      </c>
      <c r="N807" s="59"/>
      <c r="O807" s="59"/>
      <c r="P807" s="59"/>
      <c r="Q807" s="59"/>
      <c r="R807" s="63" t="s">
        <v>2586</v>
      </c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34">
        <v>7894.0</v>
      </c>
      <c r="B808" s="49" t="s">
        <v>2587</v>
      </c>
      <c r="C808" s="37"/>
      <c r="D808" s="169" t="s">
        <v>2588</v>
      </c>
      <c r="E808" s="26">
        <v>2.0</v>
      </c>
      <c r="F808" s="26">
        <v>1.0</v>
      </c>
      <c r="G808" s="26">
        <v>1.0</v>
      </c>
      <c r="H808" s="51"/>
      <c r="I808" s="51"/>
      <c r="J808" s="51"/>
      <c r="K808" s="38">
        <v>0.0</v>
      </c>
      <c r="L808" s="40"/>
      <c r="M808" s="40" t="s">
        <v>79</v>
      </c>
      <c r="N808" s="40"/>
      <c r="O808" s="40"/>
      <c r="P808" s="40"/>
      <c r="Q808" s="40"/>
      <c r="R808" s="77" t="s">
        <v>2589</v>
      </c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22">
        <v>6.0</v>
      </c>
      <c r="B809" s="23" t="s">
        <v>2590</v>
      </c>
      <c r="C809" s="24" t="s">
        <v>2591</v>
      </c>
      <c r="D809" s="118" t="s">
        <v>2592</v>
      </c>
      <c r="E809" s="108">
        <v>17.0</v>
      </c>
      <c r="F809" s="26">
        <v>29.0</v>
      </c>
      <c r="G809" s="26">
        <v>3.0</v>
      </c>
      <c r="H809" s="27">
        <v>6.0</v>
      </c>
      <c r="I809" s="27">
        <v>5.0</v>
      </c>
      <c r="J809" s="27">
        <v>1.0</v>
      </c>
      <c r="K809" s="28">
        <v>28.0</v>
      </c>
      <c r="L809" s="44" t="s">
        <v>41</v>
      </c>
      <c r="M809" s="30" t="s">
        <v>22</v>
      </c>
      <c r="N809" s="30"/>
      <c r="O809" s="30"/>
      <c r="P809" s="30"/>
      <c r="Q809" s="30"/>
      <c r="R809" s="63" t="s">
        <v>2593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34">
        <v>7646.0</v>
      </c>
      <c r="B810" s="23" t="s">
        <v>2594</v>
      </c>
      <c r="C810" s="180" t="s">
        <v>2595</v>
      </c>
      <c r="D810" s="169" t="s">
        <v>2596</v>
      </c>
      <c r="E810" s="26">
        <v>22.0</v>
      </c>
      <c r="F810" s="26">
        <v>89.0</v>
      </c>
      <c r="G810" s="26">
        <v>5.0</v>
      </c>
      <c r="H810" s="51">
        <v>7.0</v>
      </c>
      <c r="I810" s="51">
        <v>4.0</v>
      </c>
      <c r="J810" s="51">
        <v>2.0</v>
      </c>
      <c r="K810" s="38">
        <v>62.0</v>
      </c>
      <c r="L810" s="29"/>
      <c r="M810" s="40" t="s">
        <v>22</v>
      </c>
      <c r="N810" s="40"/>
      <c r="O810" s="40"/>
      <c r="P810" s="40"/>
      <c r="Q810" s="40"/>
      <c r="R810" s="63" t="s">
        <v>2597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6987.0</v>
      </c>
      <c r="B811" s="23" t="s">
        <v>2598</v>
      </c>
      <c r="C811" s="24" t="s">
        <v>2599</v>
      </c>
      <c r="D811" s="118" t="s">
        <v>2600</v>
      </c>
      <c r="E811" s="108">
        <v>8.0</v>
      </c>
      <c r="F811" s="26">
        <v>9.0</v>
      </c>
      <c r="G811" s="26">
        <v>2.0</v>
      </c>
      <c r="H811" s="47">
        <v>1.0</v>
      </c>
      <c r="I811" s="47">
        <v>0.0</v>
      </c>
      <c r="J811" s="47">
        <v>0.0</v>
      </c>
      <c r="K811" s="58">
        <v>3.0</v>
      </c>
      <c r="L811" s="44" t="s">
        <v>108</v>
      </c>
      <c r="M811" s="59" t="s">
        <v>22</v>
      </c>
      <c r="N811" s="59"/>
      <c r="O811" s="59"/>
      <c r="P811" s="59"/>
      <c r="Q811" s="59"/>
      <c r="R811" s="63" t="s">
        <v>2601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459.0</v>
      </c>
      <c r="B812" s="23" t="s">
        <v>2602</v>
      </c>
      <c r="C812" s="24" t="s">
        <v>2603</v>
      </c>
      <c r="D812" s="118" t="s">
        <v>2604</v>
      </c>
      <c r="E812" s="26">
        <v>9.0</v>
      </c>
      <c r="F812" s="26">
        <v>5.0</v>
      </c>
      <c r="G812" s="26">
        <v>2.0</v>
      </c>
      <c r="H812" s="47">
        <v>1.0</v>
      </c>
      <c r="I812" s="47">
        <v>0.0</v>
      </c>
      <c r="J812" s="47">
        <v>0.0</v>
      </c>
      <c r="K812" s="58">
        <v>8.0</v>
      </c>
      <c r="L812" s="44" t="s">
        <v>75</v>
      </c>
      <c r="M812" s="59" t="s">
        <v>22</v>
      </c>
      <c r="N812" s="59"/>
      <c r="O812" s="59"/>
      <c r="P812" s="59"/>
      <c r="Q812" s="59"/>
      <c r="R812" s="63" t="s">
        <v>2605</v>
      </c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2">
        <v>6665.0</v>
      </c>
      <c r="B813" s="23" t="s">
        <v>2606</v>
      </c>
      <c r="C813" s="24" t="s">
        <v>2607</v>
      </c>
      <c r="D813" s="118" t="s">
        <v>2608</v>
      </c>
      <c r="E813" s="26">
        <v>2.0</v>
      </c>
      <c r="F813" s="26">
        <v>0.0</v>
      </c>
      <c r="G813" s="26">
        <v>0.0</v>
      </c>
      <c r="H813" s="47"/>
      <c r="I813" s="47"/>
      <c r="J813" s="47"/>
      <c r="K813" s="58">
        <v>3.0</v>
      </c>
      <c r="L813" s="44" t="s">
        <v>218</v>
      </c>
      <c r="M813" s="59" t="s">
        <v>22</v>
      </c>
      <c r="N813" s="59"/>
      <c r="O813" s="59"/>
      <c r="P813" s="59"/>
      <c r="Q813" s="59"/>
      <c r="R813" s="63" t="s">
        <v>2609</v>
      </c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2">
        <v>26.0</v>
      </c>
      <c r="B814" s="23" t="s">
        <v>2610</v>
      </c>
      <c r="C814" s="24" t="s">
        <v>2611</v>
      </c>
      <c r="D814" s="27"/>
      <c r="E814" s="48"/>
      <c r="F814" s="48"/>
      <c r="G814" s="48"/>
      <c r="H814" s="47"/>
      <c r="I814" s="47"/>
      <c r="J814" s="47"/>
      <c r="K814" s="28">
        <v>4.0</v>
      </c>
      <c r="L814" s="39" t="s">
        <v>2612</v>
      </c>
      <c r="M814" s="30" t="s">
        <v>22</v>
      </c>
      <c r="N814" s="30"/>
      <c r="O814" s="30"/>
      <c r="P814" s="30"/>
      <c r="Q814" s="30"/>
      <c r="R814" s="12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2">
        <v>6229.0</v>
      </c>
      <c r="B815" s="23" t="s">
        <v>2613</v>
      </c>
      <c r="C815" s="24" t="s">
        <v>2614</v>
      </c>
      <c r="D815" s="27"/>
      <c r="E815" s="48"/>
      <c r="F815" s="48"/>
      <c r="G815" s="48"/>
      <c r="H815" s="47"/>
      <c r="I815" s="47"/>
      <c r="J815" s="47"/>
      <c r="K815" s="28">
        <v>1.0</v>
      </c>
      <c r="L815" s="39" t="s">
        <v>2615</v>
      </c>
      <c r="M815" s="30" t="s">
        <v>22</v>
      </c>
      <c r="N815" s="30"/>
      <c r="O815" s="30"/>
      <c r="P815" s="30"/>
      <c r="Q815" s="30"/>
      <c r="R815" s="12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2">
        <v>2305.0</v>
      </c>
      <c r="B816" s="23" t="s">
        <v>2616</v>
      </c>
      <c r="C816" s="24" t="s">
        <v>2617</v>
      </c>
      <c r="D816" s="118" t="s">
        <v>2618</v>
      </c>
      <c r="E816" s="108">
        <v>5.0</v>
      </c>
      <c r="F816" s="26">
        <v>15.0</v>
      </c>
      <c r="G816" s="26">
        <v>2.0</v>
      </c>
      <c r="H816" s="27">
        <v>2.0</v>
      </c>
      <c r="I816" s="27">
        <v>2.0</v>
      </c>
      <c r="J816" s="27">
        <v>1.0</v>
      </c>
      <c r="K816" s="28">
        <v>7.0</v>
      </c>
      <c r="L816" s="29" t="s">
        <v>167</v>
      </c>
      <c r="M816" s="30" t="s">
        <v>22</v>
      </c>
      <c r="N816" s="30"/>
      <c r="O816" s="30"/>
      <c r="P816" s="30"/>
      <c r="Q816" s="30"/>
      <c r="R816" s="63" t="s">
        <v>2619</v>
      </c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>
        <v>81.0</v>
      </c>
      <c r="B817" s="23" t="s">
        <v>2620</v>
      </c>
      <c r="C817" s="24" t="s">
        <v>2621</v>
      </c>
      <c r="D817" s="27"/>
      <c r="E817" s="48"/>
      <c r="F817" s="48"/>
      <c r="G817" s="48"/>
      <c r="H817" s="27"/>
      <c r="I817" s="27"/>
      <c r="J817" s="27"/>
      <c r="K817" s="28">
        <v>5.0</v>
      </c>
      <c r="L817" s="29" t="s">
        <v>71</v>
      </c>
      <c r="M817" s="30" t="s">
        <v>22</v>
      </c>
      <c r="N817" s="30"/>
      <c r="O817" s="30"/>
      <c r="P817" s="30"/>
      <c r="Q817" s="30"/>
      <c r="R817" s="12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/>
      <c r="B818" s="23" t="s">
        <v>2622</v>
      </c>
      <c r="C818" s="81"/>
      <c r="D818" s="27"/>
      <c r="E818" s="48"/>
      <c r="F818" s="48"/>
      <c r="G818" s="48"/>
      <c r="H818" s="27"/>
      <c r="I818" s="27"/>
      <c r="J818" s="27"/>
      <c r="K818" s="28"/>
      <c r="L818" s="44" t="s">
        <v>60</v>
      </c>
      <c r="M818" s="30"/>
      <c r="N818" s="30"/>
      <c r="O818" s="30"/>
      <c r="P818" s="30"/>
      <c r="Q818" s="30"/>
      <c r="R818" s="12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/>
      <c r="B819" s="23" t="s">
        <v>2623</v>
      </c>
      <c r="C819" s="81"/>
      <c r="D819" s="175"/>
      <c r="E819" s="48"/>
      <c r="F819" s="48"/>
      <c r="G819" s="48"/>
      <c r="H819" s="27"/>
      <c r="I819" s="27"/>
      <c r="J819" s="27"/>
      <c r="K819" s="28"/>
      <c r="L819" s="29" t="s">
        <v>71</v>
      </c>
      <c r="M819" s="30"/>
      <c r="N819" s="30"/>
      <c r="O819" s="30"/>
      <c r="P819" s="30"/>
      <c r="Q819" s="30"/>
      <c r="R819" s="12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4420.0</v>
      </c>
      <c r="B820" s="23" t="s">
        <v>2624</v>
      </c>
      <c r="C820" s="24" t="s">
        <v>2625</v>
      </c>
      <c r="D820" s="27"/>
      <c r="E820" s="48"/>
      <c r="F820" s="48"/>
      <c r="G820" s="48"/>
      <c r="H820" s="27"/>
      <c r="I820" s="27"/>
      <c r="J820" s="27"/>
      <c r="K820" s="28">
        <v>1.0</v>
      </c>
      <c r="L820" s="44" t="s">
        <v>171</v>
      </c>
      <c r="M820" s="30" t="s">
        <v>22</v>
      </c>
      <c r="N820" s="30"/>
      <c r="O820" s="30"/>
      <c r="P820" s="30"/>
      <c r="Q820" s="30"/>
      <c r="R820" s="12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22">
        <v>727.0</v>
      </c>
      <c r="B821" s="23" t="s">
        <v>2626</v>
      </c>
      <c r="C821" s="24" t="s">
        <v>2627</v>
      </c>
      <c r="D821" s="42" t="s">
        <v>2628</v>
      </c>
      <c r="E821" s="26">
        <v>1.0</v>
      </c>
      <c r="F821" s="26">
        <v>0.0</v>
      </c>
      <c r="G821" s="26">
        <v>0.0</v>
      </c>
      <c r="H821" s="27">
        <v>1.0</v>
      </c>
      <c r="I821" s="27">
        <v>0.0</v>
      </c>
      <c r="J821" s="27">
        <v>0.0</v>
      </c>
      <c r="K821" s="58">
        <v>2.0</v>
      </c>
      <c r="L821" s="44" t="s">
        <v>60</v>
      </c>
      <c r="M821" s="59" t="s">
        <v>22</v>
      </c>
      <c r="N821" s="59"/>
      <c r="O821" s="59"/>
      <c r="P821" s="59"/>
      <c r="Q821" s="59"/>
      <c r="R821" s="63" t="s">
        <v>2629</v>
      </c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81"/>
      <c r="B822" s="23"/>
      <c r="C822" s="182"/>
      <c r="D822" s="183"/>
      <c r="E822" s="48"/>
      <c r="F822" s="48"/>
      <c r="G822" s="48"/>
      <c r="H822" s="184"/>
      <c r="I822" s="184"/>
      <c r="J822" s="184"/>
      <c r="K822" s="185"/>
      <c r="L822" s="186"/>
      <c r="M822" s="186"/>
      <c r="N822" s="186"/>
      <c r="O822" s="186"/>
      <c r="P822" s="186"/>
      <c r="Q822" s="186"/>
      <c r="R822" s="12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22"/>
      <c r="B823" s="23"/>
      <c r="C823" s="187"/>
      <c r="D823" s="101"/>
      <c r="E823" s="48"/>
      <c r="F823" s="48"/>
      <c r="G823" s="48"/>
      <c r="H823" s="27"/>
      <c r="I823" s="27"/>
      <c r="J823" s="27"/>
      <c r="K823" s="28"/>
      <c r="L823" s="30"/>
      <c r="M823" s="30"/>
      <c r="N823" s="30"/>
      <c r="O823" s="30"/>
      <c r="P823" s="30"/>
      <c r="Q823" s="30"/>
      <c r="R823" s="12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88"/>
      <c r="B824" s="23" t="s">
        <v>2630</v>
      </c>
      <c r="C824" s="189" t="s">
        <v>2631</v>
      </c>
      <c r="D824" s="190" t="s">
        <v>2632</v>
      </c>
      <c r="E824" s="191">
        <v>8.0</v>
      </c>
      <c r="F824" s="191">
        <v>9.0</v>
      </c>
      <c r="G824" s="191">
        <v>2.0</v>
      </c>
      <c r="H824" s="192">
        <v>2.0</v>
      </c>
      <c r="I824" s="192">
        <v>6.0</v>
      </c>
      <c r="J824" s="192">
        <v>2.0</v>
      </c>
      <c r="K824" s="193"/>
      <c r="L824" s="194" t="s">
        <v>75</v>
      </c>
      <c r="M824" s="194"/>
      <c r="N824" s="194"/>
      <c r="O824" s="194"/>
      <c r="P824" s="194"/>
      <c r="Q824" s="194"/>
      <c r="R824" s="195" t="s">
        <v>2633</v>
      </c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188"/>
      <c r="B825" s="23" t="s">
        <v>2634</v>
      </c>
      <c r="C825" s="196"/>
      <c r="D825" s="190" t="s">
        <v>2635</v>
      </c>
      <c r="E825" s="191">
        <v>2.0</v>
      </c>
      <c r="F825" s="191">
        <v>7.0</v>
      </c>
      <c r="G825" s="191">
        <v>1.0</v>
      </c>
      <c r="H825" s="192">
        <v>1.0</v>
      </c>
      <c r="I825" s="192">
        <v>0.0</v>
      </c>
      <c r="J825" s="192">
        <v>0.0</v>
      </c>
      <c r="K825" s="193"/>
      <c r="L825" s="30" t="s">
        <v>210</v>
      </c>
      <c r="M825" s="194" t="s">
        <v>2636</v>
      </c>
      <c r="N825" s="194"/>
      <c r="O825" s="194"/>
      <c r="P825" s="194"/>
      <c r="Q825" s="194"/>
      <c r="R825" s="61" t="s">
        <v>2637</v>
      </c>
      <c r="S825" s="61"/>
      <c r="T825" s="61"/>
      <c r="U825" s="61"/>
      <c r="V825" s="61"/>
      <c r="W825" s="61"/>
      <c r="X825" s="61"/>
      <c r="Y825" s="61"/>
      <c r="Z825" s="61"/>
    </row>
    <row r="826" ht="28.5" customHeight="1">
      <c r="A826" s="188"/>
      <c r="B826" s="23" t="s">
        <v>2634</v>
      </c>
      <c r="C826" s="197"/>
      <c r="D826" s="198" t="s">
        <v>2638</v>
      </c>
      <c r="E826" s="191">
        <v>2.0</v>
      </c>
      <c r="F826" s="191">
        <v>7.0</v>
      </c>
      <c r="G826" s="191">
        <v>1.0</v>
      </c>
      <c r="H826" s="192"/>
      <c r="I826" s="192"/>
      <c r="J826" s="192"/>
      <c r="K826" s="193"/>
      <c r="L826" s="30" t="s">
        <v>210</v>
      </c>
      <c r="M826" s="194"/>
      <c r="N826" s="194"/>
      <c r="O826" s="194"/>
      <c r="P826" s="194"/>
      <c r="Q826" s="194"/>
      <c r="R826" s="195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199"/>
      <c r="B827" s="200" t="s">
        <v>2639</v>
      </c>
      <c r="C827" s="201" t="s">
        <v>2640</v>
      </c>
      <c r="D827" s="202" t="s">
        <v>2641</v>
      </c>
      <c r="E827" s="191">
        <v>6.0</v>
      </c>
      <c r="F827" s="191">
        <v>8.0</v>
      </c>
      <c r="G827" s="191">
        <v>2.0</v>
      </c>
      <c r="H827" s="203">
        <v>2.0</v>
      </c>
      <c r="I827" s="203">
        <v>0.0</v>
      </c>
      <c r="J827" s="203">
        <v>0.0</v>
      </c>
      <c r="K827" s="204"/>
      <c r="L827" s="205"/>
      <c r="M827" s="205"/>
      <c r="N827" s="205"/>
      <c r="O827" s="205"/>
      <c r="P827" s="205"/>
      <c r="Q827" s="205"/>
      <c r="R827" s="206" t="s">
        <v>2642</v>
      </c>
      <c r="S827" s="207"/>
      <c r="T827" s="207"/>
      <c r="U827" s="207"/>
      <c r="V827" s="207"/>
      <c r="W827" s="207"/>
      <c r="X827" s="207"/>
      <c r="Y827" s="207"/>
      <c r="Z827" s="207"/>
    </row>
    <row r="828" ht="15.75" customHeight="1">
      <c r="A828" s="188"/>
      <c r="B828" s="23" t="s">
        <v>2643</v>
      </c>
      <c r="C828" s="208"/>
      <c r="D828" s="190" t="s">
        <v>2644</v>
      </c>
      <c r="E828" s="191">
        <v>12.0</v>
      </c>
      <c r="F828" s="191">
        <v>74.0</v>
      </c>
      <c r="G828" s="191">
        <v>5.0</v>
      </c>
      <c r="H828" s="192"/>
      <c r="I828" s="192"/>
      <c r="J828" s="192"/>
      <c r="K828" s="193"/>
      <c r="L828" s="194" t="s">
        <v>2645</v>
      </c>
      <c r="M828" s="194"/>
      <c r="N828" s="194"/>
      <c r="O828" s="194"/>
      <c r="P828" s="194"/>
      <c r="Q828" s="194"/>
      <c r="R828" s="195" t="s">
        <v>2646</v>
      </c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188"/>
      <c r="B829" s="23" t="s">
        <v>2647</v>
      </c>
      <c r="C829" s="209" t="s">
        <v>2648</v>
      </c>
      <c r="D829" s="190" t="s">
        <v>2649</v>
      </c>
      <c r="E829" s="191">
        <v>52.0</v>
      </c>
      <c r="F829" s="191">
        <v>187.0</v>
      </c>
      <c r="G829" s="191">
        <v>9.0</v>
      </c>
      <c r="H829" s="192">
        <v>10.0</v>
      </c>
      <c r="I829" s="192">
        <v>14.0</v>
      </c>
      <c r="J829" s="192">
        <v>3.0</v>
      </c>
      <c r="K829" s="193"/>
      <c r="L829" s="30" t="s">
        <v>171</v>
      </c>
      <c r="M829" s="194"/>
      <c r="N829" s="194"/>
      <c r="O829" s="194"/>
      <c r="P829" s="194"/>
      <c r="Q829" s="194"/>
      <c r="R829" s="195" t="s">
        <v>2650</v>
      </c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188"/>
      <c r="B830" s="23" t="s">
        <v>2651</v>
      </c>
      <c r="C830" s="210" t="s">
        <v>2652</v>
      </c>
      <c r="D830" s="190" t="s">
        <v>2653</v>
      </c>
      <c r="E830" s="191">
        <v>46.0</v>
      </c>
      <c r="F830" s="191">
        <v>181.0</v>
      </c>
      <c r="G830" s="191">
        <v>8.0</v>
      </c>
      <c r="H830" s="192">
        <v>24.0</v>
      </c>
      <c r="I830" s="192">
        <v>61.0</v>
      </c>
      <c r="J830" s="192">
        <v>5.0</v>
      </c>
      <c r="K830" s="193"/>
      <c r="L830" s="211" t="s">
        <v>2645</v>
      </c>
      <c r="M830" s="194"/>
      <c r="N830" s="194"/>
      <c r="O830" s="194"/>
      <c r="P830" s="194"/>
      <c r="Q830" s="194"/>
      <c r="R830" s="195" t="s">
        <v>2654</v>
      </c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188"/>
      <c r="B831" s="23" t="s">
        <v>2655</v>
      </c>
      <c r="C831" s="212" t="s">
        <v>2656</v>
      </c>
      <c r="D831" s="190" t="s">
        <v>2657</v>
      </c>
      <c r="E831" s="191">
        <v>25.0</v>
      </c>
      <c r="F831" s="191">
        <v>66.0</v>
      </c>
      <c r="G831" s="191">
        <v>5.0</v>
      </c>
      <c r="H831" s="192"/>
      <c r="I831" s="192"/>
      <c r="J831" s="192"/>
      <c r="K831" s="193"/>
      <c r="L831" s="194" t="s">
        <v>210</v>
      </c>
      <c r="M831" s="194" t="s">
        <v>2658</v>
      </c>
      <c r="N831" s="194"/>
      <c r="O831" s="194"/>
      <c r="P831" s="194"/>
      <c r="Q831" s="194"/>
      <c r="R831" s="195" t="s">
        <v>2659</v>
      </c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199"/>
      <c r="B832" s="200" t="s">
        <v>2660</v>
      </c>
      <c r="C832" s="213" t="s">
        <v>2661</v>
      </c>
      <c r="D832" s="202" t="s">
        <v>2662</v>
      </c>
      <c r="E832" s="191">
        <v>10.0</v>
      </c>
      <c r="F832" s="191">
        <v>22.0</v>
      </c>
      <c r="G832" s="191">
        <v>3.0</v>
      </c>
      <c r="H832" s="203"/>
      <c r="I832" s="203"/>
      <c r="J832" s="203"/>
      <c r="K832" s="204"/>
      <c r="L832" s="205"/>
      <c r="M832" s="205"/>
      <c r="N832" s="205"/>
      <c r="O832" s="205"/>
      <c r="P832" s="205"/>
      <c r="Q832" s="205"/>
      <c r="R832" s="206" t="s">
        <v>2663</v>
      </c>
      <c r="S832" s="207"/>
      <c r="T832" s="207"/>
      <c r="U832" s="207"/>
      <c r="V832" s="207"/>
      <c r="W832" s="207"/>
      <c r="X832" s="207"/>
      <c r="Y832" s="207"/>
      <c r="Z832" s="207"/>
    </row>
    <row r="833" ht="15.75" customHeight="1">
      <c r="A833" s="207"/>
      <c r="B833" s="200" t="s">
        <v>2664</v>
      </c>
      <c r="C833" s="207" t="s">
        <v>2665</v>
      </c>
      <c r="D833" s="214" t="s">
        <v>2666</v>
      </c>
      <c r="E833" s="215">
        <v>9.0</v>
      </c>
      <c r="F833" s="215">
        <v>12.0</v>
      </c>
      <c r="G833" s="215">
        <v>1.0</v>
      </c>
      <c r="H833" s="207"/>
      <c r="I833" s="207"/>
      <c r="J833" s="207"/>
      <c r="K833" s="207"/>
      <c r="L833" s="216"/>
      <c r="M833" s="216"/>
      <c r="N833" s="216"/>
      <c r="O833" s="216"/>
      <c r="P833" s="216"/>
      <c r="Q833" s="216"/>
      <c r="R833" s="217" t="s">
        <v>2667</v>
      </c>
      <c r="S833" s="207"/>
      <c r="T833" s="207"/>
      <c r="U833" s="207"/>
      <c r="V833" s="207"/>
      <c r="W833" s="207"/>
      <c r="X833" s="207"/>
      <c r="Y833" s="207"/>
      <c r="Z833" s="207"/>
    </row>
    <row r="834" ht="15.75" customHeight="1">
      <c r="A834" s="207"/>
      <c r="B834" s="200" t="s">
        <v>2668</v>
      </c>
      <c r="C834" s="207"/>
      <c r="D834" s="214" t="s">
        <v>2669</v>
      </c>
      <c r="E834" s="215">
        <v>21.0</v>
      </c>
      <c r="F834" s="215">
        <v>140.0</v>
      </c>
      <c r="G834" s="215">
        <v>7.0</v>
      </c>
      <c r="H834" s="207"/>
      <c r="I834" s="207"/>
      <c r="J834" s="207"/>
      <c r="K834" s="207"/>
      <c r="L834" s="216"/>
      <c r="M834" s="216"/>
      <c r="N834" s="216"/>
      <c r="O834" s="216"/>
      <c r="P834" s="216"/>
      <c r="Q834" s="216"/>
      <c r="R834" s="217" t="s">
        <v>2670</v>
      </c>
      <c r="S834" s="207"/>
      <c r="T834" s="207"/>
      <c r="U834" s="207"/>
      <c r="V834" s="207"/>
      <c r="W834" s="207"/>
      <c r="X834" s="207"/>
      <c r="Y834" s="207"/>
      <c r="Z834" s="207"/>
    </row>
    <row r="835" ht="15.75" customHeight="1">
      <c r="A835" s="207"/>
      <c r="B835" s="200" t="s">
        <v>2671</v>
      </c>
      <c r="C835" s="207"/>
      <c r="D835" s="214" t="s">
        <v>2672</v>
      </c>
      <c r="E835" s="215">
        <v>17.0</v>
      </c>
      <c r="F835" s="215">
        <v>85.0</v>
      </c>
      <c r="G835" s="215">
        <v>5.0</v>
      </c>
      <c r="H835" s="207"/>
      <c r="I835" s="207"/>
      <c r="J835" s="207"/>
      <c r="K835" s="207"/>
      <c r="L835" s="216"/>
      <c r="M835" s="216"/>
      <c r="N835" s="216"/>
      <c r="O835" s="216"/>
      <c r="P835" s="216"/>
      <c r="Q835" s="216"/>
      <c r="R835" s="218" t="s">
        <v>2673</v>
      </c>
      <c r="S835" s="207"/>
      <c r="T835" s="207"/>
      <c r="U835" s="207"/>
      <c r="V835" s="207"/>
      <c r="W835" s="207"/>
      <c r="X835" s="207"/>
      <c r="Y835" s="207"/>
      <c r="Z835" s="207"/>
    </row>
    <row r="836" ht="15.75" customHeight="1">
      <c r="A836" s="61"/>
      <c r="B836" s="23" t="s">
        <v>2674</v>
      </c>
      <c r="C836" s="61"/>
      <c r="D836" s="219" t="s">
        <v>2675</v>
      </c>
      <c r="E836" s="215">
        <v>8.0</v>
      </c>
      <c r="F836" s="215">
        <v>9.0</v>
      </c>
      <c r="G836" s="215">
        <v>2.0</v>
      </c>
      <c r="H836" s="61"/>
      <c r="I836" s="61"/>
      <c r="J836" s="61"/>
      <c r="K836" s="61"/>
      <c r="L836" s="220" t="s">
        <v>36</v>
      </c>
      <c r="M836" s="220"/>
      <c r="N836" s="220"/>
      <c r="O836" s="220"/>
      <c r="P836" s="220"/>
      <c r="Q836" s="220"/>
      <c r="R836" s="221" t="s">
        <v>2676</v>
      </c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13"/>
      <c r="B837" s="222" t="s">
        <v>2677</v>
      </c>
      <c r="C837" s="13"/>
      <c r="D837" s="223" t="s">
        <v>2678</v>
      </c>
      <c r="E837" s="215">
        <v>7.0</v>
      </c>
      <c r="F837" s="215">
        <v>3.0</v>
      </c>
      <c r="G837" s="215">
        <v>1.0</v>
      </c>
      <c r="H837" s="13"/>
      <c r="I837" s="13"/>
      <c r="J837" s="13"/>
      <c r="K837" s="13"/>
      <c r="L837" s="44" t="s">
        <v>210</v>
      </c>
      <c r="M837" s="224"/>
      <c r="N837" s="224"/>
      <c r="O837" s="224"/>
      <c r="P837" s="224"/>
      <c r="Q837" s="224"/>
      <c r="R837" s="12" t="s">
        <v>2679</v>
      </c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61"/>
      <c r="B838" s="23" t="s">
        <v>2680</v>
      </c>
      <c r="C838" s="61"/>
      <c r="D838" s="219" t="s">
        <v>2681</v>
      </c>
      <c r="E838" s="215">
        <v>8.0</v>
      </c>
      <c r="F838" s="215">
        <v>12.0</v>
      </c>
      <c r="G838" s="215">
        <v>2.0</v>
      </c>
      <c r="H838" s="61"/>
      <c r="I838" s="61"/>
      <c r="J838" s="61"/>
      <c r="K838" s="61"/>
      <c r="L838" s="220" t="s">
        <v>108</v>
      </c>
      <c r="M838" s="220"/>
      <c r="N838" s="220"/>
      <c r="O838" s="220"/>
      <c r="P838" s="220"/>
      <c r="Q838" s="220"/>
      <c r="R838" s="95" t="s">
        <v>2682</v>
      </c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13"/>
      <c r="B839" s="222" t="s">
        <v>2683</v>
      </c>
      <c r="C839" s="13"/>
      <c r="D839" s="223" t="s">
        <v>2684</v>
      </c>
      <c r="E839" s="215">
        <v>2.0</v>
      </c>
      <c r="F839" s="215">
        <v>1.0</v>
      </c>
      <c r="G839" s="215">
        <v>1.0</v>
      </c>
      <c r="H839" s="13"/>
      <c r="I839" s="13"/>
      <c r="J839" s="13"/>
      <c r="K839" s="13"/>
      <c r="L839" s="225"/>
      <c r="M839" s="224"/>
      <c r="N839" s="224"/>
      <c r="O839" s="224"/>
      <c r="P839" s="224"/>
      <c r="Q839" s="224"/>
      <c r="R839" s="12" t="s">
        <v>2685</v>
      </c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22" t="s">
        <v>2686</v>
      </c>
      <c r="C840" s="13"/>
      <c r="D840" s="226" t="s">
        <v>2687</v>
      </c>
      <c r="E840" s="215">
        <v>3.0</v>
      </c>
      <c r="F840" s="215">
        <v>2.0</v>
      </c>
      <c r="G840" s="215">
        <v>1.0</v>
      </c>
      <c r="H840" s="13"/>
      <c r="I840" s="13"/>
      <c r="J840" s="13"/>
      <c r="K840" s="13"/>
      <c r="L840" s="227"/>
      <c r="M840" s="224"/>
      <c r="N840" s="224"/>
      <c r="O840" s="224"/>
      <c r="P840" s="224"/>
      <c r="Q840" s="224"/>
      <c r="R840" s="13" t="s">
        <v>2688</v>
      </c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22" t="s">
        <v>2689</v>
      </c>
      <c r="C841" s="13"/>
      <c r="D841" s="228" t="s">
        <v>2690</v>
      </c>
      <c r="E841" s="215">
        <v>6.0</v>
      </c>
      <c r="F841" s="215">
        <v>47.0</v>
      </c>
      <c r="G841" s="215">
        <v>1.0</v>
      </c>
      <c r="H841" s="13"/>
      <c r="I841" s="13"/>
      <c r="J841" s="13"/>
      <c r="K841" s="13"/>
      <c r="L841" s="224"/>
      <c r="M841" s="224"/>
      <c r="N841" s="224"/>
      <c r="O841" s="224"/>
      <c r="P841" s="224"/>
      <c r="Q841" s="224"/>
      <c r="R841" s="13" t="s">
        <v>2691</v>
      </c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22" t="s">
        <v>2692</v>
      </c>
      <c r="C842" s="13"/>
      <c r="D842" s="228" t="s">
        <v>2693</v>
      </c>
      <c r="E842" s="215">
        <v>1.0</v>
      </c>
      <c r="F842" s="215">
        <v>1.0</v>
      </c>
      <c r="G842" s="215">
        <v>1.0</v>
      </c>
      <c r="H842" s="13"/>
      <c r="I842" s="13"/>
      <c r="J842" s="13"/>
      <c r="K842" s="13"/>
      <c r="L842" s="224"/>
      <c r="M842" s="224"/>
      <c r="N842" s="224"/>
      <c r="O842" s="224"/>
      <c r="P842" s="224"/>
      <c r="Q842" s="224"/>
      <c r="R842" s="13" t="s">
        <v>2694</v>
      </c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22" t="s">
        <v>2695</v>
      </c>
      <c r="C843" s="13"/>
      <c r="D843" s="228" t="s">
        <v>2696</v>
      </c>
      <c r="E843" s="215">
        <v>4.0</v>
      </c>
      <c r="F843" s="215">
        <v>0.0</v>
      </c>
      <c r="G843" s="215">
        <v>0.0</v>
      </c>
      <c r="H843" s="13"/>
      <c r="I843" s="13"/>
      <c r="J843" s="13"/>
      <c r="K843" s="13"/>
      <c r="L843" s="229"/>
      <c r="M843" s="224"/>
      <c r="N843" s="224"/>
      <c r="O843" s="224"/>
      <c r="P843" s="224"/>
      <c r="Q843" s="224"/>
      <c r="R843" s="13" t="s">
        <v>2697</v>
      </c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22" t="s">
        <v>2698</v>
      </c>
      <c r="C844" s="13"/>
      <c r="D844" s="228" t="s">
        <v>2699</v>
      </c>
      <c r="E844" s="215">
        <v>100.0</v>
      </c>
      <c r="F844" s="215">
        <v>1824.0</v>
      </c>
      <c r="G844" s="215">
        <v>26.0</v>
      </c>
      <c r="H844" s="13"/>
      <c r="I844" s="13"/>
      <c r="J844" s="13"/>
      <c r="K844" s="13"/>
      <c r="L844" s="224"/>
      <c r="M844" s="224"/>
      <c r="N844" s="224"/>
      <c r="O844" s="224"/>
      <c r="P844" s="224"/>
      <c r="Q844" s="224"/>
      <c r="R844" s="13" t="s">
        <v>2700</v>
      </c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22" t="s">
        <v>2701</v>
      </c>
      <c r="C845" s="13"/>
      <c r="D845" s="228" t="s">
        <v>2702</v>
      </c>
      <c r="E845" s="215">
        <v>7.0</v>
      </c>
      <c r="F845" s="215">
        <v>36.0</v>
      </c>
      <c r="G845" s="215">
        <v>3.0</v>
      </c>
      <c r="H845" s="13"/>
      <c r="I845" s="13"/>
      <c r="J845" s="13"/>
      <c r="K845" s="13"/>
      <c r="L845" s="224"/>
      <c r="M845" s="224"/>
      <c r="N845" s="224"/>
      <c r="O845" s="224"/>
      <c r="P845" s="224"/>
      <c r="Q845" s="224"/>
      <c r="R845" s="13" t="s">
        <v>2703</v>
      </c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22" t="s">
        <v>2704</v>
      </c>
      <c r="C846" s="13"/>
      <c r="D846" s="228" t="s">
        <v>2705</v>
      </c>
      <c r="E846" s="215">
        <v>40.0</v>
      </c>
      <c r="F846" s="215">
        <v>399.0</v>
      </c>
      <c r="G846" s="215">
        <v>12.0</v>
      </c>
      <c r="H846" s="13"/>
      <c r="I846" s="13"/>
      <c r="J846" s="13"/>
      <c r="K846" s="13"/>
      <c r="L846" s="62" t="s">
        <v>2645</v>
      </c>
      <c r="M846" s="224"/>
      <c r="N846" s="224"/>
      <c r="O846" s="224"/>
      <c r="P846" s="224"/>
      <c r="Q846" s="224"/>
      <c r="R846" s="13" t="s">
        <v>2706</v>
      </c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22" t="s">
        <v>2707</v>
      </c>
      <c r="C847" s="13"/>
      <c r="D847" s="228" t="s">
        <v>2708</v>
      </c>
      <c r="E847" s="215">
        <v>57.0</v>
      </c>
      <c r="F847" s="215">
        <v>525.0</v>
      </c>
      <c r="G847" s="215">
        <v>13.0</v>
      </c>
      <c r="H847" s="13"/>
      <c r="I847" s="13"/>
      <c r="J847" s="13"/>
      <c r="K847" s="13"/>
      <c r="L847" s="230" t="s">
        <v>2709</v>
      </c>
      <c r="M847" s="224"/>
      <c r="N847" s="224"/>
      <c r="O847" s="224"/>
      <c r="P847" s="224"/>
      <c r="Q847" s="224"/>
      <c r="R847" s="13" t="s">
        <v>2710</v>
      </c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22" t="s">
        <v>2711</v>
      </c>
      <c r="C848" s="13"/>
      <c r="D848" s="231" t="s">
        <v>2712</v>
      </c>
      <c r="E848" s="215">
        <v>16.0</v>
      </c>
      <c r="F848" s="215">
        <v>18.0</v>
      </c>
      <c r="G848" s="215">
        <v>3.0</v>
      </c>
      <c r="H848" s="13"/>
      <c r="I848" s="13"/>
      <c r="J848" s="13"/>
      <c r="K848" s="13"/>
      <c r="L848" s="232" t="s">
        <v>2713</v>
      </c>
      <c r="M848" s="224"/>
      <c r="N848" s="224"/>
      <c r="O848" s="224"/>
      <c r="P848" s="224"/>
      <c r="Q848" s="224"/>
      <c r="R848" s="75" t="s">
        <v>2714</v>
      </c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222" t="s">
        <v>2715</v>
      </c>
      <c r="C849" s="13"/>
      <c r="D849" s="231" t="s">
        <v>2716</v>
      </c>
      <c r="E849" s="215">
        <v>1.0</v>
      </c>
      <c r="F849" s="215">
        <v>0.0</v>
      </c>
      <c r="G849" s="215">
        <v>0.0</v>
      </c>
      <c r="H849" s="13"/>
      <c r="I849" s="13"/>
      <c r="J849" s="13"/>
      <c r="K849" s="13"/>
      <c r="L849" s="233"/>
      <c r="M849" s="224"/>
      <c r="N849" s="224"/>
      <c r="O849" s="224"/>
      <c r="P849" s="224"/>
      <c r="Q849" s="224"/>
      <c r="R849" s="234" t="s">
        <v>2717</v>
      </c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61"/>
      <c r="B850" s="235" t="s">
        <v>2718</v>
      </c>
      <c r="C850" s="236" t="s">
        <v>2719</v>
      </c>
      <c r="D850" s="236" t="s">
        <v>2720</v>
      </c>
      <c r="E850" s="215">
        <v>5.0</v>
      </c>
      <c r="F850" s="215">
        <v>9.0</v>
      </c>
      <c r="G850" s="215">
        <v>2.0</v>
      </c>
      <c r="H850" s="61"/>
      <c r="I850" s="61"/>
      <c r="J850" s="61"/>
      <c r="K850" s="61"/>
      <c r="L850" s="220" t="s">
        <v>41</v>
      </c>
      <c r="M850" s="220" t="s">
        <v>2721</v>
      </c>
      <c r="N850" s="220"/>
      <c r="O850" s="220"/>
      <c r="P850" s="220"/>
      <c r="Q850" s="220"/>
      <c r="R850" s="61" t="s">
        <v>2722</v>
      </c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13"/>
      <c r="B851" s="222" t="s">
        <v>2723</v>
      </c>
      <c r="C851" s="13"/>
      <c r="D851" s="228" t="s">
        <v>2724</v>
      </c>
      <c r="E851" s="215">
        <v>16.0</v>
      </c>
      <c r="F851" s="215">
        <v>104.0</v>
      </c>
      <c r="G851" s="215">
        <v>4.0</v>
      </c>
      <c r="H851" s="13"/>
      <c r="I851" s="13"/>
      <c r="J851" s="13"/>
      <c r="K851" s="13"/>
      <c r="L851" s="62" t="s">
        <v>2645</v>
      </c>
      <c r="M851" s="224"/>
      <c r="N851" s="224"/>
      <c r="O851" s="224"/>
      <c r="P851" s="224"/>
      <c r="Q851" s="224"/>
      <c r="R851" s="13" t="s">
        <v>2725</v>
      </c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22" t="s">
        <v>2726</v>
      </c>
      <c r="C852" s="13"/>
      <c r="D852" s="228" t="s">
        <v>2727</v>
      </c>
      <c r="E852" s="215">
        <v>1.0</v>
      </c>
      <c r="F852" s="215">
        <v>1.0</v>
      </c>
      <c r="G852" s="215">
        <v>1.0</v>
      </c>
      <c r="H852" s="13"/>
      <c r="I852" s="13"/>
      <c r="J852" s="13"/>
      <c r="K852" s="13"/>
      <c r="L852" s="230" t="s">
        <v>2645</v>
      </c>
      <c r="M852" s="224"/>
      <c r="N852" s="224"/>
      <c r="O852" s="224"/>
      <c r="P852" s="224"/>
      <c r="Q852" s="224"/>
      <c r="R852" s="13" t="s">
        <v>2728</v>
      </c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22" t="s">
        <v>2729</v>
      </c>
      <c r="C853" s="13"/>
      <c r="D853" s="228" t="s">
        <v>2730</v>
      </c>
      <c r="E853" s="215">
        <v>1.0</v>
      </c>
      <c r="F853" s="215">
        <v>2.0</v>
      </c>
      <c r="G853" s="215">
        <v>1.0</v>
      </c>
      <c r="H853" s="13"/>
      <c r="I853" s="13"/>
      <c r="J853" s="13"/>
      <c r="K853" s="13"/>
      <c r="L853" s="224"/>
      <c r="M853" s="224"/>
      <c r="N853" s="224"/>
      <c r="O853" s="224"/>
      <c r="P853" s="224"/>
      <c r="Q853" s="224"/>
      <c r="R853" s="13" t="s">
        <v>2731</v>
      </c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22" t="s">
        <v>2732</v>
      </c>
      <c r="C854" s="13"/>
      <c r="D854" s="61"/>
      <c r="E854" s="237"/>
      <c r="F854" s="237"/>
      <c r="G854" s="237"/>
      <c r="H854" s="13"/>
      <c r="I854" s="13"/>
      <c r="J854" s="13"/>
      <c r="K854" s="13"/>
      <c r="L854" s="229"/>
      <c r="M854" s="224"/>
      <c r="N854" s="224"/>
      <c r="O854" s="224"/>
      <c r="P854" s="224"/>
      <c r="Q854" s="224"/>
      <c r="R854" s="13" t="s">
        <v>2733</v>
      </c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22" t="s">
        <v>2734</v>
      </c>
      <c r="C855" s="13"/>
      <c r="D855" s="231" t="s">
        <v>2735</v>
      </c>
      <c r="E855" s="215">
        <v>42.0</v>
      </c>
      <c r="F855" s="215">
        <v>298.0</v>
      </c>
      <c r="G855" s="215">
        <v>13.0</v>
      </c>
      <c r="H855" s="13"/>
      <c r="I855" s="13"/>
      <c r="J855" s="13"/>
      <c r="K855" s="13"/>
      <c r="L855" s="44" t="s">
        <v>381</v>
      </c>
      <c r="M855" s="224"/>
      <c r="N855" s="224"/>
      <c r="O855" s="224"/>
      <c r="P855" s="224"/>
      <c r="Q855" s="224"/>
      <c r="R855" s="75" t="s">
        <v>2736</v>
      </c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22" t="s">
        <v>2737</v>
      </c>
      <c r="C856" s="13"/>
      <c r="D856" s="61"/>
      <c r="E856" s="237"/>
      <c r="F856" s="237"/>
      <c r="G856" s="237"/>
      <c r="H856" s="13"/>
      <c r="I856" s="13"/>
      <c r="J856" s="13"/>
      <c r="K856" s="13"/>
      <c r="L856" s="229"/>
      <c r="M856" s="224"/>
      <c r="N856" s="224"/>
      <c r="O856" s="224"/>
      <c r="P856" s="224"/>
      <c r="Q856" s="224"/>
      <c r="R856" s="13" t="s">
        <v>2738</v>
      </c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22" t="s">
        <v>2739</v>
      </c>
      <c r="C857" s="13"/>
      <c r="D857" s="61"/>
      <c r="E857" s="237"/>
      <c r="F857" s="237"/>
      <c r="G857" s="237"/>
      <c r="H857" s="13"/>
      <c r="I857" s="13"/>
      <c r="J857" s="13"/>
      <c r="K857" s="13"/>
      <c r="L857" s="229"/>
      <c r="M857" s="224"/>
      <c r="N857" s="224"/>
      <c r="O857" s="224"/>
      <c r="P857" s="224"/>
      <c r="Q857" s="224"/>
      <c r="R857" s="13" t="s">
        <v>2740</v>
      </c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22" t="s">
        <v>2741</v>
      </c>
      <c r="C858" s="13"/>
      <c r="D858" s="61"/>
      <c r="E858" s="237"/>
      <c r="F858" s="237"/>
      <c r="G858" s="237"/>
      <c r="H858" s="13"/>
      <c r="I858" s="13"/>
      <c r="J858" s="13"/>
      <c r="K858" s="13"/>
      <c r="L858" s="224" t="s">
        <v>2742</v>
      </c>
      <c r="M858" s="224"/>
      <c r="N858" s="224"/>
      <c r="O858" s="224"/>
      <c r="P858" s="224"/>
      <c r="Q858" s="224"/>
      <c r="R858" s="13" t="s">
        <v>2743</v>
      </c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22" t="s">
        <v>2744</v>
      </c>
      <c r="C859" s="13"/>
      <c r="D859" s="228" t="s">
        <v>2745</v>
      </c>
      <c r="E859" s="215">
        <v>1.0</v>
      </c>
      <c r="F859" s="215">
        <v>1.0</v>
      </c>
      <c r="G859" s="215">
        <v>1.0</v>
      </c>
      <c r="H859" s="13"/>
      <c r="I859" s="13"/>
      <c r="J859" s="13"/>
      <c r="K859" s="13"/>
      <c r="L859" s="224" t="s">
        <v>2742</v>
      </c>
      <c r="M859" s="224"/>
      <c r="N859" s="224"/>
      <c r="O859" s="224"/>
      <c r="P859" s="224"/>
      <c r="Q859" s="224"/>
      <c r="R859" s="13" t="s">
        <v>2746</v>
      </c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22" t="s">
        <v>2747</v>
      </c>
      <c r="C860" s="13"/>
      <c r="D860" s="228" t="s">
        <v>2748</v>
      </c>
      <c r="E860" s="215">
        <v>6.0</v>
      </c>
      <c r="F860" s="215">
        <v>81.0</v>
      </c>
      <c r="G860" s="215">
        <v>4.0</v>
      </c>
      <c r="H860" s="13"/>
      <c r="I860" s="13"/>
      <c r="J860" s="13"/>
      <c r="K860" s="13"/>
      <c r="L860" s="229"/>
      <c r="M860" s="224" t="s">
        <v>2636</v>
      </c>
      <c r="N860" s="224"/>
      <c r="O860" s="224"/>
      <c r="P860" s="224"/>
      <c r="Q860" s="224"/>
      <c r="R860" s="13" t="s">
        <v>2749</v>
      </c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22" t="s">
        <v>2750</v>
      </c>
      <c r="C861" s="13"/>
      <c r="D861" s="228" t="s">
        <v>2751</v>
      </c>
      <c r="E861" s="215">
        <v>2.0</v>
      </c>
      <c r="F861" s="215">
        <v>5.0</v>
      </c>
      <c r="G861" s="215">
        <v>2.0</v>
      </c>
      <c r="H861" s="13"/>
      <c r="I861" s="13"/>
      <c r="J861" s="13"/>
      <c r="K861" s="13"/>
      <c r="L861" s="224"/>
      <c r="M861" s="224"/>
      <c r="N861" s="224"/>
      <c r="O861" s="224"/>
      <c r="P861" s="224"/>
      <c r="Q861" s="224"/>
      <c r="R861" s="13" t="s">
        <v>2752</v>
      </c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22" t="s">
        <v>2753</v>
      </c>
      <c r="C862" s="13"/>
      <c r="D862" s="228" t="s">
        <v>2754</v>
      </c>
      <c r="E862" s="215">
        <v>5.0</v>
      </c>
      <c r="F862" s="215">
        <v>26.0</v>
      </c>
      <c r="G862" s="215">
        <v>2.0</v>
      </c>
      <c r="H862" s="13"/>
      <c r="I862" s="13"/>
      <c r="J862" s="13"/>
      <c r="K862" s="13"/>
      <c r="L862" s="229"/>
      <c r="M862" s="224"/>
      <c r="N862" s="224"/>
      <c r="O862" s="224"/>
      <c r="P862" s="224"/>
      <c r="Q862" s="224"/>
      <c r="R862" s="13" t="s">
        <v>2755</v>
      </c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22" t="s">
        <v>2756</v>
      </c>
      <c r="C863" s="13"/>
      <c r="D863" s="228" t="s">
        <v>2757</v>
      </c>
      <c r="E863" s="215">
        <v>5.0</v>
      </c>
      <c r="F863" s="215">
        <v>41.0</v>
      </c>
      <c r="G863" s="215">
        <v>3.0</v>
      </c>
      <c r="H863" s="13"/>
      <c r="I863" s="13"/>
      <c r="J863" s="13"/>
      <c r="K863" s="13"/>
      <c r="L863" s="229"/>
      <c r="M863" s="224"/>
      <c r="N863" s="224"/>
      <c r="O863" s="224"/>
      <c r="P863" s="224"/>
      <c r="Q863" s="224"/>
      <c r="R863" s="13" t="s">
        <v>2758</v>
      </c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22" t="s">
        <v>2759</v>
      </c>
      <c r="C864" s="13"/>
      <c r="D864" s="228" t="s">
        <v>2760</v>
      </c>
      <c r="E864" s="215">
        <v>2.0</v>
      </c>
      <c r="F864" s="215">
        <v>2.0</v>
      </c>
      <c r="G864" s="215">
        <v>1.0</v>
      </c>
      <c r="H864" s="13"/>
      <c r="I864" s="13"/>
      <c r="J864" s="13"/>
      <c r="K864" s="13"/>
      <c r="L864" s="229" t="s">
        <v>21</v>
      </c>
      <c r="M864" s="224"/>
      <c r="N864" s="224"/>
      <c r="O864" s="224"/>
      <c r="P864" s="224"/>
      <c r="Q864" s="224"/>
      <c r="R864" s="13" t="s">
        <v>2761</v>
      </c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22" t="s">
        <v>2762</v>
      </c>
      <c r="C865" s="13"/>
      <c r="D865" s="228" t="s">
        <v>2763</v>
      </c>
      <c r="E865" s="215">
        <v>1.0</v>
      </c>
      <c r="F865" s="215">
        <v>1.0</v>
      </c>
      <c r="G865" s="215">
        <v>1.0</v>
      </c>
      <c r="H865" s="13"/>
      <c r="I865" s="13"/>
      <c r="J865" s="13"/>
      <c r="K865" s="13"/>
      <c r="L865" s="224"/>
      <c r="M865" s="224"/>
      <c r="N865" s="224"/>
      <c r="O865" s="224"/>
      <c r="P865" s="224"/>
      <c r="Q865" s="224"/>
      <c r="R865" s="13" t="s">
        <v>2764</v>
      </c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22" t="s">
        <v>2765</v>
      </c>
      <c r="C866" s="13"/>
      <c r="D866" s="13"/>
      <c r="E866" s="237"/>
      <c r="F866" s="237"/>
      <c r="G866" s="237"/>
      <c r="H866" s="13"/>
      <c r="I866" s="13"/>
      <c r="J866" s="13"/>
      <c r="K866" s="13"/>
      <c r="L866" s="224"/>
      <c r="M866" s="224"/>
      <c r="N866" s="224"/>
      <c r="O866" s="224"/>
      <c r="P866" s="224"/>
      <c r="Q866" s="224"/>
      <c r="R866" s="13" t="s">
        <v>2766</v>
      </c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22" t="s">
        <v>2767</v>
      </c>
      <c r="C867" s="13"/>
      <c r="D867" s="228" t="s">
        <v>2768</v>
      </c>
      <c r="E867" s="215">
        <v>4.0</v>
      </c>
      <c r="F867" s="215">
        <v>14.0</v>
      </c>
      <c r="G867" s="215">
        <v>2.0</v>
      </c>
      <c r="H867" s="13"/>
      <c r="I867" s="13"/>
      <c r="J867" s="13"/>
      <c r="K867" s="13"/>
      <c r="L867" s="229"/>
      <c r="M867" s="224"/>
      <c r="N867" s="224"/>
      <c r="O867" s="224"/>
      <c r="P867" s="224"/>
      <c r="Q867" s="224"/>
      <c r="R867" s="13" t="s">
        <v>2769</v>
      </c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22" t="s">
        <v>2770</v>
      </c>
      <c r="C868" s="13"/>
      <c r="D868" s="228" t="s">
        <v>2771</v>
      </c>
      <c r="E868" s="215">
        <v>1.0</v>
      </c>
      <c r="F868" s="215">
        <v>4.0</v>
      </c>
      <c r="G868" s="215">
        <v>1.0</v>
      </c>
      <c r="H868" s="13"/>
      <c r="I868" s="13"/>
      <c r="J868" s="13"/>
      <c r="K868" s="13"/>
      <c r="L868" s="224"/>
      <c r="M868" s="224"/>
      <c r="N868" s="224"/>
      <c r="O868" s="224"/>
      <c r="P868" s="224"/>
      <c r="Q868" s="224"/>
      <c r="R868" s="13" t="s">
        <v>2772</v>
      </c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22" t="s">
        <v>2773</v>
      </c>
      <c r="C869" s="13"/>
      <c r="D869" s="228" t="s">
        <v>2774</v>
      </c>
      <c r="E869" s="215">
        <v>6.0</v>
      </c>
      <c r="F869" s="215">
        <v>16.0</v>
      </c>
      <c r="G869" s="215">
        <v>3.0</v>
      </c>
      <c r="H869" s="13"/>
      <c r="I869" s="13"/>
      <c r="J869" s="13"/>
      <c r="K869" s="13"/>
      <c r="L869" s="224"/>
      <c r="M869" s="224"/>
      <c r="N869" s="224"/>
      <c r="O869" s="224"/>
      <c r="P869" s="224"/>
      <c r="Q869" s="224"/>
      <c r="R869" s="13" t="s">
        <v>2775</v>
      </c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22" t="s">
        <v>2776</v>
      </c>
      <c r="C870" s="13"/>
      <c r="D870" s="228" t="s">
        <v>2777</v>
      </c>
      <c r="E870" s="215">
        <v>21.0</v>
      </c>
      <c r="F870" s="215">
        <v>45.0</v>
      </c>
      <c r="G870" s="215">
        <v>5.0</v>
      </c>
      <c r="H870" s="13"/>
      <c r="I870" s="13"/>
      <c r="J870" s="13"/>
      <c r="K870" s="13"/>
      <c r="L870" s="224" t="s">
        <v>2778</v>
      </c>
      <c r="M870" s="224"/>
      <c r="N870" s="224"/>
      <c r="O870" s="224"/>
      <c r="P870" s="224"/>
      <c r="Q870" s="224"/>
      <c r="R870" s="13" t="s">
        <v>2779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22" t="s">
        <v>2780</v>
      </c>
      <c r="C871" s="13"/>
      <c r="D871" s="228" t="s">
        <v>2781</v>
      </c>
      <c r="E871" s="215">
        <v>13.0</v>
      </c>
      <c r="F871" s="215">
        <v>39.0</v>
      </c>
      <c r="G871" s="215">
        <v>3.0</v>
      </c>
      <c r="H871" s="13"/>
      <c r="I871" s="13"/>
      <c r="J871" s="13"/>
      <c r="K871" s="13"/>
      <c r="L871" s="224" t="s">
        <v>144</v>
      </c>
      <c r="M871" s="224" t="s">
        <v>2782</v>
      </c>
      <c r="N871" s="224"/>
      <c r="O871" s="224"/>
      <c r="P871" s="224"/>
      <c r="Q871" s="224"/>
      <c r="R871" s="13" t="s">
        <v>2783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22" t="s">
        <v>2784</v>
      </c>
      <c r="C872" s="13"/>
      <c r="D872" s="228" t="s">
        <v>2785</v>
      </c>
      <c r="E872" s="215">
        <v>7.0</v>
      </c>
      <c r="F872" s="215">
        <v>7.0</v>
      </c>
      <c r="G872" s="215">
        <v>2.0</v>
      </c>
      <c r="H872" s="13"/>
      <c r="I872" s="13"/>
      <c r="J872" s="13"/>
      <c r="K872" s="13"/>
      <c r="L872" s="224" t="s">
        <v>2786</v>
      </c>
      <c r="M872" s="224"/>
      <c r="N872" s="224"/>
      <c r="O872" s="224"/>
      <c r="P872" s="224"/>
      <c r="Q872" s="224"/>
      <c r="R872" s="13" t="s">
        <v>2787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22" t="s">
        <v>2788</v>
      </c>
      <c r="C873" s="13"/>
      <c r="D873" s="228" t="s">
        <v>2789</v>
      </c>
      <c r="E873" s="215">
        <v>6.0</v>
      </c>
      <c r="F873" s="215">
        <v>1.0</v>
      </c>
      <c r="G873" s="215">
        <v>1.0</v>
      </c>
      <c r="H873" s="13"/>
      <c r="I873" s="13"/>
      <c r="J873" s="13"/>
      <c r="K873" s="13"/>
      <c r="L873" s="224"/>
      <c r="M873" s="224"/>
      <c r="N873" s="224"/>
      <c r="O873" s="224"/>
      <c r="P873" s="224"/>
      <c r="Q873" s="224"/>
      <c r="R873" s="13" t="s">
        <v>2790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22" t="s">
        <v>2791</v>
      </c>
      <c r="C874" s="13"/>
      <c r="D874" s="228" t="s">
        <v>2792</v>
      </c>
      <c r="E874" s="215">
        <v>1.0</v>
      </c>
      <c r="F874" s="215">
        <v>0.0</v>
      </c>
      <c r="G874" s="215">
        <v>0.0</v>
      </c>
      <c r="H874" s="13"/>
      <c r="I874" s="13"/>
      <c r="J874" s="13"/>
      <c r="K874" s="13"/>
      <c r="L874" s="224"/>
      <c r="M874" s="224"/>
      <c r="N874" s="224"/>
      <c r="O874" s="224"/>
      <c r="P874" s="224"/>
      <c r="Q874" s="224"/>
      <c r="R874" s="13" t="s">
        <v>2793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22" t="s">
        <v>2794</v>
      </c>
      <c r="C875" s="13"/>
      <c r="D875" s="228" t="s">
        <v>2795</v>
      </c>
      <c r="E875" s="215">
        <v>20.0</v>
      </c>
      <c r="F875" s="215">
        <v>26.0</v>
      </c>
      <c r="G875" s="215">
        <v>3.0</v>
      </c>
      <c r="H875" s="13"/>
      <c r="I875" s="13"/>
      <c r="J875" s="13"/>
      <c r="K875" s="13"/>
      <c r="L875" s="44" t="s">
        <v>60</v>
      </c>
      <c r="M875" s="224"/>
      <c r="N875" s="224"/>
      <c r="O875" s="224"/>
      <c r="P875" s="224"/>
      <c r="Q875" s="224"/>
      <c r="R875" s="13" t="s">
        <v>2796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22" t="s">
        <v>2797</v>
      </c>
      <c r="C876" s="13"/>
      <c r="D876" s="228" t="s">
        <v>2798</v>
      </c>
      <c r="E876" s="215">
        <v>2.0</v>
      </c>
      <c r="F876" s="215">
        <v>0.0</v>
      </c>
      <c r="G876" s="215">
        <v>0.0</v>
      </c>
      <c r="H876" s="13"/>
      <c r="I876" s="13"/>
      <c r="J876" s="13"/>
      <c r="K876" s="13"/>
      <c r="L876" s="229"/>
      <c r="M876" s="224"/>
      <c r="N876" s="224"/>
      <c r="O876" s="224"/>
      <c r="P876" s="224"/>
      <c r="Q876" s="224"/>
      <c r="R876" s="13" t="s">
        <v>2799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22" t="s">
        <v>2800</v>
      </c>
      <c r="C877" s="13"/>
      <c r="D877" s="228" t="s">
        <v>2801</v>
      </c>
      <c r="E877" s="215">
        <v>2.0</v>
      </c>
      <c r="F877" s="215">
        <v>3.0</v>
      </c>
      <c r="G877" s="215">
        <v>1.0</v>
      </c>
      <c r="H877" s="13"/>
      <c r="I877" s="13"/>
      <c r="J877" s="13"/>
      <c r="K877" s="13"/>
      <c r="L877" s="229"/>
      <c r="M877" s="224"/>
      <c r="N877" s="224"/>
      <c r="O877" s="224"/>
      <c r="P877" s="224"/>
      <c r="Q877" s="224"/>
      <c r="R877" s="13" t="s">
        <v>2802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22" t="s">
        <v>2803</v>
      </c>
      <c r="C878" s="13"/>
      <c r="D878" s="228" t="s">
        <v>2804</v>
      </c>
      <c r="E878" s="215">
        <v>2.0</v>
      </c>
      <c r="F878" s="215">
        <v>3.0</v>
      </c>
      <c r="G878" s="215">
        <v>1.0</v>
      </c>
      <c r="H878" s="13"/>
      <c r="I878" s="13"/>
      <c r="J878" s="13"/>
      <c r="K878" s="13"/>
      <c r="L878" s="224"/>
      <c r="M878" s="224"/>
      <c r="N878" s="224"/>
      <c r="O878" s="224"/>
      <c r="P878" s="224"/>
      <c r="Q878" s="224"/>
      <c r="R878" s="13" t="s">
        <v>2805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22" t="s">
        <v>2806</v>
      </c>
      <c r="C879" s="13"/>
      <c r="D879" s="228" t="s">
        <v>2807</v>
      </c>
      <c r="E879" s="215">
        <v>1.0</v>
      </c>
      <c r="F879" s="215">
        <v>0.0</v>
      </c>
      <c r="G879" s="215">
        <v>0.0</v>
      </c>
      <c r="H879" s="13"/>
      <c r="I879" s="13"/>
      <c r="J879" s="13"/>
      <c r="K879" s="13"/>
      <c r="L879" s="229"/>
      <c r="M879" s="224"/>
      <c r="N879" s="224"/>
      <c r="O879" s="224"/>
      <c r="P879" s="224"/>
      <c r="Q879" s="224"/>
      <c r="R879" s="13" t="s">
        <v>2808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22" t="s">
        <v>2809</v>
      </c>
      <c r="C880" s="13"/>
      <c r="D880" s="13"/>
      <c r="E880" s="237"/>
      <c r="F880" s="237"/>
      <c r="G880" s="237"/>
      <c r="H880" s="13"/>
      <c r="I880" s="13"/>
      <c r="J880" s="13"/>
      <c r="K880" s="13"/>
      <c r="L880" s="224" t="s">
        <v>2645</v>
      </c>
      <c r="M880" s="224"/>
      <c r="N880" s="224"/>
      <c r="O880" s="224"/>
      <c r="P880" s="224"/>
      <c r="Q880" s="224"/>
      <c r="R880" s="13" t="s">
        <v>2810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22" t="s">
        <v>2811</v>
      </c>
      <c r="C881" s="13"/>
      <c r="D881" s="228" t="s">
        <v>2812</v>
      </c>
      <c r="E881" s="215">
        <v>1.0</v>
      </c>
      <c r="F881" s="215">
        <v>0.0</v>
      </c>
      <c r="G881" s="215">
        <v>0.0</v>
      </c>
      <c r="H881" s="13"/>
      <c r="I881" s="13"/>
      <c r="J881" s="13"/>
      <c r="K881" s="13"/>
      <c r="L881" s="229"/>
      <c r="M881" s="224"/>
      <c r="N881" s="224"/>
      <c r="O881" s="224"/>
      <c r="P881" s="224"/>
      <c r="Q881" s="224"/>
      <c r="R881" s="13" t="s">
        <v>2813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22" t="s">
        <v>2814</v>
      </c>
      <c r="C882" s="13"/>
      <c r="D882" s="228" t="s">
        <v>2815</v>
      </c>
      <c r="E882" s="215">
        <v>10.0</v>
      </c>
      <c r="F882" s="215">
        <v>17.0</v>
      </c>
      <c r="G882" s="215">
        <v>2.0</v>
      </c>
      <c r="H882" s="13"/>
      <c r="I882" s="13"/>
      <c r="J882" s="13"/>
      <c r="K882" s="13"/>
      <c r="L882" s="224"/>
      <c r="M882" s="224"/>
      <c r="N882" s="224"/>
      <c r="O882" s="224"/>
      <c r="P882" s="224"/>
      <c r="Q882" s="224"/>
      <c r="R882" s="13" t="s">
        <v>2816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22" t="s">
        <v>2817</v>
      </c>
      <c r="C883" s="13"/>
      <c r="D883" s="228" t="s">
        <v>862</v>
      </c>
      <c r="E883" s="215">
        <v>1.0</v>
      </c>
      <c r="F883" s="215">
        <v>1.0</v>
      </c>
      <c r="G883" s="215">
        <v>1.0</v>
      </c>
      <c r="H883" s="13"/>
      <c r="I883" s="13"/>
      <c r="J883" s="13"/>
      <c r="K883" s="13"/>
      <c r="L883" s="44" t="s">
        <v>108</v>
      </c>
      <c r="M883" s="224"/>
      <c r="N883" s="224"/>
      <c r="O883" s="224"/>
      <c r="P883" s="224"/>
      <c r="Q883" s="224"/>
      <c r="R883" s="13" t="s">
        <v>2818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22" t="s">
        <v>2819</v>
      </c>
      <c r="C884" s="13"/>
      <c r="D884" s="228" t="s">
        <v>2820</v>
      </c>
      <c r="E884" s="215">
        <v>1.0</v>
      </c>
      <c r="F884" s="215">
        <v>2.0</v>
      </c>
      <c r="G884" s="215">
        <v>1.0</v>
      </c>
      <c r="H884" s="13"/>
      <c r="I884" s="13"/>
      <c r="J884" s="13"/>
      <c r="K884" s="13"/>
      <c r="L884" s="238" t="s">
        <v>2821</v>
      </c>
      <c r="M884" s="224"/>
      <c r="N884" s="224"/>
      <c r="O884" s="224"/>
      <c r="P884" s="224"/>
      <c r="Q884" s="224"/>
      <c r="R884" s="13" t="s">
        <v>2822</v>
      </c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22" t="s">
        <v>2823</v>
      </c>
      <c r="C885" s="13"/>
      <c r="D885" s="231" t="s">
        <v>2824</v>
      </c>
      <c r="E885" s="215">
        <v>1.0</v>
      </c>
      <c r="F885" s="215">
        <v>0.0</v>
      </c>
      <c r="G885" s="215">
        <v>0.0</v>
      </c>
      <c r="H885" s="13"/>
      <c r="I885" s="13"/>
      <c r="J885" s="13"/>
      <c r="K885" s="13"/>
      <c r="L885" s="224"/>
      <c r="M885" s="224"/>
      <c r="N885" s="224"/>
      <c r="O885" s="224"/>
      <c r="P885" s="224"/>
      <c r="Q885" s="224"/>
      <c r="R885" s="75" t="s">
        <v>2825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22" t="s">
        <v>2826</v>
      </c>
      <c r="C886" s="13"/>
      <c r="D886" s="228" t="s">
        <v>2827</v>
      </c>
      <c r="E886" s="215">
        <v>31.0</v>
      </c>
      <c r="F886" s="215">
        <v>260.0</v>
      </c>
      <c r="G886" s="215">
        <v>12.0</v>
      </c>
      <c r="H886" s="13"/>
      <c r="I886" s="13"/>
      <c r="J886" s="13"/>
      <c r="K886" s="13"/>
      <c r="L886" s="224"/>
      <c r="M886" s="224" t="s">
        <v>2828</v>
      </c>
      <c r="N886" s="224"/>
      <c r="O886" s="224"/>
      <c r="P886" s="224"/>
      <c r="Q886" s="224"/>
      <c r="R886" s="13" t="s">
        <v>2829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22" t="s">
        <v>2830</v>
      </c>
      <c r="C887" s="13"/>
      <c r="D887" s="228" t="s">
        <v>2831</v>
      </c>
      <c r="E887" s="215">
        <v>5.0</v>
      </c>
      <c r="F887" s="215">
        <v>38.0</v>
      </c>
      <c r="G887" s="215">
        <v>4.0</v>
      </c>
      <c r="H887" s="13"/>
      <c r="I887" s="13"/>
      <c r="J887" s="13"/>
      <c r="K887" s="13"/>
      <c r="L887" s="229"/>
      <c r="M887" s="224" t="s">
        <v>2828</v>
      </c>
      <c r="N887" s="224"/>
      <c r="O887" s="224"/>
      <c r="P887" s="224"/>
      <c r="Q887" s="224"/>
      <c r="R887" s="13" t="s">
        <v>2832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22" t="s">
        <v>2833</v>
      </c>
      <c r="C888" s="13"/>
      <c r="D888" s="228" t="s">
        <v>2834</v>
      </c>
      <c r="E888" s="215">
        <v>2.0</v>
      </c>
      <c r="F888" s="215">
        <v>5.0</v>
      </c>
      <c r="G888" s="215">
        <v>1.0</v>
      </c>
      <c r="H888" s="13"/>
      <c r="I888" s="13"/>
      <c r="J888" s="13"/>
      <c r="K888" s="13"/>
      <c r="L888" s="229"/>
      <c r="M888" s="224"/>
      <c r="N888" s="224"/>
      <c r="O888" s="224"/>
      <c r="P888" s="224"/>
      <c r="Q888" s="224"/>
      <c r="R888" s="75" t="s">
        <v>2835</v>
      </c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22" t="s">
        <v>2836</v>
      </c>
      <c r="C889" s="13"/>
      <c r="D889" s="231" t="s">
        <v>2837</v>
      </c>
      <c r="E889" s="215">
        <v>6.0</v>
      </c>
      <c r="F889" s="215">
        <v>4.0</v>
      </c>
      <c r="G889" s="215">
        <v>1.0</v>
      </c>
      <c r="H889" s="13"/>
      <c r="I889" s="13"/>
      <c r="J889" s="13"/>
      <c r="K889" s="13"/>
      <c r="L889" s="224"/>
      <c r="M889" s="224"/>
      <c r="N889" s="224"/>
      <c r="O889" s="224"/>
      <c r="P889" s="224"/>
      <c r="Q889" s="224"/>
      <c r="R889" s="75" t="s">
        <v>2838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222" t="s">
        <v>2839</v>
      </c>
      <c r="C890" s="13"/>
      <c r="D890" s="228" t="s">
        <v>2840</v>
      </c>
      <c r="E890" s="215">
        <v>5.0</v>
      </c>
      <c r="F890" s="215">
        <v>3.0</v>
      </c>
      <c r="G890" s="215">
        <v>1.0</v>
      </c>
      <c r="H890" s="13"/>
      <c r="I890" s="13"/>
      <c r="J890" s="13"/>
      <c r="K890" s="13"/>
      <c r="L890" s="229"/>
      <c r="M890" s="224"/>
      <c r="N890" s="224"/>
      <c r="O890" s="224"/>
      <c r="P890" s="224"/>
      <c r="Q890" s="224"/>
      <c r="R890" s="13" t="s">
        <v>2841</v>
      </c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22" t="s">
        <v>2842</v>
      </c>
      <c r="C891" s="13"/>
      <c r="D891" s="231" t="s">
        <v>2843</v>
      </c>
      <c r="E891" s="215">
        <v>22.0</v>
      </c>
      <c r="F891" s="215">
        <v>90.0</v>
      </c>
      <c r="G891" s="215">
        <v>4.0</v>
      </c>
      <c r="H891" s="13"/>
      <c r="I891" s="13"/>
      <c r="J891" s="13"/>
      <c r="K891" s="13"/>
      <c r="L891" s="239"/>
      <c r="M891" s="224"/>
      <c r="N891" s="224"/>
      <c r="O891" s="224"/>
      <c r="P891" s="224"/>
      <c r="Q891" s="224"/>
      <c r="R891" s="75" t="s">
        <v>2844</v>
      </c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40" t="s">
        <v>2845</v>
      </c>
      <c r="C892" s="13"/>
      <c r="D892" s="223"/>
      <c r="E892" s="237"/>
      <c r="F892" s="237"/>
      <c r="G892" s="237"/>
      <c r="H892" s="13"/>
      <c r="I892" s="13"/>
      <c r="J892" s="13"/>
      <c r="K892" s="13"/>
      <c r="L892" s="44" t="s">
        <v>409</v>
      </c>
      <c r="M892" s="224"/>
      <c r="N892" s="224"/>
      <c r="O892" s="224"/>
      <c r="P892" s="224"/>
      <c r="Q892" s="224"/>
      <c r="R892" s="75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22" t="s">
        <v>2846</v>
      </c>
      <c r="C893" s="13"/>
      <c r="D893" s="231" t="s">
        <v>2847</v>
      </c>
      <c r="E893" s="215">
        <v>7.0</v>
      </c>
      <c r="F893" s="215">
        <v>6.0</v>
      </c>
      <c r="G893" s="215">
        <v>2.0</v>
      </c>
      <c r="H893" s="13">
        <v>2.0</v>
      </c>
      <c r="I893" s="13">
        <v>1.0</v>
      </c>
      <c r="J893" s="13">
        <v>1.0</v>
      </c>
      <c r="K893" s="13"/>
      <c r="L893" s="241" t="s">
        <v>75</v>
      </c>
      <c r="M893" s="224"/>
      <c r="N893" s="224"/>
      <c r="O893" s="224"/>
      <c r="P893" s="224"/>
      <c r="Q893" s="224"/>
      <c r="R893" s="75" t="s">
        <v>2848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22" t="s">
        <v>2849</v>
      </c>
      <c r="C894" s="13"/>
      <c r="D894" s="231" t="s">
        <v>2850</v>
      </c>
      <c r="E894" s="215">
        <v>2.0</v>
      </c>
      <c r="F894" s="215">
        <v>0.0</v>
      </c>
      <c r="G894" s="215">
        <v>0.0</v>
      </c>
      <c r="H894" s="13"/>
      <c r="I894" s="13"/>
      <c r="J894" s="13"/>
      <c r="K894" s="13"/>
      <c r="L894" s="229" t="s">
        <v>2851</v>
      </c>
      <c r="M894" s="224"/>
      <c r="N894" s="224"/>
      <c r="O894" s="224"/>
      <c r="P894" s="224"/>
      <c r="Q894" s="224"/>
      <c r="R894" s="75" t="s">
        <v>2852</v>
      </c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22" t="s">
        <v>2853</v>
      </c>
      <c r="C895" s="13"/>
      <c r="D895" s="231" t="s">
        <v>2854</v>
      </c>
      <c r="E895" s="215">
        <v>12.0</v>
      </c>
      <c r="F895" s="215">
        <v>36.0</v>
      </c>
      <c r="G895" s="215">
        <v>3.0</v>
      </c>
      <c r="H895" s="13"/>
      <c r="I895" s="13"/>
      <c r="J895" s="13"/>
      <c r="K895" s="13"/>
      <c r="L895" s="242" t="s">
        <v>2855</v>
      </c>
      <c r="M895" s="224"/>
      <c r="N895" s="224"/>
      <c r="O895" s="224"/>
      <c r="P895" s="224"/>
      <c r="Q895" s="224"/>
      <c r="R895" s="75" t="s">
        <v>2856</v>
      </c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22"/>
      <c r="C896" s="13"/>
      <c r="D896" s="13"/>
      <c r="E896" s="237"/>
      <c r="F896" s="237"/>
      <c r="G896" s="237"/>
      <c r="H896" s="13"/>
      <c r="I896" s="13"/>
      <c r="J896" s="13"/>
      <c r="K896" s="13"/>
      <c r="L896" s="229"/>
      <c r="M896" s="224"/>
      <c r="N896" s="224"/>
      <c r="O896" s="224"/>
      <c r="P896" s="224"/>
      <c r="Q896" s="224"/>
      <c r="R896" s="75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22" t="s">
        <v>2857</v>
      </c>
      <c r="C897" s="13"/>
      <c r="D897" s="228" t="s">
        <v>2858</v>
      </c>
      <c r="E897" s="215">
        <v>11.0</v>
      </c>
      <c r="F897" s="215">
        <v>22.0</v>
      </c>
      <c r="G897" s="215">
        <v>1.0</v>
      </c>
      <c r="H897" s="13"/>
      <c r="I897" s="13"/>
      <c r="J897" s="13"/>
      <c r="K897" s="13"/>
      <c r="L897" s="224" t="s">
        <v>144</v>
      </c>
      <c r="M897" s="224" t="s">
        <v>2859</v>
      </c>
      <c r="N897" s="224"/>
      <c r="O897" s="224"/>
      <c r="P897" s="224"/>
      <c r="Q897" s="224"/>
      <c r="R897" s="13" t="s">
        <v>2860</v>
      </c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222" t="s">
        <v>2861</v>
      </c>
      <c r="C898" s="13"/>
      <c r="D898" s="231" t="s">
        <v>2862</v>
      </c>
      <c r="E898" s="215">
        <v>13.0</v>
      </c>
      <c r="F898" s="215">
        <v>59.0</v>
      </c>
      <c r="G898" s="215">
        <v>4.0</v>
      </c>
      <c r="H898" s="13"/>
      <c r="I898" s="13"/>
      <c r="J898" s="13"/>
      <c r="K898" s="13"/>
      <c r="L898" s="216"/>
      <c r="M898" s="224"/>
      <c r="N898" s="224"/>
      <c r="O898" s="224"/>
      <c r="P898" s="224"/>
      <c r="Q898" s="224"/>
      <c r="R898" s="13" t="s">
        <v>2863</v>
      </c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222" t="s">
        <v>2864</v>
      </c>
      <c r="C899" s="13"/>
      <c r="D899" s="231" t="s">
        <v>2865</v>
      </c>
      <c r="E899" s="215">
        <v>1.0</v>
      </c>
      <c r="F899" s="215">
        <v>5.0</v>
      </c>
      <c r="G899" s="215">
        <v>1.0</v>
      </c>
      <c r="H899" s="13"/>
      <c r="I899" s="13"/>
      <c r="J899" s="13"/>
      <c r="K899" s="13"/>
      <c r="L899" s="229"/>
      <c r="M899" s="224"/>
      <c r="N899" s="224"/>
      <c r="O899" s="224"/>
      <c r="P899" s="224"/>
      <c r="Q899" s="224"/>
      <c r="R899" s="75" t="s">
        <v>2866</v>
      </c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61"/>
      <c r="B900" s="23" t="s">
        <v>2867</v>
      </c>
      <c r="C900" s="243" t="s">
        <v>2868</v>
      </c>
      <c r="D900" s="244" t="s">
        <v>2869</v>
      </c>
      <c r="E900" s="245">
        <v>14.0</v>
      </c>
      <c r="F900" s="245">
        <v>20.0</v>
      </c>
      <c r="G900" s="245">
        <v>2.0</v>
      </c>
      <c r="H900" s="246">
        <v>4.0</v>
      </c>
      <c r="I900" s="246">
        <v>2.0</v>
      </c>
      <c r="J900" s="246">
        <v>1.0</v>
      </c>
      <c r="K900" s="246"/>
      <c r="L900" s="247" t="s">
        <v>186</v>
      </c>
      <c r="M900" s="247"/>
      <c r="N900" s="220"/>
      <c r="O900" s="220"/>
      <c r="P900" s="220"/>
      <c r="Q900" s="220"/>
      <c r="R900" s="95" t="s">
        <v>2870</v>
      </c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13"/>
      <c r="B901" s="222" t="s">
        <v>2871</v>
      </c>
      <c r="C901" s="13"/>
      <c r="D901" s="13"/>
      <c r="E901" s="237"/>
      <c r="F901" s="237"/>
      <c r="G901" s="237"/>
      <c r="H901" s="13"/>
      <c r="I901" s="13"/>
      <c r="J901" s="13"/>
      <c r="K901" s="13"/>
      <c r="L901" s="62" t="s">
        <v>2645</v>
      </c>
      <c r="M901" s="224"/>
      <c r="N901" s="224"/>
      <c r="O901" s="224"/>
      <c r="P901" s="224"/>
      <c r="Q901" s="224"/>
      <c r="R901" s="75" t="s">
        <v>2872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22" t="s">
        <v>2873</v>
      </c>
      <c r="C902" s="13"/>
      <c r="D902" s="13"/>
      <c r="E902" s="237"/>
      <c r="F902" s="237"/>
      <c r="G902" s="237"/>
      <c r="H902" s="13"/>
      <c r="I902" s="13"/>
      <c r="J902" s="13"/>
      <c r="K902" s="13"/>
      <c r="L902" s="62" t="s">
        <v>2645</v>
      </c>
      <c r="M902" s="224"/>
      <c r="N902" s="224"/>
      <c r="O902" s="224"/>
      <c r="P902" s="224"/>
      <c r="Q902" s="224"/>
      <c r="R902" s="75" t="s">
        <v>2874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22" t="s">
        <v>2875</v>
      </c>
      <c r="C903" s="13"/>
      <c r="D903" s="13"/>
      <c r="E903" s="237"/>
      <c r="F903" s="237"/>
      <c r="G903" s="237"/>
      <c r="H903" s="13"/>
      <c r="I903" s="13"/>
      <c r="J903" s="13"/>
      <c r="K903" s="13"/>
      <c r="L903" s="224"/>
      <c r="M903" s="224"/>
      <c r="N903" s="224"/>
      <c r="O903" s="224"/>
      <c r="P903" s="224"/>
      <c r="Q903" s="224"/>
      <c r="R903" s="75" t="s">
        <v>2876</v>
      </c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22" t="s">
        <v>2877</v>
      </c>
      <c r="C904" s="13"/>
      <c r="D904" s="13"/>
      <c r="E904" s="237"/>
      <c r="F904" s="237"/>
      <c r="G904" s="237"/>
      <c r="H904" s="13"/>
      <c r="I904" s="13"/>
      <c r="J904" s="13"/>
      <c r="K904" s="13"/>
      <c r="L904" s="224" t="s">
        <v>2878</v>
      </c>
      <c r="M904" s="224"/>
      <c r="N904" s="224"/>
      <c r="O904" s="224"/>
      <c r="P904" s="224"/>
      <c r="Q904" s="224"/>
      <c r="R904" s="75" t="s">
        <v>2879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22" t="s">
        <v>2880</v>
      </c>
      <c r="C905" s="13"/>
      <c r="D905" s="13"/>
      <c r="E905" s="237"/>
      <c r="F905" s="237"/>
      <c r="G905" s="237"/>
      <c r="H905" s="13"/>
      <c r="I905" s="13"/>
      <c r="J905" s="13"/>
      <c r="K905" s="13"/>
      <c r="L905" s="224"/>
      <c r="M905" s="224"/>
      <c r="N905" s="224"/>
      <c r="O905" s="224"/>
      <c r="P905" s="224"/>
      <c r="Q905" s="224"/>
      <c r="R905" s="75" t="s">
        <v>2881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22" t="s">
        <v>2882</v>
      </c>
      <c r="C906" s="13"/>
      <c r="D906" s="13"/>
      <c r="E906" s="237"/>
      <c r="F906" s="237"/>
      <c r="G906" s="237"/>
      <c r="H906" s="13"/>
      <c r="I906" s="13"/>
      <c r="J906" s="13"/>
      <c r="K906" s="13"/>
      <c r="L906" s="224"/>
      <c r="M906" s="224" t="s">
        <v>2883</v>
      </c>
      <c r="N906" s="224"/>
      <c r="O906" s="224"/>
      <c r="P906" s="224"/>
      <c r="Q906" s="224"/>
      <c r="R906" s="13" t="s">
        <v>2884</v>
      </c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22" t="s">
        <v>2885</v>
      </c>
      <c r="C907" s="13"/>
      <c r="D907" s="13"/>
      <c r="E907" s="237"/>
      <c r="F907" s="237"/>
      <c r="G907" s="237"/>
      <c r="H907" s="13"/>
      <c r="I907" s="13"/>
      <c r="J907" s="13"/>
      <c r="K907" s="13"/>
      <c r="L907" s="224"/>
      <c r="M907" s="224"/>
      <c r="N907" s="224"/>
      <c r="O907" s="224"/>
      <c r="P907" s="224"/>
      <c r="Q907" s="224"/>
      <c r="R907" s="13" t="s">
        <v>2886</v>
      </c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22" t="s">
        <v>2887</v>
      </c>
      <c r="C908" s="13"/>
      <c r="D908" s="13"/>
      <c r="E908" s="237"/>
      <c r="F908" s="237"/>
      <c r="G908" s="237"/>
      <c r="H908" s="13"/>
      <c r="I908" s="13"/>
      <c r="J908" s="13"/>
      <c r="K908" s="13"/>
      <c r="L908" s="224" t="s">
        <v>2888</v>
      </c>
      <c r="M908" s="224"/>
      <c r="N908" s="224"/>
      <c r="O908" s="224"/>
      <c r="P908" s="224"/>
      <c r="Q908" s="224"/>
      <c r="R908" s="13" t="s">
        <v>2889</v>
      </c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222" t="s">
        <v>2890</v>
      </c>
      <c r="C909" s="13"/>
      <c r="D909" s="13"/>
      <c r="E909" s="237"/>
      <c r="F909" s="237"/>
      <c r="G909" s="237"/>
      <c r="H909" s="13"/>
      <c r="I909" s="13"/>
      <c r="J909" s="13"/>
      <c r="K909" s="13"/>
      <c r="L909" s="229" t="s">
        <v>2891</v>
      </c>
      <c r="M909" s="224"/>
      <c r="N909" s="224"/>
      <c r="O909" s="224"/>
      <c r="P909" s="224"/>
      <c r="Q909" s="224"/>
      <c r="R909" s="13" t="s">
        <v>2892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 t="s">
        <v>2893</v>
      </c>
      <c r="C910" s="13"/>
      <c r="D910" s="248" t="s">
        <v>2894</v>
      </c>
      <c r="E910" s="215">
        <v>1.0</v>
      </c>
      <c r="F910" s="215">
        <v>0.0</v>
      </c>
      <c r="G910" s="215">
        <v>0.0</v>
      </c>
      <c r="H910" s="13"/>
      <c r="I910" s="13"/>
      <c r="J910" s="13"/>
      <c r="K910" s="13"/>
      <c r="L910" s="224"/>
      <c r="M910" s="224"/>
      <c r="N910" s="224"/>
      <c r="O910" s="224"/>
      <c r="P910" s="224"/>
      <c r="Q910" s="224"/>
      <c r="R910" s="12" t="s">
        <v>2895</v>
      </c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249" t="s">
        <v>2896</v>
      </c>
      <c r="C911" s="13"/>
      <c r="D911" s="13"/>
      <c r="E911" s="237"/>
      <c r="F911" s="237"/>
      <c r="G911" s="237"/>
      <c r="H911" s="13"/>
      <c r="I911" s="13"/>
      <c r="J911" s="13"/>
      <c r="K911" s="13"/>
      <c r="L911" s="229" t="s">
        <v>356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 t="s">
        <v>2897</v>
      </c>
      <c r="C912" s="13"/>
      <c r="D912" s="13"/>
      <c r="E912" s="237"/>
      <c r="F912" s="237"/>
      <c r="G912" s="237"/>
      <c r="H912" s="13"/>
      <c r="I912" s="13"/>
      <c r="J912" s="13"/>
      <c r="K912" s="13"/>
      <c r="L912" s="250" t="s">
        <v>94</v>
      </c>
      <c r="M912" s="13"/>
      <c r="N912" s="13"/>
      <c r="O912" s="13"/>
      <c r="P912" s="13"/>
      <c r="Q912" s="13"/>
      <c r="R912" s="75" t="s">
        <v>2898</v>
      </c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 t="s">
        <v>2899</v>
      </c>
      <c r="C913" s="13"/>
      <c r="D913" s="13"/>
      <c r="E913" s="237"/>
      <c r="F913" s="237"/>
      <c r="G913" s="237"/>
      <c r="H913" s="13"/>
      <c r="I913" s="13"/>
      <c r="J913" s="13"/>
      <c r="K913" s="13"/>
      <c r="L913" s="229" t="s">
        <v>71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75" t="s">
        <v>2900</v>
      </c>
      <c r="C914" s="13"/>
      <c r="D914" s="13"/>
      <c r="E914" s="237"/>
      <c r="F914" s="237"/>
      <c r="G914" s="237"/>
      <c r="H914" s="13"/>
      <c r="I914" s="13"/>
      <c r="J914" s="13"/>
      <c r="K914" s="13"/>
      <c r="L914" s="229" t="s">
        <v>71</v>
      </c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 t="s">
        <v>2901</v>
      </c>
      <c r="C915" s="13"/>
      <c r="D915" s="13"/>
      <c r="E915" s="237"/>
      <c r="F915" s="237"/>
      <c r="G915" s="237"/>
      <c r="H915" s="13"/>
      <c r="I915" s="13"/>
      <c r="J915" s="13"/>
      <c r="K915" s="13"/>
      <c r="L915" s="229" t="s">
        <v>71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5" t="s">
        <v>2902</v>
      </c>
      <c r="C916" s="13"/>
      <c r="D916" s="13"/>
      <c r="E916" s="237"/>
      <c r="F916" s="237"/>
      <c r="G916" s="237"/>
      <c r="H916" s="13"/>
      <c r="I916" s="13"/>
      <c r="J916" s="13"/>
      <c r="K916" s="13"/>
      <c r="L916" s="229" t="s">
        <v>71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75" t="s">
        <v>2903</v>
      </c>
      <c r="C917" s="13"/>
      <c r="D917" s="13"/>
      <c r="E917" s="237"/>
      <c r="F917" s="237"/>
      <c r="G917" s="237"/>
      <c r="H917" s="13">
        <v>1.0</v>
      </c>
      <c r="I917" s="13">
        <v>0.0</v>
      </c>
      <c r="J917" s="13">
        <v>0.0</v>
      </c>
      <c r="K917" s="13"/>
      <c r="L917" s="229" t="s">
        <v>71</v>
      </c>
      <c r="M917" s="13"/>
      <c r="N917" s="13"/>
      <c r="O917" s="13"/>
      <c r="P917" s="13"/>
      <c r="Q917" s="13"/>
      <c r="R917" s="251" t="s">
        <v>2904</v>
      </c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 t="s">
        <v>2905</v>
      </c>
      <c r="C918" s="13"/>
      <c r="D918" s="248" t="s">
        <v>2906</v>
      </c>
      <c r="E918" s="215">
        <v>4.0</v>
      </c>
      <c r="F918" s="215">
        <v>5.0</v>
      </c>
      <c r="G918" s="215">
        <v>1.0</v>
      </c>
      <c r="H918" s="13"/>
      <c r="I918" s="13"/>
      <c r="J918" s="13"/>
      <c r="K918" s="13"/>
      <c r="L918" s="252" t="s">
        <v>71</v>
      </c>
      <c r="M918" s="13"/>
      <c r="N918" s="13"/>
      <c r="O918" s="13"/>
      <c r="P918" s="13"/>
      <c r="Q918" s="13"/>
      <c r="R918" s="253" t="s">
        <v>2907</v>
      </c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5" t="s">
        <v>2908</v>
      </c>
      <c r="C919" s="13"/>
      <c r="D919" s="248"/>
      <c r="E919" s="237"/>
      <c r="F919" s="237"/>
      <c r="G919" s="237"/>
      <c r="H919" s="13"/>
      <c r="I919" s="13"/>
      <c r="J919" s="13"/>
      <c r="K919" s="13"/>
      <c r="L919" s="229" t="s">
        <v>36</v>
      </c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75" t="s">
        <v>2909</v>
      </c>
      <c r="C920" s="13"/>
      <c r="D920" s="13"/>
      <c r="E920" s="237"/>
      <c r="F920" s="237"/>
      <c r="G920" s="237"/>
      <c r="H920" s="13"/>
      <c r="I920" s="13"/>
      <c r="J920" s="13"/>
      <c r="K920" s="13"/>
      <c r="L920" s="229" t="s">
        <v>36</v>
      </c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75" t="s">
        <v>2910</v>
      </c>
      <c r="C921" s="13"/>
      <c r="D921" s="13"/>
      <c r="E921" s="237"/>
      <c r="F921" s="237"/>
      <c r="G921" s="237"/>
      <c r="H921" s="13"/>
      <c r="I921" s="13"/>
      <c r="J921" s="13"/>
      <c r="K921" s="13"/>
      <c r="L921" s="229" t="s">
        <v>36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254" t="s">
        <v>2911</v>
      </c>
      <c r="C922" s="13"/>
      <c r="D922" s="172" t="s">
        <v>2912</v>
      </c>
      <c r="E922" s="215">
        <v>3.0</v>
      </c>
      <c r="F922" s="215">
        <v>3.0</v>
      </c>
      <c r="G922" s="215">
        <v>1.0</v>
      </c>
      <c r="H922" s="13"/>
      <c r="I922" s="13"/>
      <c r="J922" s="13"/>
      <c r="K922" s="13"/>
      <c r="L922" s="252"/>
      <c r="M922" s="13"/>
      <c r="N922" s="13"/>
      <c r="O922" s="13"/>
      <c r="P922" s="13"/>
      <c r="Q922" s="13"/>
      <c r="R922" s="255" t="s">
        <v>2913</v>
      </c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 t="s">
        <v>2914</v>
      </c>
      <c r="C923" s="13"/>
      <c r="D923" s="13" t="s">
        <v>2912</v>
      </c>
      <c r="E923" s="215">
        <v>3.0</v>
      </c>
      <c r="F923" s="215">
        <v>3.0</v>
      </c>
      <c r="G923" s="215">
        <v>1.0</v>
      </c>
      <c r="H923" s="13"/>
      <c r="I923" s="13"/>
      <c r="J923" s="13"/>
      <c r="K923" s="13"/>
      <c r="L923" s="252"/>
      <c r="M923" s="13"/>
      <c r="N923" s="13"/>
      <c r="O923" s="13"/>
      <c r="P923" s="13"/>
      <c r="Q923" s="13"/>
      <c r="R923" s="256" t="s">
        <v>2915</v>
      </c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75" t="s">
        <v>2916</v>
      </c>
      <c r="C924" s="13"/>
      <c r="D924" s="13"/>
      <c r="E924" s="237"/>
      <c r="F924" s="237"/>
      <c r="G924" s="237"/>
      <c r="H924" s="13"/>
      <c r="I924" s="13"/>
      <c r="J924" s="13"/>
      <c r="K924" s="13"/>
      <c r="L924" s="44" t="s">
        <v>75</v>
      </c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75" t="s">
        <v>2917</v>
      </c>
      <c r="C925" s="13"/>
      <c r="D925" s="13"/>
      <c r="E925" s="237"/>
      <c r="F925" s="237"/>
      <c r="G925" s="237"/>
      <c r="H925" s="13"/>
      <c r="I925" s="13"/>
      <c r="J925" s="13"/>
      <c r="K925" s="13"/>
      <c r="L925" s="44" t="s">
        <v>75</v>
      </c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75" t="s">
        <v>2918</v>
      </c>
      <c r="C926" s="13"/>
      <c r="D926" s="13"/>
      <c r="E926" s="237"/>
      <c r="F926" s="237"/>
      <c r="G926" s="237"/>
      <c r="H926" s="13"/>
      <c r="I926" s="13"/>
      <c r="J926" s="13"/>
      <c r="K926" s="13"/>
      <c r="L926" s="44" t="s">
        <v>210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5" t="s">
        <v>2917</v>
      </c>
      <c r="C927" s="13"/>
      <c r="D927" s="13"/>
      <c r="E927" s="237"/>
      <c r="F927" s="237"/>
      <c r="G927" s="237"/>
      <c r="H927" s="13"/>
      <c r="I927" s="13"/>
      <c r="J927" s="13"/>
      <c r="K927" s="13"/>
      <c r="L927" s="44" t="s">
        <v>210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5" t="s">
        <v>2919</v>
      </c>
      <c r="C928" s="13"/>
      <c r="D928" s="13"/>
      <c r="E928" s="237"/>
      <c r="F928" s="237"/>
      <c r="G928" s="237"/>
      <c r="H928" s="13"/>
      <c r="I928" s="13"/>
      <c r="J928" s="13"/>
      <c r="K928" s="13"/>
      <c r="L928" s="44" t="s">
        <v>171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75" t="s">
        <v>2920</v>
      </c>
      <c r="C929" s="13"/>
      <c r="D929" s="13"/>
      <c r="E929" s="237"/>
      <c r="F929" s="237"/>
      <c r="G929" s="237"/>
      <c r="H929" s="13"/>
      <c r="I929" s="13"/>
      <c r="J929" s="13"/>
      <c r="K929" s="13"/>
      <c r="L929" s="44" t="s">
        <v>381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61"/>
      <c r="B930" s="235" t="s">
        <v>2921</v>
      </c>
      <c r="C930" s="257" t="s">
        <v>2922</v>
      </c>
      <c r="D930" s="257" t="s">
        <v>2696</v>
      </c>
      <c r="E930" s="215">
        <v>4.0</v>
      </c>
      <c r="F930" s="215">
        <v>0.0</v>
      </c>
      <c r="G930" s="215">
        <v>0.0</v>
      </c>
      <c r="H930" s="61">
        <v>1.0</v>
      </c>
      <c r="I930" s="61">
        <v>0.0</v>
      </c>
      <c r="J930" s="61">
        <v>0.0</v>
      </c>
      <c r="K930" s="61"/>
      <c r="L930" s="30" t="s">
        <v>2923</v>
      </c>
      <c r="M930" s="61"/>
      <c r="N930" s="61"/>
      <c r="O930" s="61"/>
      <c r="P930" s="61"/>
      <c r="Q930" s="61"/>
      <c r="R930" s="258" t="s">
        <v>2924</v>
      </c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235" t="s">
        <v>2925</v>
      </c>
      <c r="C931" s="259" t="s">
        <v>2926</v>
      </c>
      <c r="D931" s="257" t="s">
        <v>2927</v>
      </c>
      <c r="E931" s="215">
        <v>26.0</v>
      </c>
      <c r="F931" s="215">
        <v>234.0</v>
      </c>
      <c r="G931" s="215">
        <v>10.0</v>
      </c>
      <c r="H931" s="61"/>
      <c r="I931" s="61"/>
      <c r="J931" s="61"/>
      <c r="K931" s="61"/>
      <c r="L931" s="30" t="s">
        <v>2923</v>
      </c>
      <c r="M931" s="61"/>
      <c r="N931" s="61"/>
      <c r="O931" s="61"/>
      <c r="P931" s="61"/>
      <c r="Q931" s="61"/>
      <c r="R931" s="260" t="s">
        <v>2928</v>
      </c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235" t="s">
        <v>2929</v>
      </c>
      <c r="C932" s="259" t="s">
        <v>2930</v>
      </c>
      <c r="D932" s="257" t="s">
        <v>2931</v>
      </c>
      <c r="E932" s="215">
        <v>16.0</v>
      </c>
      <c r="F932" s="215">
        <v>12.0</v>
      </c>
      <c r="G932" s="215">
        <v>2.0</v>
      </c>
      <c r="H932" s="61"/>
      <c r="I932" s="61"/>
      <c r="J932" s="61"/>
      <c r="K932" s="61"/>
      <c r="L932" s="30" t="s">
        <v>2923</v>
      </c>
      <c r="M932" s="61"/>
      <c r="N932" s="61"/>
      <c r="O932" s="61"/>
      <c r="P932" s="61"/>
      <c r="Q932" s="61"/>
      <c r="R932" s="61" t="s">
        <v>2932</v>
      </c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13"/>
      <c r="B933" s="75" t="s">
        <v>2933</v>
      </c>
      <c r="C933" s="13"/>
      <c r="D933" s="13"/>
      <c r="E933" s="237"/>
      <c r="F933" s="237"/>
      <c r="G933" s="237"/>
      <c r="H933" s="13"/>
      <c r="I933" s="13"/>
      <c r="J933" s="13"/>
      <c r="K933" s="13"/>
      <c r="L933" s="44" t="s">
        <v>272</v>
      </c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75" t="s">
        <v>2934</v>
      </c>
      <c r="C934" s="13"/>
      <c r="D934" s="13"/>
      <c r="E934" s="237"/>
      <c r="F934" s="237"/>
      <c r="G934" s="237"/>
      <c r="H934" s="13"/>
      <c r="I934" s="13"/>
      <c r="J934" s="13"/>
      <c r="K934" s="13"/>
      <c r="L934" s="225" t="s">
        <v>218</v>
      </c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0" customHeight="1">
      <c r="A935" s="13"/>
      <c r="B935" s="13" t="s">
        <v>2935</v>
      </c>
      <c r="C935" s="13"/>
      <c r="D935" s="13"/>
      <c r="E935" s="237"/>
      <c r="F935" s="237"/>
      <c r="G935" s="237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 t="s">
        <v>2936</v>
      </c>
    </row>
    <row r="936" ht="15.75" customHeight="1">
      <c r="A936" s="13"/>
      <c r="B936" s="13" t="s">
        <v>2937</v>
      </c>
      <c r="C936" s="13"/>
      <c r="D936" s="13"/>
      <c r="E936" s="237"/>
      <c r="F936" s="237"/>
      <c r="G936" s="237"/>
      <c r="H936" s="13"/>
      <c r="I936" s="13"/>
      <c r="J936" s="13"/>
      <c r="K936" s="13"/>
      <c r="L936" s="261" t="s">
        <v>2938</v>
      </c>
      <c r="M936" s="13"/>
      <c r="N936" s="13"/>
      <c r="O936" s="13"/>
      <c r="P936" s="13"/>
      <c r="Q936" s="13"/>
      <c r="R936" s="13" t="s">
        <v>2939</v>
      </c>
    </row>
    <row r="937" ht="15.75" customHeight="1">
      <c r="A937" s="13"/>
      <c r="B937" s="13" t="s">
        <v>2940</v>
      </c>
      <c r="C937" s="13"/>
      <c r="D937" s="13"/>
      <c r="E937" s="237"/>
      <c r="F937" s="237"/>
      <c r="G937" s="237"/>
      <c r="H937" s="13"/>
      <c r="I937" s="13"/>
      <c r="J937" s="13"/>
      <c r="K937" s="13"/>
      <c r="L937" s="13" t="s">
        <v>36</v>
      </c>
      <c r="M937" s="13"/>
      <c r="N937" s="13"/>
      <c r="O937" s="13"/>
      <c r="P937" s="13"/>
      <c r="Q937" s="13"/>
      <c r="R937" s="262" t="s">
        <v>2941</v>
      </c>
    </row>
    <row r="938" ht="15.75" customHeight="1">
      <c r="A938" s="13"/>
      <c r="B938" s="13" t="s">
        <v>2942</v>
      </c>
      <c r="C938" s="13"/>
      <c r="D938" s="13"/>
      <c r="E938" s="237"/>
      <c r="F938" s="237"/>
      <c r="G938" s="237"/>
      <c r="H938" s="13"/>
      <c r="I938" s="13"/>
      <c r="J938" s="13"/>
      <c r="K938" s="13"/>
      <c r="L938" s="13" t="s">
        <v>2943</v>
      </c>
      <c r="M938" s="13"/>
      <c r="N938" s="13"/>
      <c r="O938" s="13"/>
      <c r="P938" s="13"/>
      <c r="Q938" s="13"/>
      <c r="R938" s="263" t="s">
        <v>2944</v>
      </c>
    </row>
    <row r="939" ht="15.75" customHeight="1">
      <c r="A939" s="13"/>
      <c r="B939" s="13" t="s">
        <v>2945</v>
      </c>
      <c r="C939" s="13"/>
      <c r="D939" s="13"/>
      <c r="E939" s="237"/>
      <c r="F939" s="237"/>
      <c r="G939" s="237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264" t="s">
        <v>2946</v>
      </c>
    </row>
    <row r="940" ht="15.75" customHeight="1">
      <c r="A940" s="13"/>
      <c r="B940" s="13" t="s">
        <v>2947</v>
      </c>
      <c r="C940" s="13"/>
      <c r="D940" s="13"/>
      <c r="E940" s="237"/>
      <c r="F940" s="237"/>
      <c r="G940" s="237"/>
      <c r="H940" s="13"/>
      <c r="I940" s="13"/>
      <c r="J940" s="13"/>
      <c r="K940" s="13"/>
      <c r="L940" s="59" t="s">
        <v>71</v>
      </c>
      <c r="M940" s="13"/>
      <c r="N940" s="13"/>
      <c r="O940" s="13"/>
      <c r="P940" s="13"/>
      <c r="Q940" s="13"/>
      <c r="R940" s="13" t="s">
        <v>2947</v>
      </c>
    </row>
    <row r="941" ht="15.75" customHeight="1">
      <c r="A941" s="13"/>
      <c r="B941" s="13" t="s">
        <v>2948</v>
      </c>
      <c r="C941" s="13"/>
      <c r="D941" s="13"/>
      <c r="E941" s="237"/>
      <c r="F941" s="237"/>
      <c r="G941" s="237"/>
      <c r="H941" s="13"/>
      <c r="I941" s="13"/>
      <c r="J941" s="13"/>
      <c r="K941" s="13"/>
      <c r="L941" s="59" t="s">
        <v>2949</v>
      </c>
      <c r="M941" s="13"/>
      <c r="N941" s="13"/>
      <c r="O941" s="13"/>
      <c r="P941" s="13"/>
      <c r="Q941" s="13"/>
      <c r="R941" s="13" t="s">
        <v>2948</v>
      </c>
    </row>
    <row r="942" ht="15.75" customHeight="1">
      <c r="A942" s="13"/>
      <c r="B942" s="13" t="s">
        <v>2950</v>
      </c>
      <c r="C942" s="13"/>
      <c r="D942" s="13"/>
      <c r="E942" s="237"/>
      <c r="F942" s="237"/>
      <c r="G942" s="237"/>
      <c r="H942" s="13"/>
      <c r="I942" s="13"/>
      <c r="J942" s="13"/>
      <c r="K942" s="13"/>
      <c r="L942" s="13" t="s">
        <v>2951</v>
      </c>
      <c r="M942" s="13"/>
      <c r="N942" s="13"/>
      <c r="O942" s="13"/>
      <c r="P942" s="13"/>
      <c r="Q942" s="13"/>
      <c r="R942" s="13" t="s">
        <v>2950</v>
      </c>
    </row>
    <row r="943" ht="15.75" customHeight="1">
      <c r="A943" s="13"/>
      <c r="B943" s="13" t="s">
        <v>2952</v>
      </c>
      <c r="C943" s="13"/>
      <c r="D943" s="13"/>
      <c r="E943" s="237"/>
      <c r="F943" s="237"/>
      <c r="G943" s="237"/>
      <c r="H943" s="13"/>
      <c r="I943" s="13"/>
      <c r="J943" s="13"/>
      <c r="K943" s="13"/>
      <c r="L943" s="13" t="s">
        <v>2951</v>
      </c>
      <c r="M943" s="13"/>
      <c r="N943" s="13"/>
      <c r="O943" s="13"/>
      <c r="P943" s="13"/>
      <c r="Q943" s="13"/>
      <c r="R943" s="13" t="s">
        <v>2952</v>
      </c>
    </row>
    <row r="944" ht="15.75" customHeight="1">
      <c r="A944" s="13"/>
      <c r="B944" s="13" t="s">
        <v>2953</v>
      </c>
      <c r="C944" s="13"/>
      <c r="D944" s="13"/>
      <c r="E944" s="237"/>
      <c r="F944" s="237"/>
      <c r="G944" s="237"/>
      <c r="H944" s="13"/>
      <c r="I944" s="13"/>
      <c r="J944" s="13"/>
      <c r="K944" s="13"/>
      <c r="L944" s="13" t="s">
        <v>102</v>
      </c>
      <c r="M944" s="13"/>
      <c r="N944" s="13"/>
      <c r="O944" s="13"/>
      <c r="P944" s="13"/>
      <c r="Q944" s="13"/>
      <c r="R944" s="13" t="s">
        <v>2954</v>
      </c>
    </row>
    <row r="945" ht="15.75" customHeight="1">
      <c r="A945" s="13"/>
      <c r="B945" s="13" t="s">
        <v>2955</v>
      </c>
      <c r="C945" s="13"/>
      <c r="D945" s="13"/>
      <c r="E945" s="237"/>
      <c r="F945" s="237"/>
      <c r="G945" s="237"/>
      <c r="H945" s="13"/>
      <c r="I945" s="13"/>
      <c r="J945" s="13"/>
      <c r="K945" s="13"/>
      <c r="L945" s="13" t="s">
        <v>2956</v>
      </c>
      <c r="M945" s="13"/>
      <c r="N945" s="13"/>
      <c r="O945" s="13"/>
      <c r="P945" s="13"/>
      <c r="Q945" s="13"/>
      <c r="R945" s="13" t="s">
        <v>2955</v>
      </c>
    </row>
    <row r="946" ht="15.75" customHeight="1">
      <c r="A946" s="61"/>
      <c r="B946" s="61" t="s">
        <v>2957</v>
      </c>
      <c r="C946" s="61"/>
      <c r="D946" s="236" t="s">
        <v>2958</v>
      </c>
      <c r="E946" s="215">
        <v>2.0</v>
      </c>
      <c r="F946" s="215">
        <v>0.0</v>
      </c>
      <c r="G946" s="215">
        <v>0.0</v>
      </c>
      <c r="H946" s="61"/>
      <c r="I946" s="61"/>
      <c r="J946" s="61"/>
      <c r="K946" s="61"/>
      <c r="L946" s="61" t="s">
        <v>137</v>
      </c>
      <c r="M946" s="61" t="s">
        <v>2636</v>
      </c>
      <c r="N946" s="61"/>
      <c r="O946" s="61"/>
      <c r="P946" s="61"/>
      <c r="Q946" s="61"/>
      <c r="R946" s="61" t="s">
        <v>2959</v>
      </c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 t="s">
        <v>2960</v>
      </c>
      <c r="C947" s="236" t="s">
        <v>2961</v>
      </c>
      <c r="D947" s="236" t="s">
        <v>2962</v>
      </c>
      <c r="E947" s="215">
        <v>1.0</v>
      </c>
      <c r="F947" s="215">
        <v>2.0</v>
      </c>
      <c r="G947" s="215">
        <v>1.0</v>
      </c>
      <c r="H947" s="61"/>
      <c r="I947" s="61"/>
      <c r="J947" s="61"/>
      <c r="K947" s="61"/>
      <c r="L947" s="61" t="s">
        <v>2963</v>
      </c>
      <c r="M947" s="61"/>
      <c r="N947" s="61"/>
      <c r="O947" s="61"/>
      <c r="P947" s="61"/>
      <c r="Q947" s="61"/>
      <c r="R947" s="61" t="s">
        <v>2964</v>
      </c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265" t="s">
        <v>2965</v>
      </c>
      <c r="C948" s="61"/>
      <c r="D948" s="236" t="s">
        <v>2966</v>
      </c>
      <c r="E948" s="215">
        <v>3.0</v>
      </c>
      <c r="F948" s="215">
        <v>2.0</v>
      </c>
      <c r="G948" s="215">
        <v>1.0</v>
      </c>
      <c r="H948" s="61"/>
      <c r="I948" s="61"/>
      <c r="J948" s="61"/>
      <c r="K948" s="61"/>
      <c r="L948" s="61" t="s">
        <v>2967</v>
      </c>
      <c r="M948" s="61"/>
      <c r="N948" s="61"/>
      <c r="O948" s="61"/>
      <c r="P948" s="61"/>
      <c r="Q948" s="61"/>
      <c r="R948" s="61" t="s">
        <v>2968</v>
      </c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265" t="s">
        <v>2969</v>
      </c>
      <c r="C949" s="61"/>
      <c r="D949" s="236" t="s">
        <v>2970</v>
      </c>
      <c r="E949" s="215">
        <v>3.0</v>
      </c>
      <c r="F949" s="215">
        <v>2.0</v>
      </c>
      <c r="G949" s="215">
        <v>1.0</v>
      </c>
      <c r="H949" s="61"/>
      <c r="I949" s="61"/>
      <c r="J949" s="61"/>
      <c r="K949" s="61"/>
      <c r="L949" s="61" t="s">
        <v>2967</v>
      </c>
      <c r="M949" s="61"/>
      <c r="N949" s="61"/>
      <c r="O949" s="61"/>
      <c r="P949" s="61"/>
      <c r="Q949" s="61"/>
      <c r="R949" s="61" t="s">
        <v>2971</v>
      </c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 t="s">
        <v>2972</v>
      </c>
      <c r="C950" s="236" t="s">
        <v>2973</v>
      </c>
      <c r="D950" s="236" t="s">
        <v>2974</v>
      </c>
      <c r="E950" s="215">
        <v>2.0</v>
      </c>
      <c r="F950" s="215">
        <v>0.0</v>
      </c>
      <c r="G950" s="215">
        <v>0.0</v>
      </c>
      <c r="H950" s="61"/>
      <c r="I950" s="61"/>
      <c r="J950" s="61"/>
      <c r="K950" s="61"/>
      <c r="L950" s="61" t="s">
        <v>2975</v>
      </c>
      <c r="M950" s="61" t="s">
        <v>2636</v>
      </c>
      <c r="N950" s="61"/>
      <c r="O950" s="61"/>
      <c r="P950" s="61"/>
      <c r="Q950" s="61"/>
      <c r="R950" s="61" t="s">
        <v>2976</v>
      </c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 t="s">
        <v>2977</v>
      </c>
      <c r="C951" s="61"/>
      <c r="D951" s="236" t="s">
        <v>2978</v>
      </c>
      <c r="E951" s="215">
        <v>1.0</v>
      </c>
      <c r="F951" s="215">
        <v>0.0</v>
      </c>
      <c r="G951" s="215">
        <v>0.0</v>
      </c>
      <c r="H951" s="61"/>
      <c r="I951" s="61"/>
      <c r="J951" s="61"/>
      <c r="K951" s="61"/>
      <c r="L951" s="61" t="s">
        <v>2979</v>
      </c>
      <c r="M951" s="61"/>
      <c r="N951" s="61"/>
      <c r="O951" s="61"/>
      <c r="P951" s="61"/>
      <c r="Q951" s="61"/>
      <c r="R951" s="61" t="s">
        <v>2980</v>
      </c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 t="s">
        <v>2981</v>
      </c>
      <c r="C952" s="61"/>
      <c r="D952" s="236" t="s">
        <v>2982</v>
      </c>
      <c r="E952" s="215">
        <v>1.0</v>
      </c>
      <c r="F952" s="215">
        <v>0.0</v>
      </c>
      <c r="G952" s="215">
        <v>0.0</v>
      </c>
      <c r="H952" s="61"/>
      <c r="I952" s="61"/>
      <c r="J952" s="61"/>
      <c r="K952" s="61"/>
      <c r="L952" s="61" t="s">
        <v>2983</v>
      </c>
      <c r="M952" s="61"/>
      <c r="N952" s="61"/>
      <c r="O952" s="61"/>
      <c r="P952" s="61"/>
      <c r="Q952" s="61"/>
      <c r="R952" s="61" t="s">
        <v>2984</v>
      </c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266"/>
      <c r="B953" s="266" t="s">
        <v>2985</v>
      </c>
      <c r="C953" s="267" t="s">
        <v>2986</v>
      </c>
      <c r="D953" s="267" t="s">
        <v>2987</v>
      </c>
      <c r="E953" s="268">
        <v>24.0</v>
      </c>
      <c r="F953" s="268">
        <v>92.0</v>
      </c>
      <c r="G953" s="268">
        <v>5.0</v>
      </c>
      <c r="H953" s="266"/>
      <c r="I953" s="266"/>
      <c r="J953" s="266"/>
      <c r="K953" s="266"/>
      <c r="L953" s="269" t="s">
        <v>2988</v>
      </c>
      <c r="M953" s="266"/>
      <c r="N953" s="266"/>
      <c r="O953" s="266"/>
      <c r="P953" s="266"/>
      <c r="Q953" s="266"/>
      <c r="R953" s="266" t="s">
        <v>2989</v>
      </c>
      <c r="S953" s="266"/>
      <c r="T953" s="266"/>
      <c r="U953" s="266"/>
      <c r="V953" s="266"/>
      <c r="W953" s="266"/>
      <c r="X953" s="266"/>
      <c r="Y953" s="266"/>
      <c r="Z953" s="266"/>
    </row>
    <row r="954" ht="15.75" customHeight="1">
      <c r="A954" s="61"/>
      <c r="B954" s="61" t="s">
        <v>2990</v>
      </c>
      <c r="C954" s="236" t="s">
        <v>2991</v>
      </c>
      <c r="D954" s="236" t="s">
        <v>2992</v>
      </c>
      <c r="E954" s="215">
        <v>3.0</v>
      </c>
      <c r="F954" s="215">
        <v>0.0</v>
      </c>
      <c r="G954" s="215">
        <v>0.0</v>
      </c>
      <c r="H954" s="61"/>
      <c r="I954" s="61"/>
      <c r="J954" s="61"/>
      <c r="K954" s="61"/>
      <c r="L954" s="61" t="s">
        <v>356</v>
      </c>
      <c r="M954" s="61" t="s">
        <v>2636</v>
      </c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 t="s">
        <v>2993</v>
      </c>
      <c r="C955" s="236" t="s">
        <v>2994</v>
      </c>
      <c r="D955" s="236" t="s">
        <v>2995</v>
      </c>
      <c r="E955" s="215">
        <v>6.0</v>
      </c>
      <c r="F955" s="215">
        <v>4.0</v>
      </c>
      <c r="G955" s="215">
        <v>1.0</v>
      </c>
      <c r="H955" s="61"/>
      <c r="I955" s="61"/>
      <c r="J955" s="61"/>
      <c r="K955" s="61"/>
      <c r="L955" s="61" t="s">
        <v>41</v>
      </c>
      <c r="M955" s="61" t="s">
        <v>2636</v>
      </c>
      <c r="N955" s="61"/>
      <c r="O955" s="61"/>
      <c r="P955" s="61"/>
      <c r="Q955" s="61"/>
      <c r="R955" s="61" t="s">
        <v>2996</v>
      </c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235" t="s">
        <v>2997</v>
      </c>
      <c r="C956" s="236" t="s">
        <v>2998</v>
      </c>
      <c r="D956" s="236" t="s">
        <v>2999</v>
      </c>
      <c r="E956" s="215">
        <v>4.0</v>
      </c>
      <c r="F956" s="215">
        <v>1.0</v>
      </c>
      <c r="G956" s="215">
        <v>1.0</v>
      </c>
      <c r="H956" s="61"/>
      <c r="I956" s="61"/>
      <c r="J956" s="61"/>
      <c r="K956" s="61"/>
      <c r="L956" s="61" t="s">
        <v>41</v>
      </c>
      <c r="M956" s="61"/>
      <c r="N956" s="61"/>
      <c r="O956" s="61"/>
      <c r="P956" s="61"/>
      <c r="Q956" s="61"/>
      <c r="R956" s="235" t="s">
        <v>3000</v>
      </c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 t="s">
        <v>3001</v>
      </c>
      <c r="C957" s="236" t="s">
        <v>3002</v>
      </c>
      <c r="D957" s="236" t="s">
        <v>3003</v>
      </c>
      <c r="E957" s="215">
        <v>6.0</v>
      </c>
      <c r="F957" s="215">
        <v>20.0</v>
      </c>
      <c r="G957" s="215">
        <v>3.0</v>
      </c>
      <c r="H957" s="61"/>
      <c r="I957" s="61"/>
      <c r="J957" s="61"/>
      <c r="K957" s="61"/>
      <c r="L957" s="61" t="s">
        <v>51</v>
      </c>
      <c r="M957" s="61"/>
      <c r="N957" s="61"/>
      <c r="O957" s="61"/>
      <c r="P957" s="61"/>
      <c r="Q957" s="61"/>
      <c r="R957" s="61" t="s">
        <v>3004</v>
      </c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 t="s">
        <v>3005</v>
      </c>
      <c r="C958" s="236" t="s">
        <v>3006</v>
      </c>
      <c r="D958" s="236" t="s">
        <v>3007</v>
      </c>
      <c r="E958" s="215">
        <v>29.0</v>
      </c>
      <c r="F958" s="215">
        <v>207.0</v>
      </c>
      <c r="G958" s="215">
        <v>10.0</v>
      </c>
      <c r="H958" s="61"/>
      <c r="I958" s="61"/>
      <c r="J958" s="61"/>
      <c r="K958" s="61"/>
      <c r="L958" s="61" t="s">
        <v>2888</v>
      </c>
      <c r="M958" s="61"/>
      <c r="N958" s="61"/>
      <c r="O958" s="61"/>
      <c r="P958" s="61"/>
      <c r="Q958" s="61"/>
      <c r="R958" s="61" t="s">
        <v>3008</v>
      </c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</row>
  </sheetData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D52"/>
    <hyperlink r:id="rId73" ref="C53"/>
    <hyperlink r:id="rId74" ref="D53"/>
    <hyperlink r:id="rId75" ref="C54"/>
    <hyperlink r:id="rId76" ref="D54"/>
    <hyperlink r:id="rId77" ref="C55"/>
    <hyperlink r:id="rId78" ref="D55"/>
    <hyperlink r:id="rId79" ref="D56"/>
    <hyperlink r:id="rId80" ref="C57"/>
    <hyperlink r:id="rId81" ref="D57"/>
    <hyperlink r:id="rId82" ref="C58"/>
    <hyperlink r:id="rId83" ref="C59"/>
    <hyperlink r:id="rId84" ref="D59"/>
    <hyperlink r:id="rId85" ref="D60"/>
    <hyperlink r:id="rId86" ref="C61"/>
    <hyperlink r:id="rId87" ref="D62"/>
    <hyperlink r:id="rId88" ref="C63"/>
    <hyperlink r:id="rId89" ref="D63"/>
    <hyperlink r:id="rId90" ref="C64"/>
    <hyperlink r:id="rId91" ref="D64"/>
    <hyperlink r:id="rId92" ref="C65"/>
    <hyperlink r:id="rId93" ref="D65"/>
    <hyperlink r:id="rId94" ref="C66"/>
    <hyperlink r:id="rId95" ref="D66"/>
    <hyperlink r:id="rId96" ref="C67"/>
    <hyperlink r:id="rId97" ref="C68"/>
    <hyperlink r:id="rId98" ref="D68"/>
    <hyperlink r:id="rId99" ref="C70"/>
    <hyperlink r:id="rId100" ref="D70"/>
    <hyperlink r:id="rId101" ref="C71"/>
    <hyperlink r:id="rId102" ref="D71"/>
    <hyperlink r:id="rId103" ref="C72"/>
    <hyperlink r:id="rId104" ref="D72"/>
    <hyperlink r:id="rId105" ref="C74"/>
    <hyperlink r:id="rId106" ref="D74"/>
    <hyperlink r:id="rId107" ref="C75"/>
    <hyperlink r:id="rId108" ref="D75"/>
    <hyperlink r:id="rId109" ref="C78"/>
    <hyperlink r:id="rId110" ref="C79"/>
    <hyperlink r:id="rId111" ref="C80"/>
    <hyperlink r:id="rId112" ref="C81"/>
    <hyperlink r:id="rId113" ref="D81"/>
    <hyperlink r:id="rId114" ref="C83"/>
    <hyperlink r:id="rId115" ref="D83"/>
    <hyperlink r:id="rId116" ref="C84"/>
    <hyperlink r:id="rId117" ref="C85"/>
    <hyperlink r:id="rId118" ref="D87"/>
    <hyperlink r:id="rId119" ref="C88"/>
    <hyperlink r:id="rId120" ref="D88"/>
    <hyperlink r:id="rId121" ref="C89"/>
    <hyperlink r:id="rId122" ref="D89"/>
    <hyperlink r:id="rId123" ref="C90"/>
    <hyperlink r:id="rId124" ref="D90"/>
    <hyperlink r:id="rId125" ref="D91"/>
    <hyperlink r:id="rId126" ref="C92"/>
    <hyperlink r:id="rId127" ref="D93"/>
    <hyperlink r:id="rId128" ref="C94"/>
    <hyperlink r:id="rId129" ref="D94"/>
    <hyperlink r:id="rId130" ref="C95"/>
    <hyperlink r:id="rId131" ref="D95"/>
    <hyperlink r:id="rId132" ref="C96"/>
    <hyperlink r:id="rId133" ref="D96"/>
    <hyperlink r:id="rId134" ref="C97"/>
    <hyperlink r:id="rId135" ref="C98"/>
    <hyperlink r:id="rId136" ref="D98"/>
    <hyperlink r:id="rId137" ref="C99"/>
    <hyperlink r:id="rId138" ref="D99"/>
    <hyperlink r:id="rId139" ref="C100"/>
    <hyperlink r:id="rId140" ref="D100"/>
    <hyperlink r:id="rId141" ref="C101"/>
    <hyperlink r:id="rId142" ref="D101"/>
    <hyperlink r:id="rId143" ref="C102"/>
    <hyperlink r:id="rId144" ref="D102"/>
    <hyperlink r:id="rId145" ref="C103"/>
    <hyperlink r:id="rId146" ref="D103"/>
    <hyperlink r:id="rId147" ref="C104"/>
    <hyperlink r:id="rId148" ref="D104"/>
    <hyperlink r:id="rId149" ref="C105"/>
    <hyperlink r:id="rId150" ref="D105"/>
    <hyperlink r:id="rId151" ref="C106"/>
    <hyperlink r:id="rId152" ref="D106"/>
    <hyperlink r:id="rId153" ref="C107"/>
    <hyperlink r:id="rId154" ref="D107"/>
    <hyperlink r:id="rId155" ref="C108"/>
    <hyperlink r:id="rId156" ref="C109"/>
    <hyperlink r:id="rId157" ref="D109"/>
    <hyperlink r:id="rId158" ref="C111"/>
    <hyperlink r:id="rId159" ref="D111"/>
    <hyperlink r:id="rId160" ref="C112"/>
    <hyperlink r:id="rId161" ref="D112"/>
    <hyperlink r:id="rId162" ref="C113"/>
    <hyperlink r:id="rId163" ref="C114"/>
    <hyperlink r:id="rId164" ref="D114"/>
    <hyperlink r:id="rId165" ref="C115"/>
    <hyperlink r:id="rId166" ref="D115"/>
    <hyperlink r:id="rId167" ref="C116"/>
    <hyperlink r:id="rId168" ref="D116"/>
    <hyperlink r:id="rId169" ref="C117"/>
    <hyperlink r:id="rId170" ref="D117"/>
    <hyperlink r:id="rId171" ref="C119"/>
    <hyperlink r:id="rId172" ref="C123"/>
    <hyperlink r:id="rId173" ref="D123"/>
    <hyperlink r:id="rId174" ref="C124"/>
    <hyperlink r:id="rId175" ref="D124"/>
    <hyperlink r:id="rId176" ref="C125"/>
    <hyperlink r:id="rId177" ref="C126"/>
    <hyperlink r:id="rId178" ref="D126"/>
    <hyperlink r:id="rId179" ref="C127"/>
    <hyperlink r:id="rId180" ref="C128"/>
    <hyperlink r:id="rId181" ref="D128"/>
    <hyperlink r:id="rId182" ref="D131"/>
    <hyperlink r:id="rId183" ref="C132"/>
    <hyperlink r:id="rId184" ref="D132"/>
    <hyperlink r:id="rId185" ref="C133"/>
    <hyperlink r:id="rId186" ref="D133"/>
    <hyperlink r:id="rId187" ref="C134"/>
    <hyperlink r:id="rId188" ref="D134"/>
    <hyperlink r:id="rId189" ref="C135"/>
    <hyperlink r:id="rId190" ref="D135"/>
    <hyperlink r:id="rId191" ref="D136"/>
    <hyperlink r:id="rId192" ref="C137"/>
    <hyperlink r:id="rId193" ref="D137"/>
    <hyperlink r:id="rId194" ref="C138"/>
    <hyperlink r:id="rId195" ref="D138"/>
    <hyperlink r:id="rId196" ref="C139"/>
    <hyperlink r:id="rId197" ref="D139"/>
    <hyperlink r:id="rId198" ref="C140"/>
    <hyperlink r:id="rId199" ref="D140"/>
    <hyperlink r:id="rId200" ref="C141"/>
    <hyperlink r:id="rId201" ref="D141"/>
    <hyperlink r:id="rId202" ref="C142"/>
    <hyperlink r:id="rId203" ref="D142"/>
    <hyperlink r:id="rId204" ref="C143"/>
    <hyperlink r:id="rId205" ref="D143"/>
    <hyperlink r:id="rId206" ref="C144"/>
    <hyperlink r:id="rId207" ref="D144"/>
    <hyperlink r:id="rId208" ref="C146"/>
    <hyperlink r:id="rId209" ref="C147"/>
    <hyperlink r:id="rId210" ref="D147"/>
    <hyperlink r:id="rId211" ref="C148"/>
    <hyperlink r:id="rId212" ref="D148"/>
    <hyperlink r:id="rId213" ref="C149"/>
    <hyperlink r:id="rId214" ref="D149"/>
    <hyperlink r:id="rId215" ref="C150"/>
    <hyperlink r:id="rId216" ref="C151"/>
    <hyperlink r:id="rId217" ref="D151"/>
    <hyperlink r:id="rId218" ref="D152"/>
    <hyperlink r:id="rId219" ref="C153"/>
    <hyperlink r:id="rId220" ref="D153"/>
    <hyperlink r:id="rId221" ref="C154"/>
    <hyperlink r:id="rId222" ref="D154"/>
    <hyperlink r:id="rId223" ref="C155"/>
    <hyperlink r:id="rId224" ref="D155"/>
    <hyperlink r:id="rId225" ref="C156"/>
    <hyperlink r:id="rId226" ref="D156"/>
    <hyperlink r:id="rId227" ref="D157"/>
    <hyperlink r:id="rId228" ref="D158"/>
    <hyperlink r:id="rId229" ref="C159"/>
    <hyperlink r:id="rId230" ref="D159"/>
    <hyperlink r:id="rId231" ref="C160"/>
    <hyperlink r:id="rId232" ref="C161"/>
    <hyperlink r:id="rId233" ref="D161"/>
    <hyperlink r:id="rId234" ref="C164"/>
    <hyperlink r:id="rId235" ref="C165"/>
    <hyperlink r:id="rId236" ref="D165"/>
    <hyperlink r:id="rId237" ref="C166"/>
    <hyperlink r:id="rId238" ref="D166"/>
    <hyperlink r:id="rId239" ref="C167"/>
    <hyperlink r:id="rId240" ref="D167"/>
    <hyperlink r:id="rId241" ref="C168"/>
    <hyperlink r:id="rId242" ref="D168"/>
    <hyperlink r:id="rId243" ref="C169"/>
    <hyperlink r:id="rId244" ref="D169"/>
    <hyperlink r:id="rId245" ref="C170"/>
    <hyperlink r:id="rId246" ref="C171"/>
    <hyperlink r:id="rId247" ref="D171"/>
    <hyperlink r:id="rId248" ref="C172"/>
    <hyperlink r:id="rId249" ref="C173"/>
    <hyperlink r:id="rId250" ref="D173"/>
    <hyperlink r:id="rId251" ref="C174"/>
    <hyperlink r:id="rId252" ref="D174"/>
    <hyperlink r:id="rId253" ref="C175"/>
    <hyperlink r:id="rId254" ref="D175"/>
    <hyperlink r:id="rId255" ref="C176"/>
    <hyperlink r:id="rId256" ref="C177"/>
    <hyperlink r:id="rId257" ref="D177"/>
    <hyperlink r:id="rId258" ref="C178"/>
    <hyperlink r:id="rId259" ref="C179"/>
    <hyperlink r:id="rId260" ref="C181"/>
    <hyperlink r:id="rId261" ref="D182"/>
    <hyperlink r:id="rId262" ref="C183"/>
    <hyperlink r:id="rId263" ref="D183"/>
    <hyperlink r:id="rId264" ref="C185"/>
    <hyperlink r:id="rId265" ref="D185"/>
    <hyperlink r:id="rId266" ref="C186"/>
    <hyperlink r:id="rId267" ref="D186"/>
    <hyperlink r:id="rId268" ref="D187"/>
    <hyperlink r:id="rId269" ref="C188"/>
    <hyperlink r:id="rId270" ref="D188"/>
    <hyperlink r:id="rId271" ref="C189"/>
    <hyperlink r:id="rId272" ref="D189"/>
    <hyperlink r:id="rId273" ref="C190"/>
    <hyperlink r:id="rId274" ref="C191"/>
    <hyperlink r:id="rId275" ref="C192"/>
    <hyperlink r:id="rId276" ref="D192"/>
    <hyperlink r:id="rId277" ref="C194"/>
    <hyperlink r:id="rId278" ref="C195"/>
    <hyperlink r:id="rId279" ref="C197"/>
    <hyperlink r:id="rId280" ref="D197"/>
    <hyperlink r:id="rId281" ref="D198"/>
    <hyperlink r:id="rId282" ref="C199"/>
    <hyperlink r:id="rId283" ref="D199"/>
    <hyperlink r:id="rId284" ref="C201"/>
    <hyperlink r:id="rId285" ref="D201"/>
    <hyperlink r:id="rId286" ref="C203"/>
    <hyperlink r:id="rId287" ref="D203"/>
    <hyperlink r:id="rId288" ref="C204"/>
    <hyperlink r:id="rId289" ref="D204"/>
    <hyperlink r:id="rId290" ref="C205"/>
    <hyperlink r:id="rId291" ref="D205"/>
    <hyperlink r:id="rId292" ref="C207"/>
    <hyperlink r:id="rId293" ref="C208"/>
    <hyperlink r:id="rId294" ref="D208"/>
    <hyperlink r:id="rId295" ref="C209"/>
    <hyperlink r:id="rId296" ref="C210"/>
    <hyperlink r:id="rId297" ref="C211"/>
    <hyperlink r:id="rId298" ref="C212"/>
    <hyperlink r:id="rId299" ref="D212"/>
    <hyperlink r:id="rId300" ref="C214"/>
    <hyperlink r:id="rId301" ref="D214"/>
    <hyperlink r:id="rId302" ref="C215"/>
    <hyperlink r:id="rId303" ref="C216"/>
    <hyperlink r:id="rId304" ref="D216"/>
    <hyperlink r:id="rId305" ref="C217"/>
    <hyperlink r:id="rId306" ref="D217"/>
    <hyperlink r:id="rId307" ref="C218"/>
    <hyperlink r:id="rId308" ref="C219"/>
    <hyperlink r:id="rId309" ref="D219"/>
    <hyperlink r:id="rId310" ref="C220"/>
    <hyperlink r:id="rId311" ref="D220"/>
    <hyperlink r:id="rId312" ref="C221"/>
    <hyperlink r:id="rId313" ref="C222"/>
    <hyperlink r:id="rId314" ref="D222"/>
    <hyperlink r:id="rId315" ref="C223"/>
    <hyperlink r:id="rId316" ref="C224"/>
    <hyperlink r:id="rId317" ref="D224"/>
    <hyperlink r:id="rId318" ref="D225"/>
    <hyperlink r:id="rId319" ref="D227"/>
    <hyperlink r:id="rId320" ref="C229"/>
    <hyperlink r:id="rId321" ref="D229"/>
    <hyperlink r:id="rId322" ref="C230"/>
    <hyperlink r:id="rId323" ref="C231"/>
    <hyperlink r:id="rId324" ref="C233"/>
    <hyperlink r:id="rId325" ref="D233"/>
    <hyperlink r:id="rId326" ref="C234"/>
    <hyperlink r:id="rId327" ref="D234"/>
    <hyperlink r:id="rId328" ref="C235"/>
    <hyperlink r:id="rId329" ref="D235"/>
    <hyperlink r:id="rId330" ref="C237"/>
    <hyperlink r:id="rId331" ref="D237"/>
    <hyperlink r:id="rId332" ref="C238"/>
    <hyperlink r:id="rId333" ref="D238"/>
    <hyperlink r:id="rId334" ref="C239"/>
    <hyperlink r:id="rId335" ref="C240"/>
    <hyperlink r:id="rId336" ref="D240"/>
    <hyperlink r:id="rId337" ref="D241"/>
    <hyperlink r:id="rId338" ref="C242"/>
    <hyperlink r:id="rId339" ref="D242"/>
    <hyperlink r:id="rId340" ref="C244"/>
    <hyperlink r:id="rId341" ref="D244"/>
    <hyperlink r:id="rId342" ref="D245"/>
    <hyperlink r:id="rId343" ref="C246"/>
    <hyperlink r:id="rId344" ref="D246"/>
    <hyperlink r:id="rId345" ref="C247"/>
    <hyperlink r:id="rId346" ref="D247"/>
    <hyperlink r:id="rId347" ref="C248"/>
    <hyperlink r:id="rId348" ref="D248"/>
    <hyperlink r:id="rId349" ref="C249"/>
    <hyperlink r:id="rId350" ref="D250"/>
    <hyperlink r:id="rId351" ref="C251"/>
    <hyperlink r:id="rId352" ref="C252"/>
    <hyperlink r:id="rId353" ref="D252"/>
    <hyperlink r:id="rId354" ref="C253"/>
    <hyperlink r:id="rId355" ref="D253"/>
    <hyperlink r:id="rId356" ref="C254"/>
    <hyperlink r:id="rId357" ref="D254"/>
    <hyperlink r:id="rId358" ref="D255"/>
    <hyperlink r:id="rId359" ref="C257"/>
    <hyperlink r:id="rId360" ref="D257"/>
    <hyperlink r:id="rId361" ref="C259"/>
    <hyperlink r:id="rId362" ref="D259"/>
    <hyperlink r:id="rId363" ref="C260"/>
    <hyperlink r:id="rId364" ref="D260"/>
    <hyperlink r:id="rId365" ref="D261"/>
    <hyperlink r:id="rId366" ref="C262"/>
    <hyperlink r:id="rId367" ref="C263"/>
    <hyperlink r:id="rId368" ref="C264"/>
    <hyperlink r:id="rId369" ref="D264"/>
    <hyperlink r:id="rId370" ref="C265"/>
    <hyperlink r:id="rId371" ref="D265"/>
    <hyperlink r:id="rId372" ref="C266"/>
    <hyperlink r:id="rId373" ref="D266"/>
    <hyperlink r:id="rId374" ref="C268"/>
    <hyperlink r:id="rId375" ref="D268"/>
    <hyperlink r:id="rId376" ref="D269"/>
    <hyperlink r:id="rId377" ref="C270"/>
    <hyperlink r:id="rId378" ref="D270"/>
    <hyperlink r:id="rId379" ref="C271"/>
    <hyperlink r:id="rId380" ref="C272"/>
    <hyperlink r:id="rId381" ref="D272"/>
    <hyperlink r:id="rId382" ref="C273"/>
    <hyperlink r:id="rId383" ref="D273"/>
    <hyperlink r:id="rId384" ref="C274"/>
    <hyperlink r:id="rId385" ref="D274"/>
    <hyperlink r:id="rId386" ref="D276"/>
    <hyperlink r:id="rId387" ref="C277"/>
    <hyperlink r:id="rId388" ref="D277"/>
    <hyperlink r:id="rId389" ref="C278"/>
    <hyperlink r:id="rId390" ref="D278"/>
    <hyperlink r:id="rId391" ref="C279"/>
    <hyperlink r:id="rId392" ref="D279"/>
    <hyperlink r:id="rId393" ref="C280"/>
    <hyperlink r:id="rId394" ref="D280"/>
    <hyperlink r:id="rId395" ref="C281"/>
    <hyperlink r:id="rId396" ref="C282"/>
    <hyperlink r:id="rId397" ref="D282"/>
    <hyperlink r:id="rId398" ref="D283"/>
    <hyperlink r:id="rId399" ref="C284"/>
    <hyperlink r:id="rId400" ref="D284"/>
    <hyperlink r:id="rId401" ref="C285"/>
    <hyperlink r:id="rId402" ref="C286"/>
    <hyperlink r:id="rId403" ref="D286"/>
    <hyperlink r:id="rId404" ref="C287"/>
    <hyperlink r:id="rId405" ref="D287"/>
    <hyperlink r:id="rId406" ref="C288"/>
    <hyperlink r:id="rId407" ref="D288"/>
    <hyperlink r:id="rId408" ref="C289"/>
    <hyperlink r:id="rId409" ref="C290"/>
    <hyperlink r:id="rId410" ref="D290"/>
    <hyperlink r:id="rId411" ref="C291"/>
    <hyperlink r:id="rId412" ref="D291"/>
    <hyperlink r:id="rId413" ref="C294"/>
    <hyperlink r:id="rId414" ref="C295"/>
    <hyperlink r:id="rId415" ref="D295"/>
    <hyperlink r:id="rId416" ref="C296"/>
    <hyperlink r:id="rId417" ref="C298"/>
    <hyperlink r:id="rId418" ref="C299"/>
    <hyperlink r:id="rId419" ref="D299"/>
    <hyperlink r:id="rId420" ref="C300"/>
    <hyperlink r:id="rId421" ref="C301"/>
    <hyperlink r:id="rId422" ref="D301"/>
    <hyperlink r:id="rId423" ref="C303"/>
    <hyperlink r:id="rId424" ref="D303"/>
    <hyperlink r:id="rId425" ref="C304"/>
    <hyperlink r:id="rId426" ref="D304"/>
    <hyperlink r:id="rId427" ref="C305"/>
    <hyperlink r:id="rId428" ref="D306"/>
    <hyperlink r:id="rId429" ref="C307"/>
    <hyperlink r:id="rId430" ref="D307"/>
    <hyperlink r:id="rId431" ref="C308"/>
    <hyperlink r:id="rId432" ref="D308"/>
    <hyperlink r:id="rId433" ref="D309"/>
    <hyperlink r:id="rId434" ref="C310"/>
    <hyperlink r:id="rId435" ref="D310"/>
    <hyperlink r:id="rId436" ref="C312"/>
    <hyperlink r:id="rId437" ref="D312"/>
    <hyperlink r:id="rId438" ref="C314"/>
    <hyperlink r:id="rId439" ref="D314"/>
    <hyperlink r:id="rId440" ref="C316"/>
    <hyperlink r:id="rId441" ref="D316"/>
    <hyperlink r:id="rId442" ref="C319"/>
    <hyperlink r:id="rId443" ref="C320"/>
    <hyperlink r:id="rId444" ref="D320"/>
    <hyperlink r:id="rId445" ref="C321"/>
    <hyperlink r:id="rId446" ref="D321"/>
    <hyperlink r:id="rId447" ref="C322"/>
    <hyperlink r:id="rId448" ref="D322"/>
    <hyperlink r:id="rId449" ref="C324"/>
    <hyperlink r:id="rId450" ref="C325"/>
    <hyperlink r:id="rId451" ref="D325"/>
    <hyperlink r:id="rId452" ref="C326"/>
    <hyperlink r:id="rId453" ref="D326"/>
    <hyperlink r:id="rId454" ref="C327"/>
    <hyperlink r:id="rId455" ref="C328"/>
    <hyperlink r:id="rId456" ref="D328"/>
    <hyperlink r:id="rId457" ref="C329"/>
    <hyperlink r:id="rId458" ref="D329"/>
    <hyperlink r:id="rId459" ref="C333"/>
    <hyperlink r:id="rId460" ref="D333"/>
    <hyperlink r:id="rId461" ref="C334"/>
    <hyperlink r:id="rId462" ref="D334"/>
    <hyperlink r:id="rId463" ref="C335"/>
    <hyperlink r:id="rId464" ref="D335"/>
    <hyperlink r:id="rId465" ref="C336"/>
    <hyperlink r:id="rId466" ref="D336"/>
    <hyperlink r:id="rId467" ref="C337"/>
    <hyperlink r:id="rId468" ref="D337"/>
    <hyperlink r:id="rId469" ref="C339"/>
    <hyperlink r:id="rId470" ref="C341"/>
    <hyperlink r:id="rId471" ref="D341"/>
    <hyperlink r:id="rId472" ref="C342"/>
    <hyperlink r:id="rId473" ref="D343"/>
    <hyperlink r:id="rId474" ref="C344"/>
    <hyperlink r:id="rId475" ref="D344"/>
    <hyperlink r:id="rId476" ref="C345"/>
    <hyperlink r:id="rId477" ref="D345"/>
    <hyperlink r:id="rId478" ref="C346"/>
    <hyperlink r:id="rId479" ref="D346"/>
    <hyperlink r:id="rId480" ref="C348"/>
    <hyperlink r:id="rId481" ref="D348"/>
    <hyperlink r:id="rId482" ref="C349"/>
    <hyperlink r:id="rId483" ref="D349"/>
    <hyperlink r:id="rId484" ref="C350"/>
    <hyperlink r:id="rId485" ref="D350"/>
    <hyperlink r:id="rId486" ref="C351"/>
    <hyperlink r:id="rId487" ref="D351"/>
    <hyperlink r:id="rId488" ref="C352"/>
    <hyperlink r:id="rId489" ref="D352"/>
    <hyperlink r:id="rId490" ref="C354"/>
    <hyperlink r:id="rId491" ref="D354"/>
    <hyperlink r:id="rId492" ref="C355"/>
    <hyperlink r:id="rId493" ref="D355"/>
    <hyperlink r:id="rId494" ref="C356"/>
    <hyperlink r:id="rId495" ref="C357"/>
    <hyperlink r:id="rId496" ref="D357"/>
    <hyperlink r:id="rId497" ref="C358"/>
    <hyperlink r:id="rId498" ref="D358"/>
    <hyperlink r:id="rId499" ref="D359"/>
    <hyperlink r:id="rId500" ref="C360"/>
    <hyperlink r:id="rId501" ref="D360"/>
    <hyperlink r:id="rId502" ref="C362"/>
    <hyperlink r:id="rId503" ref="C363"/>
    <hyperlink r:id="rId504" ref="D363"/>
    <hyperlink r:id="rId505" ref="C364"/>
    <hyperlink r:id="rId506" ref="D364"/>
    <hyperlink r:id="rId507" ref="D365"/>
    <hyperlink r:id="rId508" ref="C366"/>
    <hyperlink r:id="rId509" ref="D366"/>
    <hyperlink r:id="rId510" ref="C367"/>
    <hyperlink r:id="rId511" ref="D367"/>
    <hyperlink r:id="rId512" ref="C368"/>
    <hyperlink r:id="rId513" ref="D368"/>
    <hyperlink r:id="rId514" ref="C369"/>
    <hyperlink r:id="rId515" ref="D369"/>
    <hyperlink r:id="rId516" ref="C370"/>
    <hyperlink r:id="rId517" ref="D370"/>
    <hyperlink r:id="rId518" ref="C371"/>
    <hyperlink r:id="rId519" ref="D371"/>
    <hyperlink r:id="rId520" ref="C372"/>
    <hyperlink r:id="rId521" ref="D372"/>
    <hyperlink r:id="rId522" ref="C373"/>
    <hyperlink r:id="rId523" ref="D373"/>
    <hyperlink r:id="rId524" ref="C375"/>
    <hyperlink r:id="rId525" ref="D375"/>
    <hyperlink r:id="rId526" ref="C376"/>
    <hyperlink r:id="rId527" ref="D376"/>
    <hyperlink r:id="rId528" ref="C377"/>
    <hyperlink r:id="rId529" ref="D377"/>
    <hyperlink r:id="rId530" ref="C378"/>
    <hyperlink r:id="rId531" ref="D378"/>
    <hyperlink r:id="rId532" ref="D379"/>
    <hyperlink r:id="rId533" ref="C380"/>
    <hyperlink r:id="rId534" ref="D380"/>
    <hyperlink r:id="rId535" ref="C381"/>
    <hyperlink r:id="rId536" ref="D381"/>
    <hyperlink r:id="rId537" ref="C382"/>
    <hyperlink r:id="rId538" ref="D382"/>
    <hyperlink r:id="rId539" ref="D385"/>
    <hyperlink r:id="rId540" ref="C387"/>
    <hyperlink r:id="rId541" ref="C389"/>
    <hyperlink r:id="rId542" ref="D389"/>
    <hyperlink r:id="rId543" ref="C390"/>
    <hyperlink r:id="rId544" ref="C391"/>
    <hyperlink r:id="rId545" ref="C392"/>
    <hyperlink r:id="rId546" ref="D392"/>
    <hyperlink r:id="rId547" ref="C393"/>
    <hyperlink r:id="rId548" ref="D393"/>
    <hyperlink r:id="rId549" ref="C394"/>
    <hyperlink r:id="rId550" ref="D394"/>
    <hyperlink r:id="rId551" ref="C395"/>
    <hyperlink r:id="rId552" ref="D395"/>
    <hyperlink r:id="rId553" ref="C396"/>
    <hyperlink r:id="rId554" ref="C397"/>
    <hyperlink r:id="rId555" ref="D397"/>
    <hyperlink r:id="rId556" ref="C400"/>
    <hyperlink r:id="rId557" ref="D400"/>
    <hyperlink r:id="rId558" ref="C402"/>
    <hyperlink r:id="rId559" ref="D402"/>
    <hyperlink r:id="rId560" ref="C403"/>
    <hyperlink r:id="rId561" ref="D403"/>
    <hyperlink r:id="rId562" ref="C404"/>
    <hyperlink r:id="rId563" ref="C407"/>
    <hyperlink r:id="rId564" ref="D407"/>
    <hyperlink r:id="rId565" ref="C408"/>
    <hyperlink r:id="rId566" ref="D408"/>
    <hyperlink r:id="rId567" ref="C409"/>
    <hyperlink r:id="rId568" ref="D409"/>
    <hyperlink r:id="rId569" ref="C411"/>
    <hyperlink r:id="rId570" ref="D411"/>
    <hyperlink r:id="rId571" ref="C413"/>
    <hyperlink r:id="rId572" ref="D413"/>
    <hyperlink r:id="rId573" ref="C414"/>
    <hyperlink r:id="rId574" ref="D414"/>
    <hyperlink r:id="rId575" ref="C415"/>
    <hyperlink r:id="rId576" ref="D415"/>
    <hyperlink r:id="rId577" ref="D416"/>
    <hyperlink r:id="rId578" ref="C417"/>
    <hyperlink r:id="rId579" ref="D417"/>
    <hyperlink r:id="rId580" ref="C418"/>
    <hyperlink r:id="rId581" ref="C419"/>
    <hyperlink r:id="rId582" ref="D419"/>
    <hyperlink r:id="rId583" ref="C420"/>
    <hyperlink r:id="rId584" ref="D420"/>
    <hyperlink r:id="rId585" ref="C421"/>
    <hyperlink r:id="rId586" ref="D421"/>
    <hyperlink r:id="rId587" ref="C422"/>
    <hyperlink r:id="rId588" ref="D422"/>
    <hyperlink r:id="rId589" ref="C423"/>
    <hyperlink r:id="rId590" ref="D423"/>
    <hyperlink r:id="rId591" ref="C424"/>
    <hyperlink r:id="rId592" ref="C425"/>
    <hyperlink r:id="rId593" ref="C426"/>
    <hyperlink r:id="rId594" ref="C427"/>
    <hyperlink r:id="rId595" ref="C428"/>
    <hyperlink r:id="rId596" ref="D428"/>
    <hyperlink r:id="rId597" ref="C429"/>
    <hyperlink r:id="rId598" ref="C430"/>
    <hyperlink r:id="rId599" ref="D430"/>
    <hyperlink r:id="rId600" ref="C431"/>
    <hyperlink r:id="rId601" ref="D431"/>
    <hyperlink r:id="rId602" ref="C432"/>
    <hyperlink r:id="rId603" ref="D432"/>
    <hyperlink r:id="rId604" ref="C434"/>
    <hyperlink r:id="rId605" ref="D434"/>
    <hyperlink r:id="rId606" ref="C435"/>
    <hyperlink r:id="rId607" ref="D435"/>
    <hyperlink r:id="rId608" ref="C436"/>
    <hyperlink r:id="rId609" ref="C437"/>
    <hyperlink r:id="rId610" ref="D437"/>
    <hyperlink r:id="rId611" ref="C440"/>
    <hyperlink r:id="rId612" ref="D440"/>
    <hyperlink r:id="rId613" ref="C441"/>
    <hyperlink r:id="rId614" ref="D441"/>
    <hyperlink r:id="rId615" ref="C442"/>
    <hyperlink r:id="rId616" ref="D442"/>
    <hyperlink r:id="rId617" ref="C443"/>
    <hyperlink r:id="rId618" ref="D443"/>
    <hyperlink r:id="rId619" ref="C444"/>
    <hyperlink r:id="rId620" ref="D444"/>
    <hyperlink r:id="rId621" ref="C445"/>
    <hyperlink r:id="rId622" ref="D445"/>
    <hyperlink r:id="rId623" ref="C446"/>
    <hyperlink r:id="rId624" ref="D446"/>
    <hyperlink r:id="rId625" ref="C447"/>
    <hyperlink r:id="rId626" ref="D447"/>
    <hyperlink r:id="rId627" ref="C448"/>
    <hyperlink r:id="rId628" ref="C449"/>
    <hyperlink r:id="rId629" ref="D449"/>
    <hyperlink r:id="rId630" ref="D450"/>
    <hyperlink r:id="rId631" ref="C451"/>
    <hyperlink r:id="rId632" ref="D451"/>
    <hyperlink r:id="rId633" ref="C452"/>
    <hyperlink r:id="rId634" ref="D452"/>
    <hyperlink r:id="rId635" ref="C453"/>
    <hyperlink r:id="rId636" ref="D453"/>
    <hyperlink r:id="rId637" ref="C454"/>
    <hyperlink r:id="rId638" ref="D454"/>
    <hyperlink r:id="rId639" ref="C455"/>
    <hyperlink r:id="rId640" ref="D455"/>
    <hyperlink r:id="rId641" ref="C456"/>
    <hyperlink r:id="rId642" ref="D456"/>
    <hyperlink r:id="rId643" ref="C457"/>
    <hyperlink r:id="rId644" ref="D458"/>
    <hyperlink r:id="rId645" ref="C460"/>
    <hyperlink r:id="rId646" ref="C461"/>
    <hyperlink r:id="rId647" ref="D461"/>
    <hyperlink r:id="rId648" ref="C462"/>
    <hyperlink r:id="rId649" ref="D462"/>
    <hyperlink r:id="rId650" ref="C463"/>
    <hyperlink r:id="rId651" ref="D463"/>
    <hyperlink r:id="rId652" ref="C464"/>
    <hyperlink r:id="rId653" ref="C465"/>
    <hyperlink r:id="rId654" ref="D465"/>
    <hyperlink r:id="rId655" ref="C466"/>
    <hyperlink r:id="rId656" ref="D466"/>
    <hyperlink r:id="rId657" ref="D467"/>
    <hyperlink r:id="rId658" ref="C468"/>
    <hyperlink r:id="rId659" ref="D468"/>
    <hyperlink r:id="rId660" ref="C469"/>
    <hyperlink r:id="rId661" ref="D469"/>
    <hyperlink r:id="rId662" ref="C472"/>
    <hyperlink r:id="rId663" ref="C473"/>
    <hyperlink r:id="rId664" ref="C474"/>
    <hyperlink r:id="rId665" ref="D474"/>
    <hyperlink r:id="rId666" ref="C475"/>
    <hyperlink r:id="rId667" ref="C476"/>
    <hyperlink r:id="rId668" ref="C477"/>
    <hyperlink r:id="rId669" ref="D477"/>
    <hyperlink r:id="rId670" ref="C479"/>
    <hyperlink r:id="rId671" ref="D479"/>
    <hyperlink r:id="rId672" ref="C480"/>
    <hyperlink r:id="rId673" ref="D480"/>
    <hyperlink r:id="rId674" ref="C481"/>
    <hyperlink r:id="rId675" ref="D481"/>
    <hyperlink r:id="rId676" ref="D482"/>
    <hyperlink r:id="rId677" ref="C483"/>
    <hyperlink r:id="rId678" ref="C485"/>
    <hyperlink r:id="rId679" ref="D485"/>
    <hyperlink r:id="rId680" ref="C486"/>
    <hyperlink r:id="rId681" ref="D486"/>
    <hyperlink r:id="rId682" ref="C488"/>
    <hyperlink r:id="rId683" ref="D488"/>
    <hyperlink r:id="rId684" ref="C489"/>
    <hyperlink r:id="rId685" ref="D489"/>
    <hyperlink r:id="rId686" ref="C490"/>
    <hyperlink r:id="rId687" ref="D490"/>
    <hyperlink r:id="rId688" ref="C491"/>
    <hyperlink r:id="rId689" ref="D491"/>
    <hyperlink r:id="rId690" ref="C492"/>
    <hyperlink r:id="rId691" ref="D492"/>
    <hyperlink r:id="rId692" ref="C493"/>
    <hyperlink r:id="rId693" ref="C494"/>
    <hyperlink r:id="rId694" ref="C495"/>
    <hyperlink r:id="rId695" ref="C496"/>
    <hyperlink r:id="rId696" ref="D496"/>
    <hyperlink r:id="rId697" ref="C497"/>
    <hyperlink r:id="rId698" ref="D497"/>
    <hyperlink r:id="rId699" ref="C498"/>
    <hyperlink r:id="rId700" ref="C499"/>
    <hyperlink r:id="rId701" ref="D499"/>
    <hyperlink r:id="rId702" ref="C500"/>
    <hyperlink r:id="rId703" ref="C501"/>
    <hyperlink r:id="rId704" ref="C502"/>
    <hyperlink r:id="rId705" ref="D502"/>
    <hyperlink r:id="rId706" ref="C503"/>
    <hyperlink r:id="rId707" ref="D503"/>
    <hyperlink r:id="rId708" ref="C504"/>
    <hyperlink r:id="rId709" ref="D504"/>
    <hyperlink r:id="rId710" ref="C506"/>
    <hyperlink r:id="rId711" ref="D506"/>
    <hyperlink r:id="rId712" ref="C508"/>
    <hyperlink r:id="rId713" ref="C510"/>
    <hyperlink r:id="rId714" ref="D510"/>
    <hyperlink r:id="rId715" ref="C511"/>
    <hyperlink r:id="rId716" ref="C512"/>
    <hyperlink r:id="rId717" ref="D512"/>
    <hyperlink r:id="rId718" ref="C514"/>
    <hyperlink r:id="rId719" ref="C515"/>
    <hyperlink r:id="rId720" ref="D515"/>
    <hyperlink r:id="rId721" ref="C516"/>
    <hyperlink r:id="rId722" ref="D516"/>
    <hyperlink r:id="rId723" ref="C517"/>
    <hyperlink r:id="rId724" ref="D517"/>
    <hyperlink r:id="rId725" ref="C518"/>
    <hyperlink r:id="rId726" ref="D518"/>
    <hyperlink r:id="rId727" ref="C519"/>
    <hyperlink r:id="rId728" ref="D519"/>
    <hyperlink r:id="rId729" ref="C520"/>
    <hyperlink r:id="rId730" ref="D520"/>
    <hyperlink r:id="rId731" ref="C521"/>
    <hyperlink r:id="rId732" ref="C522"/>
    <hyperlink r:id="rId733" ref="D522"/>
    <hyperlink r:id="rId734" ref="C523"/>
    <hyperlink r:id="rId735" ref="D524"/>
    <hyperlink r:id="rId736" ref="C525"/>
    <hyperlink r:id="rId737" ref="D525"/>
    <hyperlink r:id="rId738" ref="C527"/>
    <hyperlink r:id="rId739" ref="C528"/>
    <hyperlink r:id="rId740" ref="D528"/>
    <hyperlink r:id="rId741" ref="C529"/>
    <hyperlink r:id="rId742" ref="D529"/>
    <hyperlink r:id="rId743" ref="C530"/>
    <hyperlink r:id="rId744" ref="C531"/>
    <hyperlink r:id="rId745" ref="D531"/>
    <hyperlink r:id="rId746" ref="C532"/>
    <hyperlink r:id="rId747" ref="D532"/>
    <hyperlink r:id="rId748" ref="C533"/>
    <hyperlink r:id="rId749" ref="D533"/>
    <hyperlink r:id="rId750" ref="C534"/>
    <hyperlink r:id="rId751" ref="D534"/>
    <hyperlink r:id="rId752" ref="C535"/>
    <hyperlink r:id="rId753" ref="C536"/>
    <hyperlink r:id="rId754" ref="D536"/>
    <hyperlink r:id="rId755" ref="C537"/>
    <hyperlink r:id="rId756" ref="D537"/>
    <hyperlink r:id="rId757" ref="C538"/>
    <hyperlink r:id="rId758" ref="C539"/>
    <hyperlink r:id="rId759" ref="D539"/>
    <hyperlink r:id="rId760" ref="C542"/>
    <hyperlink r:id="rId761" ref="D542"/>
    <hyperlink r:id="rId762" ref="C543"/>
    <hyperlink r:id="rId763" ref="D543"/>
    <hyperlink r:id="rId764" ref="C544"/>
    <hyperlink r:id="rId765" ref="C545"/>
    <hyperlink r:id="rId766" ref="D545"/>
    <hyperlink r:id="rId767" ref="C546"/>
    <hyperlink r:id="rId768" ref="D546"/>
    <hyperlink r:id="rId769" ref="C547"/>
    <hyperlink r:id="rId770" ref="D547"/>
    <hyperlink r:id="rId771" ref="C549"/>
    <hyperlink r:id="rId772" ref="D549"/>
    <hyperlink r:id="rId773" ref="C551"/>
    <hyperlink r:id="rId774" ref="D551"/>
    <hyperlink r:id="rId775" ref="C552"/>
    <hyperlink r:id="rId776" ref="D552"/>
    <hyperlink r:id="rId777" ref="D553"/>
    <hyperlink r:id="rId778" ref="D554"/>
    <hyperlink r:id="rId779" ref="C555"/>
    <hyperlink r:id="rId780" ref="D555"/>
    <hyperlink r:id="rId781" ref="D556"/>
    <hyperlink r:id="rId782" ref="C557"/>
    <hyperlink r:id="rId783" ref="D557"/>
    <hyperlink r:id="rId784" ref="C558"/>
    <hyperlink r:id="rId785" ref="D558"/>
    <hyperlink r:id="rId786" ref="C559"/>
    <hyperlink r:id="rId787" ref="C560"/>
    <hyperlink r:id="rId788" ref="D560"/>
    <hyperlink r:id="rId789" ref="C561"/>
    <hyperlink r:id="rId790" ref="D561"/>
    <hyperlink r:id="rId791" ref="C562"/>
    <hyperlink r:id="rId792" ref="D562"/>
    <hyperlink r:id="rId793" ref="C563"/>
    <hyperlink r:id="rId794" ref="D563"/>
    <hyperlink r:id="rId795" ref="C564"/>
    <hyperlink r:id="rId796" ref="D564"/>
    <hyperlink r:id="rId797" ref="C565"/>
    <hyperlink r:id="rId798" ref="D565"/>
    <hyperlink r:id="rId799" ref="C566"/>
    <hyperlink r:id="rId800" ref="D566"/>
    <hyperlink r:id="rId801" ref="C567"/>
    <hyperlink r:id="rId802" ref="D567"/>
    <hyperlink r:id="rId803" ref="C568"/>
    <hyperlink r:id="rId804" ref="D568"/>
    <hyperlink r:id="rId805" ref="C569"/>
    <hyperlink r:id="rId806" ref="D569"/>
    <hyperlink r:id="rId807" ref="C570"/>
    <hyperlink r:id="rId808" ref="D570"/>
    <hyperlink r:id="rId809" ref="C572"/>
    <hyperlink r:id="rId810" ref="D572"/>
    <hyperlink r:id="rId811" ref="C573"/>
    <hyperlink r:id="rId812" ref="C574"/>
    <hyperlink r:id="rId813" ref="D574"/>
    <hyperlink r:id="rId814" ref="D575"/>
    <hyperlink r:id="rId815" ref="C576"/>
    <hyperlink r:id="rId816" ref="D576"/>
    <hyperlink r:id="rId817" ref="C578"/>
    <hyperlink r:id="rId818" ref="D578"/>
    <hyperlink r:id="rId819" ref="C579"/>
    <hyperlink r:id="rId820" ref="D579"/>
    <hyperlink r:id="rId821" ref="C580"/>
    <hyperlink r:id="rId822" ref="D580"/>
    <hyperlink r:id="rId823" ref="C581"/>
    <hyperlink r:id="rId824" ref="D581"/>
    <hyperlink r:id="rId825" ref="C582"/>
    <hyperlink r:id="rId826" ref="D582"/>
    <hyperlink r:id="rId827" ref="C583"/>
    <hyperlink r:id="rId828" ref="D583"/>
    <hyperlink r:id="rId829" ref="C584"/>
    <hyperlink r:id="rId830" ref="D584"/>
    <hyperlink r:id="rId831" ref="C585"/>
    <hyperlink r:id="rId832" ref="D585"/>
    <hyperlink r:id="rId833" ref="C586"/>
    <hyperlink r:id="rId834" ref="D586"/>
    <hyperlink r:id="rId835" ref="C587"/>
    <hyperlink r:id="rId836" ref="D587"/>
    <hyperlink r:id="rId837" ref="C588"/>
    <hyperlink r:id="rId838" ref="D588"/>
    <hyperlink r:id="rId839" ref="C589"/>
    <hyperlink r:id="rId840" ref="D589"/>
    <hyperlink r:id="rId841" ref="C591"/>
    <hyperlink r:id="rId842" ref="D591"/>
    <hyperlink r:id="rId843" ref="C592"/>
    <hyperlink r:id="rId844" ref="D592"/>
    <hyperlink r:id="rId845" ref="C594"/>
    <hyperlink r:id="rId846" ref="D594"/>
    <hyperlink r:id="rId847" ref="C596"/>
    <hyperlink r:id="rId848" ref="D596"/>
    <hyperlink r:id="rId849" ref="C597"/>
    <hyperlink r:id="rId850" ref="C598"/>
    <hyperlink r:id="rId851" ref="D598"/>
    <hyperlink r:id="rId852" ref="C599"/>
    <hyperlink r:id="rId853" ref="C600"/>
    <hyperlink r:id="rId854" ref="C601"/>
    <hyperlink r:id="rId855" ref="D601"/>
    <hyperlink r:id="rId856" ref="C604"/>
    <hyperlink r:id="rId857" ref="D604"/>
    <hyperlink r:id="rId858" ref="D605"/>
    <hyperlink r:id="rId859" ref="D606"/>
    <hyperlink r:id="rId860" ref="C607"/>
    <hyperlink r:id="rId861" ref="C609"/>
    <hyperlink r:id="rId862" ref="D609"/>
    <hyperlink r:id="rId863" ref="D610"/>
    <hyperlink r:id="rId864" ref="C611"/>
    <hyperlink r:id="rId865" ref="D611"/>
    <hyperlink r:id="rId866" ref="C612"/>
    <hyperlink r:id="rId867" ref="C613"/>
    <hyperlink r:id="rId868" ref="D613"/>
    <hyperlink r:id="rId869" ref="C615"/>
    <hyperlink r:id="rId870" ref="C616"/>
    <hyperlink r:id="rId871" ref="D616"/>
    <hyperlink r:id="rId872" ref="C618"/>
    <hyperlink r:id="rId873" ref="C619"/>
    <hyperlink r:id="rId874" ref="D619"/>
    <hyperlink r:id="rId875" ref="C620"/>
    <hyperlink r:id="rId876" ref="C621"/>
    <hyperlink r:id="rId877" ref="C623"/>
    <hyperlink r:id="rId878" ref="C625"/>
    <hyperlink r:id="rId879" ref="D625"/>
    <hyperlink r:id="rId880" ref="C627"/>
    <hyperlink r:id="rId881" ref="C628"/>
    <hyperlink r:id="rId882" ref="D628"/>
    <hyperlink r:id="rId883" ref="C629"/>
    <hyperlink r:id="rId884" ref="D629"/>
    <hyperlink r:id="rId885" ref="C630"/>
    <hyperlink r:id="rId886" ref="D630"/>
    <hyperlink r:id="rId887" ref="C631"/>
    <hyperlink r:id="rId888" ref="D631"/>
    <hyperlink r:id="rId889" ref="C632"/>
    <hyperlink r:id="rId890" ref="D632"/>
    <hyperlink r:id="rId891" ref="C634"/>
    <hyperlink r:id="rId892" ref="C636"/>
    <hyperlink r:id="rId893" ref="C637"/>
    <hyperlink r:id="rId894" ref="D637"/>
    <hyperlink r:id="rId895" ref="C638"/>
    <hyperlink r:id="rId896" ref="D638"/>
    <hyperlink r:id="rId897" ref="D639"/>
    <hyperlink r:id="rId898" ref="C640"/>
    <hyperlink r:id="rId899" ref="D640"/>
    <hyperlink r:id="rId900" ref="C641"/>
    <hyperlink r:id="rId901" ref="D641"/>
    <hyperlink r:id="rId902" ref="C642"/>
    <hyperlink r:id="rId903" ref="C644"/>
    <hyperlink r:id="rId904" ref="D644"/>
    <hyperlink r:id="rId905" ref="C645"/>
    <hyperlink r:id="rId906" ref="D645"/>
    <hyperlink r:id="rId907" ref="C646"/>
    <hyperlink r:id="rId908" ref="D646"/>
    <hyperlink r:id="rId909" ref="C647"/>
    <hyperlink r:id="rId910" ref="D647"/>
    <hyperlink r:id="rId911" ref="C648"/>
    <hyperlink r:id="rId912" ref="C649"/>
    <hyperlink r:id="rId913" ref="D651"/>
    <hyperlink r:id="rId914" ref="C652"/>
    <hyperlink r:id="rId915" ref="D652"/>
    <hyperlink r:id="rId916" ref="C653"/>
    <hyperlink r:id="rId917" ref="D653"/>
    <hyperlink r:id="rId918" ref="C654"/>
    <hyperlink r:id="rId919" ref="C655"/>
    <hyperlink r:id="rId920" ref="C656"/>
    <hyperlink r:id="rId921" ref="C657"/>
    <hyperlink r:id="rId922" ref="C658"/>
    <hyperlink r:id="rId923" ref="D658"/>
    <hyperlink r:id="rId924" ref="C659"/>
    <hyperlink r:id="rId925" ref="D659"/>
    <hyperlink r:id="rId926" ref="C660"/>
    <hyperlink r:id="rId927" ref="D660"/>
    <hyperlink r:id="rId928" ref="C661"/>
    <hyperlink r:id="rId929" ref="D661"/>
    <hyperlink r:id="rId930" ref="D662"/>
    <hyperlink r:id="rId931" ref="C663"/>
    <hyperlink r:id="rId932" ref="D663"/>
    <hyperlink r:id="rId933" ref="C664"/>
    <hyperlink r:id="rId934" ref="D664"/>
    <hyperlink r:id="rId935" ref="C665"/>
    <hyperlink r:id="rId936" ref="D665"/>
    <hyperlink r:id="rId937" ref="C668"/>
    <hyperlink r:id="rId938" ref="C669"/>
    <hyperlink r:id="rId939" ref="D669"/>
    <hyperlink r:id="rId940" ref="C670"/>
    <hyperlink r:id="rId941" ref="D670"/>
    <hyperlink r:id="rId942" ref="C671"/>
    <hyperlink r:id="rId943" ref="D671"/>
    <hyperlink r:id="rId944" ref="C672"/>
    <hyperlink r:id="rId945" ref="D672"/>
    <hyperlink r:id="rId946" ref="D675"/>
    <hyperlink r:id="rId947" ref="C676"/>
    <hyperlink r:id="rId948" ref="D676"/>
    <hyperlink r:id="rId949" ref="C677"/>
    <hyperlink r:id="rId950" ref="D677"/>
    <hyperlink r:id="rId951" ref="C678"/>
    <hyperlink r:id="rId952" ref="D678"/>
    <hyperlink r:id="rId953" ref="D679"/>
    <hyperlink r:id="rId954" ref="C680"/>
    <hyperlink r:id="rId955" ref="D680"/>
    <hyperlink r:id="rId956" ref="C681"/>
    <hyperlink r:id="rId957" ref="D681"/>
    <hyperlink r:id="rId958" ref="C682"/>
    <hyperlink r:id="rId959" ref="C683"/>
    <hyperlink r:id="rId960" ref="D683"/>
    <hyperlink r:id="rId961" ref="C684"/>
    <hyperlink r:id="rId962" ref="D684"/>
    <hyperlink r:id="rId963" ref="C685"/>
    <hyperlink r:id="rId964" ref="D685"/>
    <hyperlink r:id="rId965" ref="C686"/>
    <hyperlink r:id="rId966" ref="D686"/>
    <hyperlink r:id="rId967" ref="C687"/>
    <hyperlink r:id="rId968" ref="D687"/>
    <hyperlink r:id="rId969" ref="C688"/>
    <hyperlink r:id="rId970" ref="D688"/>
    <hyperlink r:id="rId971" ref="C689"/>
    <hyperlink r:id="rId972" ref="D689"/>
    <hyperlink r:id="rId973" ref="D690"/>
    <hyperlink r:id="rId974" ref="C691"/>
    <hyperlink r:id="rId975" ref="C692"/>
    <hyperlink r:id="rId976" ref="C694"/>
    <hyperlink r:id="rId977" ref="D694"/>
    <hyperlink r:id="rId978" ref="C695"/>
    <hyperlink r:id="rId979" ref="D695"/>
    <hyperlink r:id="rId980" ref="D696"/>
    <hyperlink r:id="rId981" ref="C698"/>
    <hyperlink r:id="rId982" ref="D698"/>
    <hyperlink r:id="rId983" ref="C699"/>
    <hyperlink r:id="rId984" ref="D699"/>
    <hyperlink r:id="rId985" ref="C700"/>
    <hyperlink r:id="rId986" ref="D700"/>
    <hyperlink r:id="rId987" ref="C701"/>
    <hyperlink r:id="rId988" ref="D701"/>
    <hyperlink r:id="rId989" ref="C702"/>
    <hyperlink r:id="rId990" ref="D702"/>
    <hyperlink r:id="rId991" ref="C704"/>
    <hyperlink r:id="rId992" ref="D704"/>
    <hyperlink r:id="rId993" ref="D708"/>
    <hyperlink r:id="rId994" ref="N708"/>
    <hyperlink r:id="rId995" ref="C709"/>
    <hyperlink r:id="rId996" ref="D709"/>
    <hyperlink r:id="rId997" ref="C710"/>
    <hyperlink r:id="rId998" ref="D710"/>
    <hyperlink r:id="rId999" ref="C711"/>
    <hyperlink r:id="rId1000" ref="D711"/>
    <hyperlink r:id="rId1001" ref="C712"/>
    <hyperlink r:id="rId1002" ref="D712"/>
    <hyperlink r:id="rId1003" ref="C713"/>
    <hyperlink r:id="rId1004" ref="D713"/>
    <hyperlink r:id="rId1005" ref="C714"/>
    <hyperlink r:id="rId1006" ref="D714"/>
    <hyperlink r:id="rId1007" ref="C715"/>
    <hyperlink r:id="rId1008" ref="D715"/>
    <hyperlink r:id="rId1009" ref="C717"/>
    <hyperlink r:id="rId1010" ref="D717"/>
    <hyperlink r:id="rId1011" ref="C718"/>
    <hyperlink r:id="rId1012" ref="C719"/>
    <hyperlink r:id="rId1013" ref="D719"/>
    <hyperlink r:id="rId1014" ref="C722"/>
    <hyperlink r:id="rId1015" ref="D722"/>
    <hyperlink r:id="rId1016" ref="C723"/>
    <hyperlink r:id="rId1017" ref="D723"/>
    <hyperlink r:id="rId1018" ref="C724"/>
    <hyperlink r:id="rId1019" ref="D724"/>
    <hyperlink r:id="rId1020" ref="C725"/>
    <hyperlink r:id="rId1021" ref="D725"/>
    <hyperlink r:id="rId1022" ref="C726"/>
    <hyperlink r:id="rId1023" ref="D726"/>
    <hyperlink r:id="rId1024" ref="D727"/>
    <hyperlink r:id="rId1025" ref="C728"/>
    <hyperlink r:id="rId1026" ref="D728"/>
    <hyperlink r:id="rId1027" ref="C729"/>
    <hyperlink r:id="rId1028" ref="D729"/>
    <hyperlink r:id="rId1029" ref="C730"/>
    <hyperlink r:id="rId1030" ref="D730"/>
    <hyperlink r:id="rId1031" ref="C731"/>
    <hyperlink r:id="rId1032" ref="D731"/>
    <hyperlink r:id="rId1033" ref="C732"/>
    <hyperlink r:id="rId1034" ref="D732"/>
    <hyperlink r:id="rId1035" ref="C733"/>
    <hyperlink r:id="rId1036" ref="D733"/>
    <hyperlink r:id="rId1037" ref="C734"/>
    <hyperlink r:id="rId1038" ref="D734"/>
    <hyperlink r:id="rId1039" ref="C735"/>
    <hyperlink r:id="rId1040" ref="D735"/>
    <hyperlink r:id="rId1041" ref="C736"/>
    <hyperlink r:id="rId1042" ref="D736"/>
    <hyperlink r:id="rId1043" ref="C737"/>
    <hyperlink r:id="rId1044" ref="D737"/>
    <hyperlink r:id="rId1045" ref="C738"/>
    <hyperlink r:id="rId1046" ref="D738"/>
    <hyperlink r:id="rId1047" ref="D739"/>
    <hyperlink r:id="rId1048" ref="D740"/>
    <hyperlink r:id="rId1049" ref="C742"/>
    <hyperlink r:id="rId1050" ref="D742"/>
    <hyperlink r:id="rId1051" ref="C743"/>
    <hyperlink r:id="rId1052" ref="C744"/>
    <hyperlink r:id="rId1053" ref="D744"/>
    <hyperlink r:id="rId1054" ref="C745"/>
    <hyperlink r:id="rId1055" ref="D745"/>
    <hyperlink r:id="rId1056" ref="C747"/>
    <hyperlink r:id="rId1057" ref="D747"/>
    <hyperlink r:id="rId1058" ref="C748"/>
    <hyperlink r:id="rId1059" ref="D748"/>
    <hyperlink r:id="rId1060" ref="C749"/>
    <hyperlink r:id="rId1061" ref="D749"/>
    <hyperlink r:id="rId1062" ref="C750"/>
    <hyperlink r:id="rId1063" ref="D750"/>
    <hyperlink r:id="rId1064" ref="C751"/>
    <hyperlink r:id="rId1065" ref="D751"/>
    <hyperlink r:id="rId1066" ref="C752"/>
    <hyperlink r:id="rId1067" ref="C753"/>
    <hyperlink r:id="rId1068" ref="D753"/>
    <hyperlink r:id="rId1069" ref="C754"/>
    <hyperlink r:id="rId1070" ref="D754"/>
    <hyperlink r:id="rId1071" ref="C755"/>
    <hyperlink r:id="rId1072" ref="C756"/>
    <hyperlink r:id="rId1073" ref="D756"/>
    <hyperlink r:id="rId1074" ref="C757"/>
    <hyperlink r:id="rId1075" ref="D757"/>
    <hyperlink r:id="rId1076" ref="C758"/>
    <hyperlink r:id="rId1077" ref="D758"/>
    <hyperlink r:id="rId1078" ref="C759"/>
    <hyperlink r:id="rId1079" ref="D759"/>
    <hyperlink r:id="rId1080" ref="C760"/>
    <hyperlink r:id="rId1081" ref="D760"/>
    <hyperlink r:id="rId1082" ref="C761"/>
    <hyperlink r:id="rId1083" ref="C762"/>
    <hyperlink r:id="rId1084" ref="C764"/>
    <hyperlink r:id="rId1085" ref="C765"/>
    <hyperlink r:id="rId1086" ref="C766"/>
    <hyperlink r:id="rId1087" ref="D766"/>
    <hyperlink r:id="rId1088" ref="C767"/>
    <hyperlink r:id="rId1089" ref="D767"/>
    <hyperlink r:id="rId1090" ref="C768"/>
    <hyperlink r:id="rId1091" ref="D768"/>
    <hyperlink r:id="rId1092" ref="C769"/>
    <hyperlink r:id="rId1093" ref="D769"/>
    <hyperlink r:id="rId1094" ref="C770"/>
    <hyperlink r:id="rId1095" ref="D770"/>
    <hyperlink r:id="rId1096" ref="C772"/>
    <hyperlink r:id="rId1097" ref="D772"/>
    <hyperlink r:id="rId1098" ref="D773"/>
    <hyperlink r:id="rId1099" ref="C775"/>
    <hyperlink r:id="rId1100" ref="D775"/>
    <hyperlink r:id="rId1101" ref="C776"/>
    <hyperlink r:id="rId1102" ref="D776"/>
    <hyperlink r:id="rId1103" ref="C777"/>
    <hyperlink r:id="rId1104" ref="D777"/>
    <hyperlink r:id="rId1105" ref="C778"/>
    <hyperlink r:id="rId1106" ref="D778"/>
    <hyperlink r:id="rId1107" ref="C780"/>
    <hyperlink r:id="rId1108" ref="D780"/>
    <hyperlink r:id="rId1109" ref="C782"/>
    <hyperlink r:id="rId1110" ref="C783"/>
    <hyperlink r:id="rId1111" ref="D783"/>
    <hyperlink r:id="rId1112" ref="C784"/>
    <hyperlink r:id="rId1113" ref="D784"/>
    <hyperlink r:id="rId1114" ref="C785"/>
    <hyperlink r:id="rId1115" ref="D785"/>
    <hyperlink r:id="rId1116" ref="C787"/>
    <hyperlink r:id="rId1117" ref="D787"/>
    <hyperlink r:id="rId1118" ref="C788"/>
    <hyperlink r:id="rId1119" ref="D788"/>
    <hyperlink r:id="rId1120" ref="C789"/>
    <hyperlink r:id="rId1121" ref="C790"/>
    <hyperlink r:id="rId1122" ref="D790"/>
    <hyperlink r:id="rId1123" ref="C791"/>
    <hyperlink r:id="rId1124" ref="D791"/>
    <hyperlink r:id="rId1125" ref="C792"/>
    <hyperlink r:id="rId1126" ref="D792"/>
    <hyperlink r:id="rId1127" ref="C793"/>
    <hyperlink r:id="rId1128" ref="D793"/>
    <hyperlink r:id="rId1129" ref="C794"/>
    <hyperlink r:id="rId1130" ref="D794"/>
    <hyperlink r:id="rId1131" ref="C795"/>
    <hyperlink r:id="rId1132" ref="D795"/>
    <hyperlink r:id="rId1133" ref="C796"/>
    <hyperlink r:id="rId1134" ref="C797"/>
    <hyperlink r:id="rId1135" ref="D797"/>
    <hyperlink r:id="rId1136" ref="C798"/>
    <hyperlink r:id="rId1137" ref="D798"/>
    <hyperlink r:id="rId1138" ref="C799"/>
    <hyperlink r:id="rId1139" ref="D799"/>
    <hyperlink r:id="rId1140" ref="C800"/>
    <hyperlink r:id="rId1141" ref="D800"/>
    <hyperlink r:id="rId1142" ref="C801"/>
    <hyperlink r:id="rId1143" ref="D801"/>
    <hyperlink r:id="rId1144" ref="C802"/>
    <hyperlink r:id="rId1145" ref="D802"/>
    <hyperlink r:id="rId1146" ref="C803"/>
    <hyperlink r:id="rId1147" ref="D803"/>
    <hyperlink r:id="rId1148" ref="C804"/>
    <hyperlink r:id="rId1149" ref="D804"/>
    <hyperlink r:id="rId1150" ref="C805"/>
    <hyperlink r:id="rId1151" ref="D805"/>
    <hyperlink r:id="rId1152" ref="C806"/>
    <hyperlink r:id="rId1153" ref="D806"/>
    <hyperlink r:id="rId1154" ref="C807"/>
    <hyperlink r:id="rId1155" ref="D807"/>
    <hyperlink r:id="rId1156" ref="D808"/>
    <hyperlink r:id="rId1157" ref="C809"/>
    <hyperlink r:id="rId1158" ref="D809"/>
    <hyperlink r:id="rId1159" ref="C810"/>
    <hyperlink r:id="rId1160" ref="D810"/>
    <hyperlink r:id="rId1161" ref="C811"/>
    <hyperlink r:id="rId1162" ref="D811"/>
    <hyperlink r:id="rId1163" ref="C812"/>
    <hyperlink r:id="rId1164" ref="D812"/>
    <hyperlink r:id="rId1165" ref="C813"/>
    <hyperlink r:id="rId1166" ref="D813"/>
    <hyperlink r:id="rId1167" ref="C814"/>
    <hyperlink r:id="rId1168" ref="C815"/>
    <hyperlink r:id="rId1169" ref="C816"/>
    <hyperlink r:id="rId1170" ref="D816"/>
    <hyperlink r:id="rId1171" ref="C817"/>
    <hyperlink r:id="rId1172" ref="C820"/>
    <hyperlink r:id="rId1173" ref="C821"/>
    <hyperlink r:id="rId1174" ref="D821"/>
    <hyperlink r:id="rId1175" ref="C824"/>
    <hyperlink r:id="rId1176" ref="D824"/>
    <hyperlink r:id="rId1177" ref="D825"/>
    <hyperlink r:id="rId1178" ref="D826"/>
    <hyperlink r:id="rId1179" ref="D827"/>
    <hyperlink r:id="rId1180" ref="D828"/>
    <hyperlink r:id="rId1181" ref="C829"/>
    <hyperlink r:id="rId1182" ref="D829"/>
    <hyperlink r:id="rId1183" ref="C830"/>
    <hyperlink r:id="rId1184" ref="D830"/>
    <hyperlink r:id="rId1185" ref="D831"/>
    <hyperlink r:id="rId1186" ref="D832"/>
    <hyperlink r:id="rId1187" ref="D840"/>
    <hyperlink r:id="rId1188" ref="D841"/>
    <hyperlink r:id="rId1189" ref="D842"/>
    <hyperlink r:id="rId1190" ref="D843"/>
    <hyperlink r:id="rId1191" ref="D844"/>
    <hyperlink r:id="rId1192" ref="D845"/>
    <hyperlink r:id="rId1193" ref="D846"/>
    <hyperlink r:id="rId1194" ref="D847"/>
    <hyperlink r:id="rId1195" ref="D848"/>
    <hyperlink r:id="rId1196" ref="D849"/>
    <hyperlink r:id="rId1197" ref="C850"/>
    <hyperlink r:id="rId1198" ref="D850"/>
    <hyperlink r:id="rId1199" ref="D851"/>
    <hyperlink r:id="rId1200" ref="D852"/>
    <hyperlink r:id="rId1201" ref="D853"/>
    <hyperlink r:id="rId1202" ref="D855"/>
    <hyperlink r:id="rId1203" ref="D859"/>
    <hyperlink r:id="rId1204" ref="D860"/>
    <hyperlink r:id="rId1205" ref="D861"/>
    <hyperlink r:id="rId1206" ref="D862"/>
    <hyperlink r:id="rId1207" ref="D863"/>
    <hyperlink r:id="rId1208" ref="D864"/>
    <hyperlink r:id="rId1209" ref="D865"/>
    <hyperlink r:id="rId1210" ref="D867"/>
    <hyperlink r:id="rId1211" ref="D868"/>
    <hyperlink r:id="rId1212" ref="D869"/>
    <hyperlink r:id="rId1213" ref="D870"/>
    <hyperlink r:id="rId1214" ref="D871"/>
    <hyperlink r:id="rId1215" ref="D872"/>
    <hyperlink r:id="rId1216" ref="D873"/>
    <hyperlink r:id="rId1217" ref="D874"/>
    <hyperlink r:id="rId1218" ref="D875"/>
    <hyperlink r:id="rId1219" ref="D876"/>
    <hyperlink r:id="rId1220" ref="D877"/>
    <hyperlink r:id="rId1221" ref="D878"/>
    <hyperlink r:id="rId1222" ref="D879"/>
    <hyperlink r:id="rId1223" ref="D881"/>
    <hyperlink r:id="rId1224" ref="D882"/>
    <hyperlink r:id="rId1225" ref="D883"/>
    <hyperlink r:id="rId1226" ref="D884"/>
    <hyperlink r:id="rId1227" ref="D885"/>
    <hyperlink r:id="rId1228" ref="D886"/>
    <hyperlink r:id="rId1229" ref="D887"/>
    <hyperlink r:id="rId1230" ref="D888"/>
    <hyperlink r:id="rId1231" ref="D889"/>
    <hyperlink r:id="rId1232" ref="D890"/>
    <hyperlink r:id="rId1233" ref="D891"/>
    <hyperlink r:id="rId1234" ref="D893"/>
    <hyperlink r:id="rId1235" ref="D894"/>
    <hyperlink r:id="rId1236" ref="D895"/>
    <hyperlink r:id="rId1237" ref="D897"/>
    <hyperlink r:id="rId1238" ref="D898"/>
    <hyperlink r:id="rId1239" ref="D899"/>
    <hyperlink r:id="rId1240" ref="C900"/>
    <hyperlink r:id="rId1241" ref="D900"/>
    <hyperlink r:id="rId1242" ref="D910"/>
    <hyperlink r:id="rId1243" ref="D918"/>
    <hyperlink r:id="rId1244" ref="D922"/>
    <hyperlink r:id="rId1245" ref="C930"/>
    <hyperlink r:id="rId1246" ref="D930"/>
    <hyperlink r:id="rId1247" ref="C931"/>
    <hyperlink r:id="rId1248" ref="D931"/>
    <hyperlink r:id="rId1249" ref="C932"/>
    <hyperlink r:id="rId1250" ref="D932"/>
    <hyperlink r:id="rId1251" ref="D946"/>
    <hyperlink r:id="rId1252" ref="C947"/>
    <hyperlink r:id="rId1253" ref="D947"/>
    <hyperlink r:id="rId1254" ref="D948"/>
    <hyperlink r:id="rId1255" ref="D949"/>
    <hyperlink r:id="rId1256" ref="C950"/>
    <hyperlink r:id="rId1257" ref="D950"/>
    <hyperlink r:id="rId1258" ref="D951"/>
    <hyperlink r:id="rId1259" ref="D952"/>
    <hyperlink r:id="rId1260" ref="C953"/>
    <hyperlink r:id="rId1261" ref="D953"/>
    <hyperlink r:id="rId1262" ref="C954"/>
    <hyperlink r:id="rId1263" ref="D954"/>
    <hyperlink r:id="rId1264" ref="C955"/>
    <hyperlink r:id="rId1265" ref="D955"/>
    <hyperlink r:id="rId1266" ref="C956"/>
    <hyperlink r:id="rId1267" ref="D956"/>
    <hyperlink r:id="rId1268" ref="C957"/>
    <hyperlink r:id="rId1269" ref="D957"/>
    <hyperlink r:id="rId1270" ref="C958"/>
    <hyperlink r:id="rId1271" ref="D958"/>
  </hyperlinks>
  <printOptions/>
  <pageMargins bottom="0.75" footer="0.0" header="0.0" left="0.7" right="0.7" top="0.75"/>
  <pageSetup orientation="landscape"/>
  <drawing r:id="rId1272"/>
  <legacyDrawing r:id="rId12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 ht="25.5" customHeight="1">
      <c r="A1" s="270" t="s">
        <v>3009</v>
      </c>
      <c r="B1" s="270" t="s">
        <v>3010</v>
      </c>
      <c r="C1" s="270" t="s">
        <v>3011</v>
      </c>
      <c r="D1" s="270"/>
      <c r="E1" s="270" t="s">
        <v>3012</v>
      </c>
      <c r="F1" s="271" t="s">
        <v>3013</v>
      </c>
      <c r="G1" s="270" t="s">
        <v>3014</v>
      </c>
      <c r="H1" s="270" t="s">
        <v>3015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72" t="s">
        <v>3016</v>
      </c>
      <c r="B2" s="272" t="s">
        <v>3017</v>
      </c>
      <c r="C2" s="272" t="s">
        <v>21</v>
      </c>
      <c r="D2" s="272"/>
      <c r="E2" s="273">
        <v>5.7200986251E10</v>
      </c>
      <c r="F2" s="274">
        <v>0.0</v>
      </c>
      <c r="G2" s="274">
        <v>3.0</v>
      </c>
      <c r="H2" s="274">
        <v>0.0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A3" s="275" t="s">
        <v>3018</v>
      </c>
      <c r="B3" s="275" t="s">
        <v>3019</v>
      </c>
      <c r="C3" s="275" t="s">
        <v>137</v>
      </c>
      <c r="D3" s="275"/>
      <c r="E3" s="276">
        <v>6.701660322E9</v>
      </c>
      <c r="F3" s="277">
        <v>19.0</v>
      </c>
      <c r="G3" s="277">
        <v>110.0</v>
      </c>
      <c r="H3" s="277">
        <v>928.0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78" t="s">
        <v>3020</v>
      </c>
      <c r="B4" s="278" t="s">
        <v>3021</v>
      </c>
      <c r="C4" s="278" t="s">
        <v>21</v>
      </c>
      <c r="D4" s="278"/>
      <c r="E4" s="279">
        <v>3.52987132E10</v>
      </c>
      <c r="F4" s="280">
        <v>9.0</v>
      </c>
      <c r="G4" s="280">
        <v>56.0</v>
      </c>
      <c r="H4" s="280">
        <v>192.0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75" t="s">
        <v>3022</v>
      </c>
      <c r="B5" s="275" t="s">
        <v>3023</v>
      </c>
      <c r="C5" s="275" t="s">
        <v>36</v>
      </c>
      <c r="D5" s="275"/>
      <c r="E5" s="276">
        <v>6.507006637E9</v>
      </c>
      <c r="F5" s="277">
        <v>16.0</v>
      </c>
      <c r="G5" s="277">
        <v>56.0</v>
      </c>
      <c r="H5" s="277">
        <v>595.0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78" t="s">
        <v>3024</v>
      </c>
      <c r="B6" s="278" t="s">
        <v>3025</v>
      </c>
      <c r="C6" s="278" t="s">
        <v>41</v>
      </c>
      <c r="D6" s="278"/>
      <c r="E6" s="279">
        <v>5.7215830321E10</v>
      </c>
      <c r="F6" s="280">
        <v>0.0</v>
      </c>
      <c r="G6" s="280">
        <v>1.0</v>
      </c>
      <c r="H6" s="280">
        <v>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75" t="s">
        <v>3026</v>
      </c>
      <c r="B7" s="275" t="s">
        <v>3027</v>
      </c>
      <c r="C7" s="275" t="s">
        <v>46</v>
      </c>
      <c r="D7" s="275"/>
      <c r="E7" s="276">
        <v>2.44830706E10</v>
      </c>
      <c r="F7" s="277">
        <v>3.0</v>
      </c>
      <c r="G7" s="277">
        <v>15.0</v>
      </c>
      <c r="H7" s="277">
        <v>40.0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78" t="s">
        <v>3028</v>
      </c>
      <c r="B8" s="278" t="s">
        <v>3023</v>
      </c>
      <c r="C8" s="278" t="s">
        <v>51</v>
      </c>
      <c r="D8" s="278"/>
      <c r="E8" s="279">
        <v>2.44830013E10</v>
      </c>
      <c r="F8" s="280">
        <v>3.0</v>
      </c>
      <c r="G8" s="280">
        <v>14.0</v>
      </c>
      <c r="H8" s="280">
        <v>23.0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75" t="s">
        <v>3029</v>
      </c>
      <c r="B9" s="275" t="s">
        <v>3017</v>
      </c>
      <c r="C9" s="275" t="s">
        <v>36</v>
      </c>
      <c r="D9" s="275"/>
      <c r="E9" s="276">
        <v>5.7188762344E10</v>
      </c>
      <c r="F9" s="277">
        <v>3.0</v>
      </c>
      <c r="G9" s="277">
        <v>6.0</v>
      </c>
      <c r="H9" s="277">
        <v>23.0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78" t="s">
        <v>3030</v>
      </c>
      <c r="B10" s="278" t="s">
        <v>3017</v>
      </c>
      <c r="C10" s="278" t="s">
        <v>60</v>
      </c>
      <c r="D10" s="278"/>
      <c r="E10" s="279">
        <v>9.5326128E9</v>
      </c>
      <c r="F10" s="280">
        <v>0.0</v>
      </c>
      <c r="G10" s="280">
        <v>1.0</v>
      </c>
      <c r="H10" s="280">
        <v>0.0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75" t="s">
        <v>3031</v>
      </c>
      <c r="B11" s="275" t="s">
        <v>3027</v>
      </c>
      <c r="C11" s="275" t="s">
        <v>64</v>
      </c>
      <c r="D11" s="275"/>
      <c r="E11" s="276">
        <v>5.44168689E10</v>
      </c>
      <c r="F11" s="277">
        <v>0.0</v>
      </c>
      <c r="G11" s="277">
        <v>3.0</v>
      </c>
      <c r="H11" s="277">
        <v>0.0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278" t="s">
        <v>3032</v>
      </c>
      <c r="B12" s="278" t="s">
        <v>3019</v>
      </c>
      <c r="C12" s="278" t="s">
        <v>60</v>
      </c>
      <c r="D12" s="278"/>
      <c r="E12" s="279">
        <v>5.722019535E10</v>
      </c>
      <c r="F12" s="280">
        <v>1.0</v>
      </c>
      <c r="G12" s="280">
        <v>1.0</v>
      </c>
      <c r="H12" s="280">
        <v>1.0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75" t="s">
        <v>3033</v>
      </c>
      <c r="B13" s="275" t="s">
        <v>3025</v>
      </c>
      <c r="C13" s="275" t="s">
        <v>71</v>
      </c>
      <c r="D13" s="275"/>
      <c r="E13" s="277"/>
      <c r="F13" s="277">
        <v>0.0</v>
      </c>
      <c r="G13" s="277">
        <v>0.0</v>
      </c>
      <c r="H13" s="277">
        <v>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78" t="s">
        <v>3034</v>
      </c>
      <c r="B14" s="278" t="s">
        <v>3021</v>
      </c>
      <c r="C14" s="278" t="s">
        <v>75</v>
      </c>
      <c r="D14" s="278"/>
      <c r="E14" s="281">
        <v>8.3735547E9</v>
      </c>
      <c r="F14" s="280">
        <v>1.0</v>
      </c>
      <c r="G14" s="280">
        <v>14.0</v>
      </c>
      <c r="H14" s="280">
        <v>1.0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75" t="s">
        <v>3035</v>
      </c>
      <c r="B15" s="275" t="s">
        <v>3027</v>
      </c>
      <c r="C15" s="275" t="s">
        <v>78</v>
      </c>
      <c r="D15" s="275"/>
      <c r="E15" s="277"/>
      <c r="F15" s="277">
        <v>0.0</v>
      </c>
      <c r="G15" s="277">
        <v>0.0</v>
      </c>
      <c r="H15" s="277">
        <v>0.0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78" t="s">
        <v>3036</v>
      </c>
      <c r="B16" s="278" t="s">
        <v>3025</v>
      </c>
      <c r="C16" s="278" t="s">
        <v>218</v>
      </c>
      <c r="D16" s="278"/>
      <c r="E16" s="280"/>
      <c r="F16" s="280">
        <v>0.0</v>
      </c>
      <c r="G16" s="280">
        <v>0.0</v>
      </c>
      <c r="H16" s="280">
        <v>0.0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5.5" customHeight="1">
      <c r="A17" s="275" t="s">
        <v>3037</v>
      </c>
      <c r="B17" s="275" t="s">
        <v>3038</v>
      </c>
      <c r="C17" s="275" t="s">
        <v>428</v>
      </c>
      <c r="D17" s="275"/>
      <c r="E17" s="276">
        <v>3.66339032E10</v>
      </c>
      <c r="F17" s="277">
        <v>0.0</v>
      </c>
      <c r="G17" s="277">
        <v>1.0</v>
      </c>
      <c r="H17" s="277">
        <v>0.0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78" t="s">
        <v>3039</v>
      </c>
      <c r="B18" s="278" t="s">
        <v>3038</v>
      </c>
      <c r="C18" s="278" t="s">
        <v>60</v>
      </c>
      <c r="D18" s="278"/>
      <c r="E18" s="279">
        <v>5.7208344824E10</v>
      </c>
      <c r="F18" s="280">
        <v>2.0</v>
      </c>
      <c r="G18" s="280">
        <v>3.0</v>
      </c>
      <c r="H18" s="280">
        <v>13.0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75" t="s">
        <v>3040</v>
      </c>
      <c r="B19" s="275" t="s">
        <v>3027</v>
      </c>
      <c r="C19" s="275" t="s">
        <v>91</v>
      </c>
      <c r="D19" s="275"/>
      <c r="E19" s="277"/>
      <c r="F19" s="277">
        <v>0.0</v>
      </c>
      <c r="G19" s="277">
        <v>0.0</v>
      </c>
      <c r="H19" s="277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78" t="s">
        <v>3041</v>
      </c>
      <c r="B20" s="278" t="s">
        <v>3017</v>
      </c>
      <c r="C20" s="278" t="s">
        <v>94</v>
      </c>
      <c r="D20" s="278"/>
      <c r="E20" s="280"/>
      <c r="F20" s="280">
        <v>0.0</v>
      </c>
      <c r="G20" s="280">
        <v>0.0</v>
      </c>
      <c r="H20" s="280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75" t="s">
        <v>3042</v>
      </c>
      <c r="B21" s="275" t="s">
        <v>3017</v>
      </c>
      <c r="C21" s="275" t="s">
        <v>41</v>
      </c>
      <c r="D21" s="275"/>
      <c r="E21" s="276">
        <v>2.6532947E10</v>
      </c>
      <c r="F21" s="277">
        <v>1.0</v>
      </c>
      <c r="G21" s="277">
        <v>6.0</v>
      </c>
      <c r="H21" s="277">
        <v>6.0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78" t="s">
        <v>3043</v>
      </c>
      <c r="B22" s="278" t="s">
        <v>3017</v>
      </c>
      <c r="C22" s="278" t="s">
        <v>102</v>
      </c>
      <c r="D22" s="278"/>
      <c r="E22" s="280"/>
      <c r="F22" s="280">
        <v>0.0</v>
      </c>
      <c r="G22" s="280">
        <v>0.0</v>
      </c>
      <c r="H22" s="280">
        <v>0.0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75" t="s">
        <v>3044</v>
      </c>
      <c r="B23" s="275" t="s">
        <v>3017</v>
      </c>
      <c r="C23" s="275" t="s">
        <v>60</v>
      </c>
      <c r="D23" s="275"/>
      <c r="E23" s="277"/>
      <c r="F23" s="277">
        <v>0.0</v>
      </c>
      <c r="G23" s="277">
        <v>0.0</v>
      </c>
      <c r="H23" s="277">
        <v>0.0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78" t="s">
        <v>3045</v>
      </c>
      <c r="B24" s="278" t="s">
        <v>3027</v>
      </c>
      <c r="C24" s="278" t="s">
        <v>108</v>
      </c>
      <c r="D24" s="278"/>
      <c r="E24" s="279">
        <v>3.66830682E10</v>
      </c>
      <c r="F24" s="280">
        <v>1.0</v>
      </c>
      <c r="G24" s="280">
        <v>10.0</v>
      </c>
      <c r="H24" s="280">
        <v>4.0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75" t="s">
        <v>3046</v>
      </c>
      <c r="B25" s="275" t="s">
        <v>3017</v>
      </c>
      <c r="C25" s="275" t="s">
        <v>41</v>
      </c>
      <c r="D25" s="275"/>
      <c r="E25" s="276">
        <v>5.7189391408E10</v>
      </c>
      <c r="F25" s="277">
        <v>3.0</v>
      </c>
      <c r="G25" s="277">
        <v>8.0</v>
      </c>
      <c r="H25" s="277">
        <v>15.0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78" t="s">
        <v>3047</v>
      </c>
      <c r="B26" s="278" t="s">
        <v>3017</v>
      </c>
      <c r="C26" s="278" t="s">
        <v>116</v>
      </c>
      <c r="D26" s="278"/>
      <c r="E26" s="280"/>
      <c r="F26" s="280">
        <v>0.0</v>
      </c>
      <c r="G26" s="280">
        <v>0.0</v>
      </c>
      <c r="H26" s="280">
        <v>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75" t="s">
        <v>3048</v>
      </c>
      <c r="B27" s="275" t="s">
        <v>3017</v>
      </c>
      <c r="C27" s="275" t="s">
        <v>120</v>
      </c>
      <c r="D27" s="275"/>
      <c r="E27" s="277"/>
      <c r="F27" s="277">
        <v>0.0</v>
      </c>
      <c r="G27" s="277">
        <v>0.0</v>
      </c>
      <c r="H27" s="277">
        <v>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78" t="s">
        <v>3049</v>
      </c>
      <c r="B28" s="278" t="s">
        <v>3038</v>
      </c>
      <c r="C28" s="278" t="s">
        <v>356</v>
      </c>
      <c r="D28" s="278"/>
      <c r="E28" s="280"/>
      <c r="F28" s="280">
        <v>0.0</v>
      </c>
      <c r="G28" s="280">
        <v>0.0</v>
      </c>
      <c r="H28" s="280">
        <v>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75" t="s">
        <v>3050</v>
      </c>
      <c r="B29" s="275" t="s">
        <v>3023</v>
      </c>
      <c r="C29" s="275" t="s">
        <v>144</v>
      </c>
      <c r="D29" s="275"/>
      <c r="E29" s="276">
        <v>2.78675033E10</v>
      </c>
      <c r="F29" s="277">
        <v>14.0</v>
      </c>
      <c r="G29" s="277">
        <v>75.0</v>
      </c>
      <c r="H29" s="277">
        <v>395.0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78" t="s">
        <v>3051</v>
      </c>
      <c r="B30" s="278" t="s">
        <v>3027</v>
      </c>
      <c r="C30" s="278" t="s">
        <v>128</v>
      </c>
      <c r="D30" s="278"/>
      <c r="E30" s="280"/>
      <c r="F30" s="280">
        <v>0.0</v>
      </c>
      <c r="G30" s="280">
        <v>0.0</v>
      </c>
      <c r="H30" s="280">
        <v>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75" t="s">
        <v>3052</v>
      </c>
      <c r="B31" s="275" t="s">
        <v>3017</v>
      </c>
      <c r="C31" s="275" t="s">
        <v>71</v>
      </c>
      <c r="D31" s="275"/>
      <c r="E31" s="276">
        <v>2.44829077E10</v>
      </c>
      <c r="F31" s="277">
        <v>2.0</v>
      </c>
      <c r="G31" s="277">
        <v>11.0</v>
      </c>
      <c r="H31" s="277">
        <v>13.0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78" t="s">
        <v>3053</v>
      </c>
      <c r="B32" s="278" t="s">
        <v>3054</v>
      </c>
      <c r="C32" s="278" t="s">
        <v>167</v>
      </c>
      <c r="D32" s="278"/>
      <c r="E32" s="280"/>
      <c r="F32" s="280">
        <v>0.0</v>
      </c>
      <c r="G32" s="280">
        <v>0.0</v>
      </c>
      <c r="H32" s="280">
        <v>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75" t="s">
        <v>3055</v>
      </c>
      <c r="B33" s="275" t="s">
        <v>3023</v>
      </c>
      <c r="C33" s="275" t="s">
        <v>137</v>
      </c>
      <c r="D33" s="275"/>
      <c r="E33" s="276">
        <v>5.7190427154E10</v>
      </c>
      <c r="F33" s="277">
        <v>0.0</v>
      </c>
      <c r="G33" s="277">
        <v>5.0</v>
      </c>
      <c r="H33" s="277">
        <v>0.0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78" t="s">
        <v>3056</v>
      </c>
      <c r="B34" s="278" t="s">
        <v>3054</v>
      </c>
      <c r="C34" s="278" t="s">
        <v>186</v>
      </c>
      <c r="D34" s="278"/>
      <c r="E34" s="280"/>
      <c r="F34" s="280">
        <v>0.0</v>
      </c>
      <c r="G34" s="280">
        <v>0.0</v>
      </c>
      <c r="H34" s="280">
        <v>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75" t="s">
        <v>3057</v>
      </c>
      <c r="B35" s="275" t="s">
        <v>3021</v>
      </c>
      <c r="C35" s="275" t="s">
        <v>144</v>
      </c>
      <c r="D35" s="275"/>
      <c r="E35" s="276">
        <v>1.58339424E10</v>
      </c>
      <c r="F35" s="277">
        <v>4.0</v>
      </c>
      <c r="G35" s="277">
        <v>60.0</v>
      </c>
      <c r="H35" s="277">
        <v>51.0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78" t="s">
        <v>3058</v>
      </c>
      <c r="B36" s="278" t="s">
        <v>3023</v>
      </c>
      <c r="C36" s="278" t="s">
        <v>51</v>
      </c>
      <c r="D36" s="278"/>
      <c r="E36" s="279">
        <v>8.6988461E9</v>
      </c>
      <c r="F36" s="280">
        <v>4.0</v>
      </c>
      <c r="G36" s="280">
        <v>40.0</v>
      </c>
      <c r="H36" s="280">
        <v>56.0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75" t="s">
        <v>3059</v>
      </c>
      <c r="B37" s="275" t="s">
        <v>3027</v>
      </c>
      <c r="C37" s="275" t="s">
        <v>137</v>
      </c>
      <c r="D37" s="275"/>
      <c r="E37" s="277"/>
      <c r="F37" s="277">
        <v>0.0</v>
      </c>
      <c r="G37" s="277">
        <v>0.0</v>
      </c>
      <c r="H37" s="277">
        <v>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78" t="s">
        <v>3060</v>
      </c>
      <c r="B38" s="278" t="s">
        <v>3061</v>
      </c>
      <c r="C38" s="278" t="s">
        <v>46</v>
      </c>
      <c r="D38" s="278"/>
      <c r="E38" s="279">
        <v>5.7189329509E10</v>
      </c>
      <c r="F38" s="280">
        <v>5.0</v>
      </c>
      <c r="G38" s="280">
        <v>11.0</v>
      </c>
      <c r="H38" s="280">
        <v>65.0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75" t="s">
        <v>3062</v>
      </c>
      <c r="B39" s="275" t="s">
        <v>3027</v>
      </c>
      <c r="C39" s="275" t="s">
        <v>108</v>
      </c>
      <c r="D39" s="275"/>
      <c r="E39" s="276">
        <v>6.505677339E9</v>
      </c>
      <c r="F39" s="277">
        <v>1.0</v>
      </c>
      <c r="G39" s="277">
        <v>4.0</v>
      </c>
      <c r="H39" s="277">
        <v>2.0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278" t="s">
        <v>3063</v>
      </c>
      <c r="B40" s="278" t="s">
        <v>3017</v>
      </c>
      <c r="C40" s="278" t="s">
        <v>163</v>
      </c>
      <c r="D40" s="278"/>
      <c r="E40" s="279">
        <v>5.7204555787E10</v>
      </c>
      <c r="F40" s="280">
        <v>1.0</v>
      </c>
      <c r="G40" s="280">
        <v>4.0</v>
      </c>
      <c r="H40" s="280">
        <v>2.0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75" t="s">
        <v>3064</v>
      </c>
      <c r="B41" s="275" t="s">
        <v>3017</v>
      </c>
      <c r="C41" s="275" t="s">
        <v>167</v>
      </c>
      <c r="D41" s="275"/>
      <c r="E41" s="276">
        <v>5.7210063511E10</v>
      </c>
      <c r="F41" s="277">
        <v>1.0</v>
      </c>
      <c r="G41" s="277">
        <v>2.0</v>
      </c>
      <c r="H41" s="277">
        <v>1.0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78" t="s">
        <v>3065</v>
      </c>
      <c r="B42" s="278" t="s">
        <v>3017</v>
      </c>
      <c r="C42" s="278" t="s">
        <v>171</v>
      </c>
      <c r="D42" s="278"/>
      <c r="E42" s="279">
        <v>5.7192820594E10</v>
      </c>
      <c r="F42" s="280">
        <v>1.0</v>
      </c>
      <c r="G42" s="280">
        <v>4.0</v>
      </c>
      <c r="H42" s="280">
        <v>6.0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75" t="s">
        <v>3066</v>
      </c>
      <c r="B43" s="275" t="s">
        <v>3017</v>
      </c>
      <c r="C43" s="275" t="s">
        <v>75</v>
      </c>
      <c r="D43" s="275"/>
      <c r="E43" s="276">
        <v>6.602423119E9</v>
      </c>
      <c r="F43" s="277">
        <v>0.0</v>
      </c>
      <c r="G43" s="277">
        <v>6.0</v>
      </c>
      <c r="H43" s="277">
        <v>0.0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78" t="s">
        <v>3067</v>
      </c>
      <c r="B44" s="278" t="s">
        <v>3061</v>
      </c>
      <c r="C44" s="278" t="s">
        <v>91</v>
      </c>
      <c r="D44" s="278"/>
      <c r="E44" s="280"/>
      <c r="F44" s="280">
        <v>0.0</v>
      </c>
      <c r="G44" s="280">
        <v>0.0</v>
      </c>
      <c r="H44" s="280">
        <v>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75" t="s">
        <v>3068</v>
      </c>
      <c r="B45" s="275" t="s">
        <v>3027</v>
      </c>
      <c r="C45" s="275" t="s">
        <v>144</v>
      </c>
      <c r="D45" s="275"/>
      <c r="E45" s="277"/>
      <c r="F45" s="277">
        <v>0.0</v>
      </c>
      <c r="G45" s="277">
        <v>0.0</v>
      </c>
      <c r="H45" s="277">
        <v>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78" t="s">
        <v>3069</v>
      </c>
      <c r="B46" s="278" t="s">
        <v>3023</v>
      </c>
      <c r="C46" s="278" t="s">
        <v>21</v>
      </c>
      <c r="D46" s="278"/>
      <c r="E46" s="279">
        <v>6.603476868E9</v>
      </c>
      <c r="F46" s="280">
        <v>1.0</v>
      </c>
      <c r="G46" s="280">
        <v>16.0</v>
      </c>
      <c r="H46" s="280">
        <v>43.0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75" t="s">
        <v>3070</v>
      </c>
      <c r="B47" s="275" t="s">
        <v>3027</v>
      </c>
      <c r="C47" s="275" t="s">
        <v>186</v>
      </c>
      <c r="D47" s="275"/>
      <c r="E47" s="276">
        <v>5.7196299108E10</v>
      </c>
      <c r="F47" s="277">
        <v>0.0</v>
      </c>
      <c r="G47" s="277">
        <v>1.0</v>
      </c>
      <c r="H47" s="277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78" t="s">
        <v>3071</v>
      </c>
      <c r="B48" s="278" t="s">
        <v>3017</v>
      </c>
      <c r="C48" s="278" t="s">
        <v>171</v>
      </c>
      <c r="D48" s="278"/>
      <c r="E48" s="279">
        <v>5.7189379882E10</v>
      </c>
      <c r="F48" s="280">
        <v>1.0</v>
      </c>
      <c r="G48" s="280">
        <v>2.0</v>
      </c>
      <c r="H48" s="280">
        <v>1.0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75" t="s">
        <v>3072</v>
      </c>
      <c r="B49" s="275" t="s">
        <v>3027</v>
      </c>
      <c r="C49" s="275" t="s">
        <v>71</v>
      </c>
      <c r="D49" s="275"/>
      <c r="E49" s="277"/>
      <c r="F49" s="277">
        <v>0.0</v>
      </c>
      <c r="G49" s="277">
        <v>0.0</v>
      </c>
      <c r="H49" s="277">
        <v>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278" t="s">
        <v>3073</v>
      </c>
      <c r="B50" s="278" t="s">
        <v>3027</v>
      </c>
      <c r="C50" s="278" t="s">
        <v>91</v>
      </c>
      <c r="D50" s="278"/>
      <c r="E50" s="280"/>
      <c r="F50" s="280">
        <v>0.0</v>
      </c>
      <c r="G50" s="280">
        <v>0.0</v>
      </c>
      <c r="H50" s="280">
        <v>0.0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275" t="s">
        <v>3074</v>
      </c>
      <c r="B51" s="275" t="s">
        <v>3017</v>
      </c>
      <c r="C51" s="275" t="s">
        <v>218</v>
      </c>
      <c r="D51" s="275"/>
      <c r="E51" s="277"/>
      <c r="F51" s="277">
        <v>0.0</v>
      </c>
      <c r="G51" s="277">
        <v>0.0</v>
      </c>
      <c r="H51" s="277">
        <v>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78" t="s">
        <v>3075</v>
      </c>
      <c r="B52" s="278" t="s">
        <v>3023</v>
      </c>
      <c r="C52" s="278" t="s">
        <v>41</v>
      </c>
      <c r="D52" s="278"/>
      <c r="E52" s="279">
        <v>5.64859293E10</v>
      </c>
      <c r="F52" s="280">
        <v>1.0</v>
      </c>
      <c r="G52" s="280">
        <v>7.0</v>
      </c>
      <c r="H52" s="280">
        <v>4.0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75" t="s">
        <v>3076</v>
      </c>
      <c r="B53" s="275" t="s">
        <v>3017</v>
      </c>
      <c r="C53" s="275" t="s">
        <v>64</v>
      </c>
      <c r="D53" s="275"/>
      <c r="E53" s="276">
        <v>5.64399845E10</v>
      </c>
      <c r="F53" s="277">
        <v>1.0</v>
      </c>
      <c r="G53" s="277">
        <v>2.0</v>
      </c>
      <c r="H53" s="277">
        <v>1.0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78" t="s">
        <v>3077</v>
      </c>
      <c r="B54" s="278" t="s">
        <v>3027</v>
      </c>
      <c r="C54" s="278" t="s">
        <v>210</v>
      </c>
      <c r="D54" s="278"/>
      <c r="E54" s="279">
        <v>5.719383571E10</v>
      </c>
      <c r="F54" s="280">
        <v>1.0</v>
      </c>
      <c r="G54" s="280">
        <v>4.0</v>
      </c>
      <c r="H54" s="280">
        <v>2.0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75" t="s">
        <v>3078</v>
      </c>
      <c r="B55" s="275" t="s">
        <v>3017</v>
      </c>
      <c r="C55" s="275" t="s">
        <v>71</v>
      </c>
      <c r="D55" s="275"/>
      <c r="E55" s="276">
        <v>5.7200141012E10</v>
      </c>
      <c r="F55" s="277">
        <v>0.0</v>
      </c>
      <c r="G55" s="277">
        <v>2.0</v>
      </c>
      <c r="H55" s="277">
        <v>0.0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78" t="s">
        <v>3079</v>
      </c>
      <c r="B56" s="278" t="s">
        <v>3025</v>
      </c>
      <c r="C56" s="278" t="s">
        <v>218</v>
      </c>
      <c r="D56" s="278"/>
      <c r="E56" s="280"/>
      <c r="F56" s="280">
        <v>0.0</v>
      </c>
      <c r="G56" s="280">
        <v>0.0</v>
      </c>
      <c r="H56" s="280">
        <v>0.0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75" t="s">
        <v>3080</v>
      </c>
      <c r="B57" s="275" t="s">
        <v>3027</v>
      </c>
      <c r="C57" s="275" t="s">
        <v>91</v>
      </c>
      <c r="D57" s="275"/>
      <c r="E57" s="277"/>
      <c r="F57" s="277">
        <v>0.0</v>
      </c>
      <c r="G57" s="277">
        <v>0.0</v>
      </c>
      <c r="H57" s="277">
        <v>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78" t="s">
        <v>3081</v>
      </c>
      <c r="B58" s="278" t="s">
        <v>3023</v>
      </c>
      <c r="C58" s="278" t="s">
        <v>186</v>
      </c>
      <c r="D58" s="278"/>
      <c r="E58" s="279">
        <v>1.3105377E10</v>
      </c>
      <c r="F58" s="280">
        <v>18.0</v>
      </c>
      <c r="G58" s="280">
        <v>163.0</v>
      </c>
      <c r="H58" s="280">
        <v>1022.0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75" t="s">
        <v>3082</v>
      </c>
      <c r="B59" s="275" t="s">
        <v>3027</v>
      </c>
      <c r="C59" s="275" t="s">
        <v>94</v>
      </c>
      <c r="D59" s="275"/>
      <c r="E59" s="276">
        <v>5.7203688726E10</v>
      </c>
      <c r="F59" s="277">
        <v>0.0</v>
      </c>
      <c r="G59" s="277">
        <v>2.0</v>
      </c>
      <c r="H59" s="277">
        <v>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278" t="s">
        <v>3083</v>
      </c>
      <c r="B60" s="278" t="s">
        <v>3061</v>
      </c>
      <c r="C60" s="278" t="s">
        <v>171</v>
      </c>
      <c r="D60" s="278"/>
      <c r="E60" s="280"/>
      <c r="F60" s="280">
        <v>0.0</v>
      </c>
      <c r="G60" s="280">
        <v>0.0</v>
      </c>
      <c r="H60" s="280">
        <v>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75" t="s">
        <v>3084</v>
      </c>
      <c r="B61" s="275" t="s">
        <v>3025</v>
      </c>
      <c r="C61" s="275" t="s">
        <v>71</v>
      </c>
      <c r="D61" s="275"/>
      <c r="E61" s="276">
        <v>5.7203140922E10</v>
      </c>
      <c r="F61" s="277">
        <v>1.0</v>
      </c>
      <c r="G61" s="277">
        <v>2.0</v>
      </c>
      <c r="H61" s="277">
        <v>14.0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78" t="s">
        <v>3085</v>
      </c>
      <c r="B62" s="278" t="s">
        <v>3017</v>
      </c>
      <c r="C62" s="278" t="s">
        <v>144</v>
      </c>
      <c r="D62" s="278"/>
      <c r="E62" s="279">
        <v>5.7206945613E10</v>
      </c>
      <c r="F62" s="280">
        <v>0.0</v>
      </c>
      <c r="G62" s="280">
        <v>1.0</v>
      </c>
      <c r="H62" s="280">
        <v>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75" t="s">
        <v>3086</v>
      </c>
      <c r="B63" s="275" t="s">
        <v>3017</v>
      </c>
      <c r="C63" s="275" t="s">
        <v>75</v>
      </c>
      <c r="D63" s="275"/>
      <c r="E63" s="276">
        <v>2.44478696E10</v>
      </c>
      <c r="F63" s="277">
        <v>0.0</v>
      </c>
      <c r="G63" s="277">
        <v>4.0</v>
      </c>
      <c r="H63" s="277">
        <v>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78" t="s">
        <v>3087</v>
      </c>
      <c r="B64" s="278" t="s">
        <v>3021</v>
      </c>
      <c r="C64" s="278" t="s">
        <v>108</v>
      </c>
      <c r="D64" s="278"/>
      <c r="E64" s="279">
        <v>3.56068599E10</v>
      </c>
      <c r="F64" s="280">
        <v>4.0</v>
      </c>
      <c r="G64" s="280">
        <v>42.0</v>
      </c>
      <c r="H64" s="280">
        <v>63.0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275" t="s">
        <v>3088</v>
      </c>
      <c r="B65" s="275" t="s">
        <v>3025</v>
      </c>
      <c r="C65" s="275" t="s">
        <v>21</v>
      </c>
      <c r="D65" s="275"/>
      <c r="E65" s="276">
        <v>3.61097917E10</v>
      </c>
      <c r="F65" s="277">
        <v>3.0</v>
      </c>
      <c r="G65" s="277">
        <v>7.0</v>
      </c>
      <c r="H65" s="277">
        <v>34.0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78" t="s">
        <v>3089</v>
      </c>
      <c r="B66" s="278" t="s">
        <v>3023</v>
      </c>
      <c r="C66" s="278" t="s">
        <v>41</v>
      </c>
      <c r="D66" s="278"/>
      <c r="E66" s="280"/>
      <c r="F66" s="280">
        <v>0.0</v>
      </c>
      <c r="G66" s="280">
        <v>0.0</v>
      </c>
      <c r="H66" s="280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275" t="s">
        <v>3090</v>
      </c>
      <c r="B67" s="275" t="s">
        <v>3017</v>
      </c>
      <c r="C67" s="275" t="s">
        <v>71</v>
      </c>
      <c r="D67" s="275"/>
      <c r="E67" s="276">
        <v>5.7212172025E10</v>
      </c>
      <c r="F67" s="277">
        <v>2.0</v>
      </c>
      <c r="G67" s="277">
        <v>3.0</v>
      </c>
      <c r="H67" s="277">
        <v>6.0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78" t="s">
        <v>3091</v>
      </c>
      <c r="B68" s="278" t="s">
        <v>3017</v>
      </c>
      <c r="C68" s="278" t="s">
        <v>218</v>
      </c>
      <c r="D68" s="278"/>
      <c r="E68" s="280"/>
      <c r="F68" s="280">
        <v>0.0</v>
      </c>
      <c r="G68" s="280">
        <v>0.0</v>
      </c>
      <c r="H68" s="280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75" t="s">
        <v>3092</v>
      </c>
      <c r="B69" s="275" t="s">
        <v>3017</v>
      </c>
      <c r="C69" s="275" t="s">
        <v>108</v>
      </c>
      <c r="D69" s="275"/>
      <c r="E69" s="276">
        <v>5.720808114E10</v>
      </c>
      <c r="F69" s="277">
        <v>0.0</v>
      </c>
      <c r="G69" s="277">
        <v>1.0</v>
      </c>
      <c r="H69" s="277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78" t="s">
        <v>3093</v>
      </c>
      <c r="B70" s="278" t="s">
        <v>3017</v>
      </c>
      <c r="C70" s="278" t="s">
        <v>60</v>
      </c>
      <c r="D70" s="278"/>
      <c r="E70" s="279">
        <v>5.7216435696E10</v>
      </c>
      <c r="F70" s="280">
        <v>2.0</v>
      </c>
      <c r="G70" s="280">
        <v>11.0</v>
      </c>
      <c r="H70" s="280">
        <v>8.0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75" t="s">
        <v>3094</v>
      </c>
      <c r="B71" s="275" t="s">
        <v>3017</v>
      </c>
      <c r="C71" s="275" t="s">
        <v>94</v>
      </c>
      <c r="D71" s="275"/>
      <c r="E71" s="276">
        <v>5.7197855074E10</v>
      </c>
      <c r="F71" s="277">
        <v>3.0</v>
      </c>
      <c r="G71" s="277">
        <v>10.0</v>
      </c>
      <c r="H71" s="277">
        <v>10.0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78" t="s">
        <v>3095</v>
      </c>
      <c r="B72" s="278" t="s">
        <v>3027</v>
      </c>
      <c r="C72" s="278" t="s">
        <v>272</v>
      </c>
      <c r="D72" s="278"/>
      <c r="E72" s="280"/>
      <c r="F72" s="280">
        <v>0.0</v>
      </c>
      <c r="G72" s="280">
        <v>0.0</v>
      </c>
      <c r="H72" s="280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75" t="s">
        <v>3096</v>
      </c>
      <c r="B73" s="275" t="s">
        <v>3025</v>
      </c>
      <c r="C73" s="275" t="s">
        <v>167</v>
      </c>
      <c r="D73" s="275"/>
      <c r="E73" s="277"/>
      <c r="F73" s="277">
        <v>0.0</v>
      </c>
      <c r="G73" s="277">
        <v>0.0</v>
      </c>
      <c r="H73" s="277">
        <v>0.0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78" t="s">
        <v>3097</v>
      </c>
      <c r="B74" s="278" t="s">
        <v>3027</v>
      </c>
      <c r="C74" s="278" t="s">
        <v>60</v>
      </c>
      <c r="D74" s="278"/>
      <c r="E74" s="279">
        <v>5.7215826354E10</v>
      </c>
      <c r="F74" s="280">
        <v>1.0</v>
      </c>
      <c r="G74" s="280">
        <v>3.0</v>
      </c>
      <c r="H74" s="280">
        <v>3.0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75" t="s">
        <v>3098</v>
      </c>
      <c r="B75" s="275" t="s">
        <v>3038</v>
      </c>
      <c r="C75" s="275" t="s">
        <v>218</v>
      </c>
      <c r="D75" s="275"/>
      <c r="E75" s="277"/>
      <c r="F75" s="277">
        <v>0.0</v>
      </c>
      <c r="G75" s="277">
        <v>0.0</v>
      </c>
      <c r="H75" s="277">
        <v>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78" t="s">
        <v>3099</v>
      </c>
      <c r="B76" s="278" t="s">
        <v>3027</v>
      </c>
      <c r="C76" s="278" t="s">
        <v>78</v>
      </c>
      <c r="D76" s="278"/>
      <c r="E76" s="280"/>
      <c r="F76" s="280">
        <v>0.0</v>
      </c>
      <c r="G76" s="280">
        <v>0.0</v>
      </c>
      <c r="H76" s="280">
        <v>0.0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275" t="s">
        <v>3100</v>
      </c>
      <c r="B77" s="275" t="s">
        <v>3027</v>
      </c>
      <c r="C77" s="275" t="s">
        <v>91</v>
      </c>
      <c r="D77" s="275"/>
      <c r="E77" s="277"/>
      <c r="F77" s="277">
        <v>0.0</v>
      </c>
      <c r="G77" s="277">
        <v>0.0</v>
      </c>
      <c r="H77" s="277">
        <v>0.0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278" t="s">
        <v>3101</v>
      </c>
      <c r="B78" s="278" t="s">
        <v>3027</v>
      </c>
      <c r="C78" s="278" t="s">
        <v>91</v>
      </c>
      <c r="D78" s="278"/>
      <c r="E78" s="280"/>
      <c r="F78" s="280">
        <v>0.0</v>
      </c>
      <c r="G78" s="280">
        <v>0.0</v>
      </c>
      <c r="H78" s="280">
        <v>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75" t="s">
        <v>3102</v>
      </c>
      <c r="B79" s="275" t="s">
        <v>3025</v>
      </c>
      <c r="C79" s="275" t="s">
        <v>75</v>
      </c>
      <c r="D79" s="275"/>
      <c r="E79" s="277"/>
      <c r="F79" s="277">
        <v>0.0</v>
      </c>
      <c r="G79" s="277">
        <v>0.0</v>
      </c>
      <c r="H79" s="277">
        <v>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78" t="s">
        <v>3103</v>
      </c>
      <c r="B80" s="278" t="s">
        <v>3025</v>
      </c>
      <c r="C80" s="278" t="s">
        <v>137</v>
      </c>
      <c r="D80" s="278"/>
      <c r="E80" s="279">
        <v>5.720314905E10</v>
      </c>
      <c r="F80" s="280">
        <v>8.0</v>
      </c>
      <c r="G80" s="280">
        <v>16.0</v>
      </c>
      <c r="H80" s="280">
        <v>216.0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75" t="s">
        <v>3104</v>
      </c>
      <c r="B81" s="275" t="s">
        <v>3025</v>
      </c>
      <c r="C81" s="275" t="s">
        <v>102</v>
      </c>
      <c r="D81" s="275"/>
      <c r="E81" s="277"/>
      <c r="F81" s="277">
        <v>0.0</v>
      </c>
      <c r="G81" s="277">
        <v>0.0</v>
      </c>
      <c r="H81" s="277">
        <v>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278" t="s">
        <v>3105</v>
      </c>
      <c r="B82" s="278" t="s">
        <v>3027</v>
      </c>
      <c r="C82" s="278" t="s">
        <v>94</v>
      </c>
      <c r="D82" s="278"/>
      <c r="E82" s="279">
        <v>5.7201895842E10</v>
      </c>
      <c r="F82" s="280">
        <v>0.0</v>
      </c>
      <c r="G82" s="280">
        <v>1.0</v>
      </c>
      <c r="H82" s="280">
        <v>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75" t="s">
        <v>3106</v>
      </c>
      <c r="B83" s="275" t="s">
        <v>3025</v>
      </c>
      <c r="C83" s="275" t="s">
        <v>356</v>
      </c>
      <c r="D83" s="275"/>
      <c r="E83" s="277"/>
      <c r="F83" s="277">
        <v>0.0</v>
      </c>
      <c r="G83" s="277">
        <v>0.0</v>
      </c>
      <c r="H83" s="277">
        <v>0.0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78" t="s">
        <v>3107</v>
      </c>
      <c r="B84" s="278" t="s">
        <v>3017</v>
      </c>
      <c r="C84" s="278" t="s">
        <v>41</v>
      </c>
      <c r="D84" s="278"/>
      <c r="E84" s="280"/>
      <c r="F84" s="280">
        <v>0.0</v>
      </c>
      <c r="G84" s="280">
        <v>0.0</v>
      </c>
      <c r="H84" s="280">
        <v>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75" t="s">
        <v>3108</v>
      </c>
      <c r="B85" s="275" t="s">
        <v>3027</v>
      </c>
      <c r="C85" s="275" t="s">
        <v>91</v>
      </c>
      <c r="D85" s="275"/>
      <c r="E85" s="277"/>
      <c r="F85" s="277">
        <v>0.0</v>
      </c>
      <c r="G85" s="277">
        <v>0.0</v>
      </c>
      <c r="H85" s="277">
        <v>0.0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278" t="s">
        <v>3109</v>
      </c>
      <c r="B86" s="278" t="s">
        <v>3019</v>
      </c>
      <c r="C86" s="278" t="s">
        <v>137</v>
      </c>
      <c r="D86" s="278"/>
      <c r="E86" s="280"/>
      <c r="F86" s="280">
        <v>0.0</v>
      </c>
      <c r="G86" s="280">
        <v>0.0</v>
      </c>
      <c r="H86" s="280">
        <v>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275" t="s">
        <v>3110</v>
      </c>
      <c r="B87" s="275" t="s">
        <v>3025</v>
      </c>
      <c r="C87" s="275" t="s">
        <v>64</v>
      </c>
      <c r="D87" s="275"/>
      <c r="E87" s="276">
        <v>5.655668E10</v>
      </c>
      <c r="F87" s="277">
        <v>0.0</v>
      </c>
      <c r="G87" s="277">
        <v>2.0</v>
      </c>
      <c r="H87" s="277">
        <v>0.0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278" t="s">
        <v>3111</v>
      </c>
      <c r="B88" s="278" t="s">
        <v>3027</v>
      </c>
      <c r="C88" s="278" t="s">
        <v>108</v>
      </c>
      <c r="D88" s="278"/>
      <c r="E88" s="279">
        <v>3.66835159E10</v>
      </c>
      <c r="F88" s="280">
        <v>2.0</v>
      </c>
      <c r="G88" s="280">
        <v>6.0</v>
      </c>
      <c r="H88" s="280">
        <v>5.0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75" t="s">
        <v>3112</v>
      </c>
      <c r="B89" s="275" t="s">
        <v>3023</v>
      </c>
      <c r="C89" s="275" t="s">
        <v>218</v>
      </c>
      <c r="D89" s="275"/>
      <c r="E89" s="276">
        <v>5.7200814918E10</v>
      </c>
      <c r="F89" s="277">
        <v>1.0</v>
      </c>
      <c r="G89" s="277">
        <v>2.0</v>
      </c>
      <c r="H89" s="277">
        <v>3.0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78" t="s">
        <v>3113</v>
      </c>
      <c r="B90" s="272" t="s">
        <v>3019</v>
      </c>
      <c r="C90" s="278" t="s">
        <v>102</v>
      </c>
      <c r="D90" s="278"/>
      <c r="E90" s="279">
        <v>6.505759579E9</v>
      </c>
      <c r="F90" s="280">
        <v>2.0</v>
      </c>
      <c r="G90" s="280">
        <v>7.0</v>
      </c>
      <c r="H90" s="280">
        <v>13.0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275" t="s">
        <v>3114</v>
      </c>
      <c r="B91" s="275" t="s">
        <v>3019</v>
      </c>
      <c r="C91" s="275" t="s">
        <v>3115</v>
      </c>
      <c r="D91" s="275"/>
      <c r="E91" s="277"/>
      <c r="F91" s="277">
        <v>0.0</v>
      </c>
      <c r="G91" s="277">
        <v>0.0</v>
      </c>
      <c r="H91" s="277">
        <v>0.0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278" t="s">
        <v>3116</v>
      </c>
      <c r="B92" s="278" t="s">
        <v>3027</v>
      </c>
      <c r="C92" s="278" t="s">
        <v>91</v>
      </c>
      <c r="D92" s="278"/>
      <c r="E92" s="280"/>
      <c r="F92" s="280">
        <v>0.0</v>
      </c>
      <c r="G92" s="280">
        <v>0.0</v>
      </c>
      <c r="H92" s="280">
        <v>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75" t="s">
        <v>3117</v>
      </c>
      <c r="B93" s="275" t="s">
        <v>3023</v>
      </c>
      <c r="C93" s="275" t="s">
        <v>102</v>
      </c>
      <c r="D93" s="275"/>
      <c r="E93" s="276">
        <v>3.55776521E10</v>
      </c>
      <c r="F93" s="277">
        <v>10.0</v>
      </c>
      <c r="G93" s="277">
        <v>185.0</v>
      </c>
      <c r="H93" s="277">
        <v>515.0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78" t="s">
        <v>3118</v>
      </c>
      <c r="B94" s="278" t="s">
        <v>3027</v>
      </c>
      <c r="C94" s="278" t="s">
        <v>329</v>
      </c>
      <c r="D94" s="278"/>
      <c r="E94" s="279">
        <v>5.66699679E10</v>
      </c>
      <c r="F94" s="280">
        <v>1.0</v>
      </c>
      <c r="G94" s="280">
        <v>2.0</v>
      </c>
      <c r="H94" s="280">
        <v>1.0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275" t="s">
        <v>3119</v>
      </c>
      <c r="B95" s="275" t="s">
        <v>3017</v>
      </c>
      <c r="C95" s="275" t="s">
        <v>167</v>
      </c>
      <c r="D95" s="275"/>
      <c r="E95" s="276">
        <v>5.64400249E10</v>
      </c>
      <c r="F95" s="277">
        <v>2.0</v>
      </c>
      <c r="G95" s="277">
        <v>5.0</v>
      </c>
      <c r="H95" s="277">
        <v>10.0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278" t="s">
        <v>3120</v>
      </c>
      <c r="B96" s="278" t="s">
        <v>3017</v>
      </c>
      <c r="C96" s="278" t="s">
        <v>41</v>
      </c>
      <c r="D96" s="278"/>
      <c r="E96" s="279">
        <v>5.69407259E10</v>
      </c>
      <c r="F96" s="280">
        <v>0.0</v>
      </c>
      <c r="G96" s="280">
        <v>1.0</v>
      </c>
      <c r="H96" s="280">
        <v>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75" t="s">
        <v>3121</v>
      </c>
      <c r="B97" s="275" t="s">
        <v>3023</v>
      </c>
      <c r="C97" s="275" t="s">
        <v>137</v>
      </c>
      <c r="D97" s="275"/>
      <c r="E97" s="277"/>
      <c r="F97" s="277">
        <v>0.0</v>
      </c>
      <c r="G97" s="277">
        <v>0.0</v>
      </c>
      <c r="H97" s="277">
        <v>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278" t="s">
        <v>3122</v>
      </c>
      <c r="B98" s="278" t="s">
        <v>3027</v>
      </c>
      <c r="C98" s="278" t="s">
        <v>75</v>
      </c>
      <c r="D98" s="278"/>
      <c r="E98" s="279">
        <v>5.52256594E10</v>
      </c>
      <c r="F98" s="280">
        <v>1.0</v>
      </c>
      <c r="G98" s="280">
        <v>5.0</v>
      </c>
      <c r="H98" s="280">
        <v>7.0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275" t="s">
        <v>3123</v>
      </c>
      <c r="B99" s="275" t="s">
        <v>3017</v>
      </c>
      <c r="C99" s="275" t="s">
        <v>186</v>
      </c>
      <c r="D99" s="275"/>
      <c r="E99" s="276">
        <v>6.506666531E9</v>
      </c>
      <c r="F99" s="277">
        <v>2.0</v>
      </c>
      <c r="G99" s="277">
        <v>2.0</v>
      </c>
      <c r="H99" s="277">
        <v>12.0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78" t="s">
        <v>3124</v>
      </c>
      <c r="B100" s="278" t="s">
        <v>3023</v>
      </c>
      <c r="C100" s="278" t="s">
        <v>41</v>
      </c>
      <c r="D100" s="278"/>
      <c r="E100" s="279">
        <v>7.007051102E9</v>
      </c>
      <c r="F100" s="280">
        <v>7.0</v>
      </c>
      <c r="G100" s="280">
        <v>38.0</v>
      </c>
      <c r="H100" s="280">
        <v>136.0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282" t="s">
        <v>3125</v>
      </c>
      <c r="B101" s="282" t="s">
        <v>3061</v>
      </c>
      <c r="C101" s="282" t="s">
        <v>356</v>
      </c>
      <c r="D101" s="282"/>
      <c r="E101" s="283">
        <v>5.7214130791E10</v>
      </c>
      <c r="F101" s="284">
        <v>1.0</v>
      </c>
      <c r="G101" s="284">
        <v>4.0</v>
      </c>
      <c r="H101" s="284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72" t="s">
        <v>3126</v>
      </c>
      <c r="B102" s="272" t="s">
        <v>3017</v>
      </c>
      <c r="C102" s="272" t="s">
        <v>144</v>
      </c>
      <c r="D102" s="272"/>
      <c r="E102" s="273">
        <v>5.59762997E10</v>
      </c>
      <c r="F102" s="274">
        <v>1.0</v>
      </c>
      <c r="G102" s="274">
        <v>5.0</v>
      </c>
      <c r="H102" s="274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82" t="s">
        <v>3127</v>
      </c>
      <c r="B103" s="282" t="s">
        <v>3017</v>
      </c>
      <c r="C103" s="282" t="s">
        <v>171</v>
      </c>
      <c r="D103" s="282"/>
      <c r="E103" s="284"/>
      <c r="F103" s="284">
        <v>0.0</v>
      </c>
      <c r="G103" s="284">
        <v>0.0</v>
      </c>
      <c r="H103" s="284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78" t="s">
        <v>3128</v>
      </c>
      <c r="B104" s="278" t="s">
        <v>3023</v>
      </c>
      <c r="C104" s="278" t="s">
        <v>71</v>
      </c>
      <c r="D104" s="278"/>
      <c r="E104" s="279">
        <v>9.6367011E9</v>
      </c>
      <c r="F104" s="280">
        <v>3.0</v>
      </c>
      <c r="G104" s="280">
        <v>10.0</v>
      </c>
      <c r="H104" s="280">
        <v>20.0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75" t="s">
        <v>3129</v>
      </c>
      <c r="B105" s="275" t="s">
        <v>3025</v>
      </c>
      <c r="C105" s="275" t="s">
        <v>36</v>
      </c>
      <c r="D105" s="275"/>
      <c r="E105" s="276">
        <v>5.64861441E10</v>
      </c>
      <c r="F105" s="277">
        <v>2.0</v>
      </c>
      <c r="G105" s="277">
        <v>4.0</v>
      </c>
      <c r="H105" s="277">
        <v>14.0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78" t="s">
        <v>3130</v>
      </c>
      <c r="B106" s="278" t="s">
        <v>3017</v>
      </c>
      <c r="C106" s="278" t="s">
        <v>186</v>
      </c>
      <c r="D106" s="278"/>
      <c r="E106" s="279">
        <v>5.7207762084E10</v>
      </c>
      <c r="F106" s="280">
        <v>2.0</v>
      </c>
      <c r="G106" s="280">
        <v>3.0</v>
      </c>
      <c r="H106" s="280">
        <v>11.0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75" t="s">
        <v>3131</v>
      </c>
      <c r="B107" s="275" t="s">
        <v>3017</v>
      </c>
      <c r="C107" s="275" t="s">
        <v>381</v>
      </c>
      <c r="D107" s="275"/>
      <c r="E107" s="276">
        <v>1.50775237E10</v>
      </c>
      <c r="F107" s="277">
        <v>3.0</v>
      </c>
      <c r="G107" s="277">
        <v>11.0</v>
      </c>
      <c r="H107" s="277">
        <v>26.0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78" t="s">
        <v>3132</v>
      </c>
      <c r="B108" s="278" t="s">
        <v>3027</v>
      </c>
      <c r="C108" s="278" t="s">
        <v>385</v>
      </c>
      <c r="D108" s="278"/>
      <c r="E108" s="280"/>
      <c r="F108" s="280">
        <v>0.0</v>
      </c>
      <c r="G108" s="280">
        <v>0.0</v>
      </c>
      <c r="H108" s="280">
        <v>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75" t="s">
        <v>3133</v>
      </c>
      <c r="B109" s="275" t="s">
        <v>3017</v>
      </c>
      <c r="C109" s="275" t="s">
        <v>41</v>
      </c>
      <c r="D109" s="275"/>
      <c r="E109" s="276">
        <v>5.66186851E10</v>
      </c>
      <c r="F109" s="277">
        <v>3.0</v>
      </c>
      <c r="G109" s="277">
        <v>12.0</v>
      </c>
      <c r="H109" s="277">
        <v>46.0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78" t="s">
        <v>3134</v>
      </c>
      <c r="B110" s="278" t="s">
        <v>3017</v>
      </c>
      <c r="C110" s="278" t="s">
        <v>75</v>
      </c>
      <c r="D110" s="278"/>
      <c r="E110" s="279">
        <v>8.2148643E9</v>
      </c>
      <c r="F110" s="280">
        <v>2.0</v>
      </c>
      <c r="G110" s="280">
        <v>18.0</v>
      </c>
      <c r="H110" s="280">
        <v>14.0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75" t="s">
        <v>3135</v>
      </c>
      <c r="B111" s="275" t="s">
        <v>3038</v>
      </c>
      <c r="C111" s="275" t="s">
        <v>21</v>
      </c>
      <c r="D111" s="275"/>
      <c r="E111" s="276">
        <v>5.7203515764E10</v>
      </c>
      <c r="F111" s="277">
        <v>2.0</v>
      </c>
      <c r="G111" s="277">
        <v>8.0</v>
      </c>
      <c r="H111" s="277">
        <v>12.0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278" t="s">
        <v>3136</v>
      </c>
      <c r="B112" s="278" t="s">
        <v>3017</v>
      </c>
      <c r="C112" s="278" t="s">
        <v>21</v>
      </c>
      <c r="D112" s="278"/>
      <c r="E112" s="280"/>
      <c r="F112" s="280">
        <v>0.0</v>
      </c>
      <c r="G112" s="280">
        <v>0.0</v>
      </c>
      <c r="H112" s="280">
        <v>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75" t="s">
        <v>3137</v>
      </c>
      <c r="B113" s="275" t="s">
        <v>3017</v>
      </c>
      <c r="C113" s="275" t="s">
        <v>108</v>
      </c>
      <c r="D113" s="275"/>
      <c r="E113" s="276">
        <v>5.70088664E10</v>
      </c>
      <c r="F113" s="277">
        <v>1.0</v>
      </c>
      <c r="G113" s="277">
        <v>6.0</v>
      </c>
      <c r="H113" s="277">
        <v>3.0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78" t="s">
        <v>3138</v>
      </c>
      <c r="B114" s="278" t="s">
        <v>3027</v>
      </c>
      <c r="C114" s="278" t="s">
        <v>409</v>
      </c>
      <c r="D114" s="278"/>
      <c r="E114" s="279">
        <v>5.7189250222E10</v>
      </c>
      <c r="F114" s="280">
        <v>6.0</v>
      </c>
      <c r="G114" s="280">
        <v>15.0</v>
      </c>
      <c r="H114" s="280">
        <v>61.0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75" t="s">
        <v>3139</v>
      </c>
      <c r="B115" s="275" t="s">
        <v>3019</v>
      </c>
      <c r="C115" s="275" t="s">
        <v>41</v>
      </c>
      <c r="D115" s="275"/>
      <c r="E115" s="276">
        <v>6.60359039E9</v>
      </c>
      <c r="F115" s="277">
        <v>11.0</v>
      </c>
      <c r="G115" s="277">
        <v>59.0</v>
      </c>
      <c r="H115" s="277">
        <v>236.0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78" t="s">
        <v>3140</v>
      </c>
      <c r="B116" s="278" t="s">
        <v>3027</v>
      </c>
      <c r="C116" s="278" t="s">
        <v>64</v>
      </c>
      <c r="D116" s="278"/>
      <c r="E116" s="279">
        <v>5.719195678E10</v>
      </c>
      <c r="F116" s="280">
        <v>0.0</v>
      </c>
      <c r="G116" s="280">
        <v>1.0</v>
      </c>
      <c r="H116" s="280">
        <v>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75" t="s">
        <v>3141</v>
      </c>
      <c r="B117" s="275" t="s">
        <v>3027</v>
      </c>
      <c r="C117" s="275" t="s">
        <v>272</v>
      </c>
      <c r="D117" s="275"/>
      <c r="E117" s="277"/>
      <c r="F117" s="277">
        <v>0.0</v>
      </c>
      <c r="G117" s="277">
        <v>0.0</v>
      </c>
      <c r="H117" s="277">
        <v>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78" t="s">
        <v>3142</v>
      </c>
      <c r="B118" s="278" t="s">
        <v>3027</v>
      </c>
      <c r="C118" s="278" t="s">
        <v>116</v>
      </c>
      <c r="D118" s="278"/>
      <c r="E118" s="280"/>
      <c r="F118" s="280">
        <v>0.0</v>
      </c>
      <c r="G118" s="280">
        <v>0.0</v>
      </c>
      <c r="H118" s="280">
        <v>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75" t="s">
        <v>3143</v>
      </c>
      <c r="B119" s="275" t="s">
        <v>3023</v>
      </c>
      <c r="C119" s="275" t="s">
        <v>186</v>
      </c>
      <c r="D119" s="275"/>
      <c r="E119" s="277"/>
      <c r="F119" s="277">
        <v>0.0</v>
      </c>
      <c r="G119" s="277">
        <v>0.0</v>
      </c>
      <c r="H119" s="277">
        <v>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278" t="s">
        <v>3144</v>
      </c>
      <c r="B120" s="278" t="s">
        <v>3027</v>
      </c>
      <c r="C120" s="278" t="s">
        <v>272</v>
      </c>
      <c r="D120" s="278"/>
      <c r="E120" s="280"/>
      <c r="F120" s="280">
        <v>0.0</v>
      </c>
      <c r="G120" s="280">
        <v>0.0</v>
      </c>
      <c r="H120" s="280">
        <v>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275" t="s">
        <v>3145</v>
      </c>
      <c r="B121" s="275" t="s">
        <v>3146</v>
      </c>
      <c r="C121" s="275" t="s">
        <v>91</v>
      </c>
      <c r="D121" s="275"/>
      <c r="E121" s="277"/>
      <c r="F121" s="277">
        <v>0.0</v>
      </c>
      <c r="G121" s="277">
        <v>0.0</v>
      </c>
      <c r="H121" s="277">
        <v>0.0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78" t="s">
        <v>3147</v>
      </c>
      <c r="B122" s="278" t="s">
        <v>3017</v>
      </c>
      <c r="C122" s="278" t="s">
        <v>428</v>
      </c>
      <c r="D122" s="278"/>
      <c r="E122" s="280"/>
      <c r="F122" s="280">
        <v>0.0</v>
      </c>
      <c r="G122" s="280">
        <v>0.0</v>
      </c>
      <c r="H122" s="280">
        <v>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75" t="s">
        <v>3148</v>
      </c>
      <c r="B123" s="275" t="s">
        <v>3017</v>
      </c>
      <c r="C123" s="275" t="s">
        <v>75</v>
      </c>
      <c r="D123" s="275"/>
      <c r="E123" s="276">
        <v>6.506789308E9</v>
      </c>
      <c r="F123" s="277">
        <v>0.0</v>
      </c>
      <c r="G123" s="277">
        <v>2.0</v>
      </c>
      <c r="H123" s="277">
        <v>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278" t="s">
        <v>3149</v>
      </c>
      <c r="B124" s="278" t="s">
        <v>3027</v>
      </c>
      <c r="C124" s="278" t="s">
        <v>91</v>
      </c>
      <c r="D124" s="278"/>
      <c r="E124" s="280"/>
      <c r="F124" s="280">
        <v>0.0</v>
      </c>
      <c r="G124" s="280">
        <v>0.0</v>
      </c>
      <c r="H124" s="280">
        <v>0.0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275" t="s">
        <v>3150</v>
      </c>
      <c r="B125" s="275" t="s">
        <v>3027</v>
      </c>
      <c r="C125" s="275" t="s">
        <v>108</v>
      </c>
      <c r="D125" s="275"/>
      <c r="E125" s="276">
        <v>5.7211012172E10</v>
      </c>
      <c r="F125" s="277">
        <v>2.0</v>
      </c>
      <c r="G125" s="277">
        <v>18.0</v>
      </c>
      <c r="H125" s="277">
        <v>11.0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78" t="s">
        <v>3151</v>
      </c>
      <c r="B126" s="278" t="s">
        <v>3061</v>
      </c>
      <c r="C126" s="278" t="s">
        <v>78</v>
      </c>
      <c r="D126" s="278"/>
      <c r="E126" s="280"/>
      <c r="F126" s="280">
        <v>0.0</v>
      </c>
      <c r="G126" s="280">
        <v>0.0</v>
      </c>
      <c r="H126" s="280">
        <v>0.0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275" t="s">
        <v>3152</v>
      </c>
      <c r="B127" s="275" t="s">
        <v>3027</v>
      </c>
      <c r="C127" s="275" t="s">
        <v>102</v>
      </c>
      <c r="D127" s="275"/>
      <c r="E127" s="276">
        <v>2.43292272E10</v>
      </c>
      <c r="F127" s="277">
        <v>6.0</v>
      </c>
      <c r="G127" s="277">
        <v>19.0</v>
      </c>
      <c r="H127" s="277">
        <v>60.0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278" t="s">
        <v>3153</v>
      </c>
      <c r="B128" s="278" t="s">
        <v>3027</v>
      </c>
      <c r="C128" s="278" t="s">
        <v>120</v>
      </c>
      <c r="D128" s="278"/>
      <c r="E128" s="280"/>
      <c r="F128" s="280">
        <v>0.0</v>
      </c>
      <c r="G128" s="280">
        <v>0.0</v>
      </c>
      <c r="H128" s="280">
        <v>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275" t="s">
        <v>3154</v>
      </c>
      <c r="B129" s="275" t="s">
        <v>3025</v>
      </c>
      <c r="C129" s="275" t="s">
        <v>64</v>
      </c>
      <c r="D129" s="275"/>
      <c r="E129" s="277"/>
      <c r="F129" s="277">
        <v>0.0</v>
      </c>
      <c r="G129" s="277">
        <v>0.0</v>
      </c>
      <c r="H129" s="277">
        <v>0.0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278" t="s">
        <v>3155</v>
      </c>
      <c r="B130" s="278" t="s">
        <v>3038</v>
      </c>
      <c r="C130" s="278" t="s">
        <v>356</v>
      </c>
      <c r="D130" s="278"/>
      <c r="E130" s="279">
        <v>9.4358371E9</v>
      </c>
      <c r="F130" s="280">
        <v>0.0</v>
      </c>
      <c r="G130" s="280">
        <v>1.0</v>
      </c>
      <c r="H130" s="280">
        <v>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75" t="s">
        <v>3156</v>
      </c>
      <c r="B131" s="275" t="s">
        <v>3017</v>
      </c>
      <c r="C131" s="275" t="s">
        <v>409</v>
      </c>
      <c r="D131" s="275"/>
      <c r="E131" s="276">
        <v>5.7207775848E10</v>
      </c>
      <c r="F131" s="277">
        <v>1.0</v>
      </c>
      <c r="G131" s="277">
        <v>3.0</v>
      </c>
      <c r="H131" s="277">
        <v>8.0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78" t="s">
        <v>3157</v>
      </c>
      <c r="B132" s="278" t="s">
        <v>3017</v>
      </c>
      <c r="C132" s="278" t="s">
        <v>186</v>
      </c>
      <c r="D132" s="278"/>
      <c r="E132" s="279">
        <v>5.6125026E10</v>
      </c>
      <c r="F132" s="280">
        <v>3.0</v>
      </c>
      <c r="G132" s="280">
        <v>6.0</v>
      </c>
      <c r="H132" s="280">
        <v>56.0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75" t="s">
        <v>3158</v>
      </c>
      <c r="B133" s="275" t="s">
        <v>3038</v>
      </c>
      <c r="C133" s="275" t="s">
        <v>71</v>
      </c>
      <c r="D133" s="275"/>
      <c r="E133" s="276">
        <v>6.504344206E9</v>
      </c>
      <c r="F133" s="277">
        <v>1.0</v>
      </c>
      <c r="G133" s="277">
        <v>1.0</v>
      </c>
      <c r="H133" s="277">
        <v>3.0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78" t="s">
        <v>3159</v>
      </c>
      <c r="B134" s="278" t="s">
        <v>3017</v>
      </c>
      <c r="C134" s="278" t="s">
        <v>41</v>
      </c>
      <c r="D134" s="278"/>
      <c r="E134" s="279">
        <v>5.7215831724E10</v>
      </c>
      <c r="F134" s="280">
        <v>2.0</v>
      </c>
      <c r="G134" s="280">
        <v>5.0</v>
      </c>
      <c r="H134" s="280">
        <v>14.0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75" t="s">
        <v>3160</v>
      </c>
      <c r="B135" s="275" t="s">
        <v>3017</v>
      </c>
      <c r="C135" s="275" t="s">
        <v>41</v>
      </c>
      <c r="D135" s="275"/>
      <c r="E135" s="276">
        <v>5.60077835E10</v>
      </c>
      <c r="F135" s="277">
        <v>1.0</v>
      </c>
      <c r="G135" s="277">
        <v>6.0</v>
      </c>
      <c r="H135" s="277">
        <v>11.0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78" t="s">
        <v>3161</v>
      </c>
      <c r="B136" s="278" t="s">
        <v>3023</v>
      </c>
      <c r="C136" s="278" t="s">
        <v>71</v>
      </c>
      <c r="D136" s="278"/>
      <c r="E136" s="279">
        <v>5.65354226E10</v>
      </c>
      <c r="F136" s="280">
        <v>2.0</v>
      </c>
      <c r="G136" s="280">
        <v>8.0</v>
      </c>
      <c r="H136" s="280">
        <v>9.0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75" t="s">
        <v>3162</v>
      </c>
      <c r="B137" s="275" t="s">
        <v>3025</v>
      </c>
      <c r="C137" s="275" t="s">
        <v>108</v>
      </c>
      <c r="D137" s="275"/>
      <c r="E137" s="276">
        <v>5.7202339038E10</v>
      </c>
      <c r="F137" s="277">
        <v>3.0</v>
      </c>
      <c r="G137" s="277">
        <v>5.0</v>
      </c>
      <c r="H137" s="277">
        <v>13.0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78" t="s">
        <v>3163</v>
      </c>
      <c r="B138" s="278" t="s">
        <v>3019</v>
      </c>
      <c r="C138" s="278" t="s">
        <v>356</v>
      </c>
      <c r="D138" s="278"/>
      <c r="E138" s="279">
        <v>6.603317716E9</v>
      </c>
      <c r="F138" s="280">
        <v>10.0</v>
      </c>
      <c r="G138" s="280">
        <v>35.0</v>
      </c>
      <c r="H138" s="280">
        <v>302.0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75" t="s">
        <v>3164</v>
      </c>
      <c r="B139" s="275" t="s">
        <v>3023</v>
      </c>
      <c r="C139" s="275" t="s">
        <v>108</v>
      </c>
      <c r="D139" s="275"/>
      <c r="E139" s="276">
        <v>6.701855238E9</v>
      </c>
      <c r="F139" s="277">
        <v>3.0</v>
      </c>
      <c r="G139" s="277">
        <v>71.0</v>
      </c>
      <c r="H139" s="277">
        <v>40.0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78" t="s">
        <v>3165</v>
      </c>
      <c r="B140" s="278" t="s">
        <v>3017</v>
      </c>
      <c r="C140" s="278" t="s">
        <v>75</v>
      </c>
      <c r="D140" s="278"/>
      <c r="E140" s="279">
        <v>1.64015072E10</v>
      </c>
      <c r="F140" s="280">
        <v>1.0</v>
      </c>
      <c r="G140" s="280">
        <v>5.0</v>
      </c>
      <c r="H140" s="280">
        <v>2.0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75" t="s">
        <v>3166</v>
      </c>
      <c r="B141" s="275" t="s">
        <v>3038</v>
      </c>
      <c r="C141" s="275" t="s">
        <v>128</v>
      </c>
      <c r="D141" s="275"/>
      <c r="E141" s="277"/>
      <c r="F141" s="277">
        <v>0.0</v>
      </c>
      <c r="G141" s="277">
        <v>0.0</v>
      </c>
      <c r="H141" s="277">
        <v>0.0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278" t="s">
        <v>3167</v>
      </c>
      <c r="B142" s="278" t="s">
        <v>3023</v>
      </c>
      <c r="C142" s="278" t="s">
        <v>167</v>
      </c>
      <c r="D142" s="278"/>
      <c r="E142" s="279">
        <v>6.506997369E9</v>
      </c>
      <c r="F142" s="280">
        <v>6.0</v>
      </c>
      <c r="G142" s="280">
        <v>39.0</v>
      </c>
      <c r="H142" s="280">
        <v>91.0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275" t="s">
        <v>3168</v>
      </c>
      <c r="B143" s="275" t="s">
        <v>3027</v>
      </c>
      <c r="C143" s="275" t="s">
        <v>272</v>
      </c>
      <c r="D143" s="275"/>
      <c r="E143" s="277"/>
      <c r="F143" s="277">
        <v>0.0</v>
      </c>
      <c r="G143" s="277">
        <v>0.0</v>
      </c>
      <c r="H143" s="277">
        <v>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78" t="s">
        <v>3169</v>
      </c>
      <c r="B144" s="278" t="s">
        <v>3017</v>
      </c>
      <c r="C144" s="278" t="s">
        <v>120</v>
      </c>
      <c r="D144" s="278"/>
      <c r="E144" s="280"/>
      <c r="F144" s="280">
        <v>0.0</v>
      </c>
      <c r="G144" s="280">
        <v>0.0</v>
      </c>
      <c r="H144" s="280">
        <v>0.0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75" t="s">
        <v>3170</v>
      </c>
      <c r="B145" s="275" t="s">
        <v>3021</v>
      </c>
      <c r="C145" s="275" t="s">
        <v>137</v>
      </c>
      <c r="D145" s="275"/>
      <c r="E145" s="276">
        <v>2.04333395E10</v>
      </c>
      <c r="F145" s="277">
        <v>6.0</v>
      </c>
      <c r="G145" s="277">
        <v>28.0</v>
      </c>
      <c r="H145" s="277">
        <v>104.0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78" t="s">
        <v>3171</v>
      </c>
      <c r="B146" s="278" t="s">
        <v>3027</v>
      </c>
      <c r="C146" s="278" t="s">
        <v>186</v>
      </c>
      <c r="D146" s="278"/>
      <c r="E146" s="279">
        <v>1.46320077E10</v>
      </c>
      <c r="F146" s="280">
        <v>1.0</v>
      </c>
      <c r="G146" s="280">
        <v>3.0</v>
      </c>
      <c r="H146" s="280">
        <v>10.0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75" t="s">
        <v>3172</v>
      </c>
      <c r="B147" s="275" t="s">
        <v>3017</v>
      </c>
      <c r="C147" s="275" t="s">
        <v>75</v>
      </c>
      <c r="D147" s="275"/>
      <c r="E147" s="276">
        <v>2.44793673E10</v>
      </c>
      <c r="F147" s="277">
        <v>5.0</v>
      </c>
      <c r="G147" s="277">
        <v>26.0</v>
      </c>
      <c r="H147" s="277">
        <v>43.0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78" t="s">
        <v>3173</v>
      </c>
      <c r="B148" s="278" t="s">
        <v>3023</v>
      </c>
      <c r="C148" s="278" t="s">
        <v>171</v>
      </c>
      <c r="D148" s="278"/>
      <c r="E148" s="280"/>
      <c r="F148" s="280">
        <v>0.0</v>
      </c>
      <c r="G148" s="280">
        <v>0.0</v>
      </c>
      <c r="H148" s="280">
        <v>0.0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75" t="s">
        <v>3174</v>
      </c>
      <c r="B149" s="275" t="s">
        <v>3027</v>
      </c>
      <c r="C149" s="275" t="s">
        <v>409</v>
      </c>
      <c r="D149" s="275"/>
      <c r="E149" s="276">
        <v>5.7211745256E10</v>
      </c>
      <c r="F149" s="277">
        <v>2.0</v>
      </c>
      <c r="G149" s="277">
        <v>2.0</v>
      </c>
      <c r="H149" s="277">
        <v>12.0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78" t="s">
        <v>3175</v>
      </c>
      <c r="B150" s="278" t="s">
        <v>3027</v>
      </c>
      <c r="C150" s="278" t="s">
        <v>186</v>
      </c>
      <c r="D150" s="278"/>
      <c r="E150" s="279">
        <v>5.64402319E10</v>
      </c>
      <c r="F150" s="280">
        <v>1.0</v>
      </c>
      <c r="G150" s="280">
        <v>2.0</v>
      </c>
      <c r="H150" s="280">
        <v>7.0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75" t="s">
        <v>3176</v>
      </c>
      <c r="B151" s="275" t="s">
        <v>3023</v>
      </c>
      <c r="C151" s="275" t="s">
        <v>108</v>
      </c>
      <c r="D151" s="275"/>
      <c r="E151" s="276">
        <v>6.602929972E9</v>
      </c>
      <c r="F151" s="277">
        <v>4.0</v>
      </c>
      <c r="G151" s="277">
        <v>47.0</v>
      </c>
      <c r="H151" s="277">
        <v>86.0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78" t="s">
        <v>3177</v>
      </c>
      <c r="B152" s="278" t="s">
        <v>3017</v>
      </c>
      <c r="C152" s="278" t="s">
        <v>60</v>
      </c>
      <c r="D152" s="278"/>
      <c r="E152" s="279">
        <v>5.7189384721E10</v>
      </c>
      <c r="F152" s="280">
        <v>5.0</v>
      </c>
      <c r="G152" s="280">
        <v>18.0</v>
      </c>
      <c r="H152" s="280">
        <v>40.0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275" t="s">
        <v>3178</v>
      </c>
      <c r="B153" s="275" t="s">
        <v>3017</v>
      </c>
      <c r="C153" s="275" t="s">
        <v>329</v>
      </c>
      <c r="D153" s="275"/>
      <c r="E153" s="276">
        <v>5.7201579375E10</v>
      </c>
      <c r="F153" s="277">
        <v>2.0</v>
      </c>
      <c r="G153" s="277">
        <v>4.0</v>
      </c>
      <c r="H153" s="277">
        <v>41.0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78" t="s">
        <v>3179</v>
      </c>
      <c r="B154" s="278" t="s">
        <v>3180</v>
      </c>
      <c r="C154" s="278" t="s">
        <v>539</v>
      </c>
      <c r="D154" s="278"/>
      <c r="E154" s="279">
        <v>2.39947852E10</v>
      </c>
      <c r="F154" s="280">
        <v>0.0</v>
      </c>
      <c r="G154" s="280">
        <v>7.0</v>
      </c>
      <c r="H154" s="280">
        <v>0.0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75" t="s">
        <v>3181</v>
      </c>
      <c r="B155" s="275" t="s">
        <v>3017</v>
      </c>
      <c r="C155" s="275" t="s">
        <v>356</v>
      </c>
      <c r="D155" s="275"/>
      <c r="E155" s="276">
        <v>5.7190444905E10</v>
      </c>
      <c r="F155" s="277">
        <v>2.0</v>
      </c>
      <c r="G155" s="277">
        <v>5.0</v>
      </c>
      <c r="H155" s="277">
        <v>6.0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78" t="s">
        <v>3182</v>
      </c>
      <c r="B156" s="278" t="s">
        <v>3021</v>
      </c>
      <c r="C156" s="278" t="s">
        <v>272</v>
      </c>
      <c r="D156" s="278"/>
      <c r="E156" s="279">
        <v>5.7218436238E10</v>
      </c>
      <c r="F156" s="280">
        <v>0.0</v>
      </c>
      <c r="G156" s="280">
        <v>1.0</v>
      </c>
      <c r="H156" s="280">
        <v>0.0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75" t="s">
        <v>3183</v>
      </c>
      <c r="B157" s="275" t="s">
        <v>3017</v>
      </c>
      <c r="C157" s="275" t="s">
        <v>41</v>
      </c>
      <c r="D157" s="275"/>
      <c r="E157" s="276">
        <v>5.7207779367E10</v>
      </c>
      <c r="F157" s="277">
        <v>2.0</v>
      </c>
      <c r="G157" s="277">
        <v>3.0</v>
      </c>
      <c r="H157" s="277">
        <v>13.0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78" t="s">
        <v>3184</v>
      </c>
      <c r="B158" s="278" t="s">
        <v>3027</v>
      </c>
      <c r="C158" s="278" t="s">
        <v>171</v>
      </c>
      <c r="D158" s="278"/>
      <c r="E158" s="280"/>
      <c r="F158" s="280">
        <v>0.0</v>
      </c>
      <c r="G158" s="280">
        <v>0.0</v>
      </c>
      <c r="H158" s="280">
        <v>0.0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75" t="s">
        <v>3185</v>
      </c>
      <c r="B159" s="275" t="s">
        <v>3017</v>
      </c>
      <c r="C159" s="275" t="s">
        <v>137</v>
      </c>
      <c r="D159" s="275"/>
      <c r="E159" s="276">
        <v>5.7210336548E10</v>
      </c>
      <c r="F159" s="277">
        <v>2.0</v>
      </c>
      <c r="G159" s="277">
        <v>4.0</v>
      </c>
      <c r="H159" s="277">
        <v>7.0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78" t="s">
        <v>3186</v>
      </c>
      <c r="B160" s="278" t="s">
        <v>3025</v>
      </c>
      <c r="C160" s="278" t="s">
        <v>137</v>
      </c>
      <c r="D160" s="278"/>
      <c r="E160" s="279">
        <v>5.7210336629E10</v>
      </c>
      <c r="F160" s="280">
        <v>1.0</v>
      </c>
      <c r="G160" s="280">
        <v>3.0</v>
      </c>
      <c r="H160" s="280">
        <v>5.0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75" t="s">
        <v>3187</v>
      </c>
      <c r="B161" s="275" t="s">
        <v>3038</v>
      </c>
      <c r="C161" s="275" t="s">
        <v>91</v>
      </c>
      <c r="D161" s="275"/>
      <c r="E161" s="277"/>
      <c r="F161" s="277">
        <v>0.0</v>
      </c>
      <c r="G161" s="277">
        <v>0.0</v>
      </c>
      <c r="H161" s="277">
        <v>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78" t="s">
        <v>3188</v>
      </c>
      <c r="B162" s="278" t="s">
        <v>3027</v>
      </c>
      <c r="C162" s="278" t="s">
        <v>186</v>
      </c>
      <c r="D162" s="278"/>
      <c r="E162" s="280"/>
      <c r="F162" s="280">
        <v>0.0</v>
      </c>
      <c r="G162" s="280">
        <v>0.0</v>
      </c>
      <c r="H162" s="280">
        <v>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75" t="s">
        <v>3189</v>
      </c>
      <c r="B163" s="275" t="s">
        <v>3025</v>
      </c>
      <c r="C163" s="275" t="s">
        <v>60</v>
      </c>
      <c r="D163" s="275"/>
      <c r="E163" s="276">
        <v>5.7209640958E10</v>
      </c>
      <c r="F163" s="277">
        <v>0.0</v>
      </c>
      <c r="G163" s="277">
        <v>2.0</v>
      </c>
      <c r="H163" s="277">
        <v>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78" t="s">
        <v>3190</v>
      </c>
      <c r="B164" s="278" t="s">
        <v>3023</v>
      </c>
      <c r="C164" s="278" t="s">
        <v>428</v>
      </c>
      <c r="D164" s="278"/>
      <c r="E164" s="279">
        <v>5.7210360203E10</v>
      </c>
      <c r="F164" s="280">
        <v>1.0</v>
      </c>
      <c r="G164" s="280">
        <v>2.0</v>
      </c>
      <c r="H164" s="280">
        <v>7.0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75" t="s">
        <v>3191</v>
      </c>
      <c r="B165" s="275" t="s">
        <v>3023</v>
      </c>
      <c r="C165" s="275" t="s">
        <v>71</v>
      </c>
      <c r="D165" s="275"/>
      <c r="E165" s="276">
        <v>5.7194704318E10</v>
      </c>
      <c r="F165" s="277">
        <v>1.0</v>
      </c>
      <c r="G165" s="277">
        <v>2.0</v>
      </c>
      <c r="H165" s="277">
        <v>1.0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278" t="s">
        <v>3192</v>
      </c>
      <c r="B166" s="278" t="s">
        <v>3025</v>
      </c>
      <c r="C166" s="278" t="s">
        <v>71</v>
      </c>
      <c r="D166" s="278"/>
      <c r="E166" s="279">
        <v>5.7194703502E10</v>
      </c>
      <c r="F166" s="280">
        <v>1.0</v>
      </c>
      <c r="G166" s="280">
        <v>2.0</v>
      </c>
      <c r="H166" s="280">
        <v>1.0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275" t="s">
        <v>3193</v>
      </c>
      <c r="B167" s="275" t="s">
        <v>3017</v>
      </c>
      <c r="C167" s="275" t="s">
        <v>329</v>
      </c>
      <c r="D167" s="275"/>
      <c r="E167" s="276">
        <v>5.7196298121E10</v>
      </c>
      <c r="F167" s="277">
        <v>0.0</v>
      </c>
      <c r="G167" s="277">
        <v>3.0</v>
      </c>
      <c r="H167" s="277">
        <v>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78" t="s">
        <v>3194</v>
      </c>
      <c r="B168" s="278" t="s">
        <v>3027</v>
      </c>
      <c r="C168" s="278" t="s">
        <v>91</v>
      </c>
      <c r="D168" s="278"/>
      <c r="E168" s="280"/>
      <c r="F168" s="280">
        <v>0.0</v>
      </c>
      <c r="G168" s="280">
        <v>0.0</v>
      </c>
      <c r="H168" s="280">
        <v>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75" t="s">
        <v>2896</v>
      </c>
      <c r="B169" s="275" t="s">
        <v>3027</v>
      </c>
      <c r="C169" s="275" t="s">
        <v>385</v>
      </c>
      <c r="D169" s="275"/>
      <c r="E169" s="277"/>
      <c r="F169" s="277">
        <v>0.0</v>
      </c>
      <c r="G169" s="277">
        <v>0.0</v>
      </c>
      <c r="H169" s="277">
        <v>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78" t="s">
        <v>3195</v>
      </c>
      <c r="B170" s="278" t="s">
        <v>3017</v>
      </c>
      <c r="C170" s="278" t="s">
        <v>21</v>
      </c>
      <c r="D170" s="278"/>
      <c r="E170" s="279">
        <v>5.7209023773E10</v>
      </c>
      <c r="F170" s="280">
        <v>1.0</v>
      </c>
      <c r="G170" s="280">
        <v>5.0</v>
      </c>
      <c r="H170" s="280">
        <v>1.0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75" t="s">
        <v>3196</v>
      </c>
      <c r="B171" s="275" t="s">
        <v>3017</v>
      </c>
      <c r="C171" s="275" t="s">
        <v>120</v>
      </c>
      <c r="D171" s="275"/>
      <c r="E171" s="277"/>
      <c r="F171" s="277">
        <v>0.0</v>
      </c>
      <c r="G171" s="277">
        <v>0.0</v>
      </c>
      <c r="H171" s="277">
        <v>0.0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78" t="s">
        <v>3197</v>
      </c>
      <c r="B172" s="278" t="s">
        <v>3017</v>
      </c>
      <c r="C172" s="278" t="s">
        <v>594</v>
      </c>
      <c r="D172" s="278"/>
      <c r="E172" s="279">
        <v>5.66524606E10</v>
      </c>
      <c r="F172" s="280">
        <v>0.0</v>
      </c>
      <c r="G172" s="280">
        <v>2.0</v>
      </c>
      <c r="H172" s="280">
        <v>0.0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75" t="s">
        <v>3198</v>
      </c>
      <c r="B173" s="275" t="s">
        <v>3017</v>
      </c>
      <c r="C173" s="275" t="s">
        <v>186</v>
      </c>
      <c r="D173" s="275"/>
      <c r="E173" s="276">
        <v>5.69406126E10</v>
      </c>
      <c r="F173" s="277">
        <v>5.0</v>
      </c>
      <c r="G173" s="277">
        <v>21.0</v>
      </c>
      <c r="H173" s="277">
        <v>69.0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78" t="s">
        <v>3199</v>
      </c>
      <c r="B174" s="278" t="s">
        <v>3017</v>
      </c>
      <c r="C174" s="278" t="s">
        <v>171</v>
      </c>
      <c r="D174" s="278"/>
      <c r="E174" s="279">
        <v>5.7199330199E10</v>
      </c>
      <c r="F174" s="280">
        <v>3.0</v>
      </c>
      <c r="G174" s="280">
        <v>7.0</v>
      </c>
      <c r="H174" s="280">
        <v>27.0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75" t="s">
        <v>3200</v>
      </c>
      <c r="B175" s="275" t="s">
        <v>3021</v>
      </c>
      <c r="C175" s="275" t="s">
        <v>78</v>
      </c>
      <c r="D175" s="275"/>
      <c r="E175" s="277"/>
      <c r="F175" s="277">
        <v>0.0</v>
      </c>
      <c r="G175" s="277">
        <v>0.0</v>
      </c>
      <c r="H175" s="277">
        <v>0.0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78" t="s">
        <v>3201</v>
      </c>
      <c r="B176" s="278" t="s">
        <v>3027</v>
      </c>
      <c r="C176" s="278" t="s">
        <v>60</v>
      </c>
      <c r="D176" s="278"/>
      <c r="E176" s="279">
        <v>5.7193449011E10</v>
      </c>
      <c r="F176" s="280">
        <v>0.0</v>
      </c>
      <c r="G176" s="280">
        <v>4.0</v>
      </c>
      <c r="H176" s="280">
        <v>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75" t="s">
        <v>3202</v>
      </c>
      <c r="B177" s="275" t="s">
        <v>3017</v>
      </c>
      <c r="C177" s="275" t="s">
        <v>78</v>
      </c>
      <c r="D177" s="275"/>
      <c r="E177" s="277"/>
      <c r="F177" s="277">
        <v>0.0</v>
      </c>
      <c r="G177" s="277">
        <v>0.0</v>
      </c>
      <c r="H177" s="277">
        <v>0.0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78" t="s">
        <v>3203</v>
      </c>
      <c r="B178" s="278" t="s">
        <v>3017</v>
      </c>
      <c r="C178" s="278" t="s">
        <v>78</v>
      </c>
      <c r="D178" s="278"/>
      <c r="E178" s="280"/>
      <c r="F178" s="280">
        <v>0.0</v>
      </c>
      <c r="G178" s="280">
        <v>0.0</v>
      </c>
      <c r="H178" s="280">
        <v>0.0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275" t="s">
        <v>3204</v>
      </c>
      <c r="B179" s="275" t="s">
        <v>3054</v>
      </c>
      <c r="C179" s="275" t="s">
        <v>272</v>
      </c>
      <c r="D179" s="275"/>
      <c r="E179" s="277"/>
      <c r="F179" s="277">
        <v>0.0</v>
      </c>
      <c r="G179" s="277">
        <v>0.0</v>
      </c>
      <c r="H179" s="277">
        <v>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278" t="s">
        <v>3205</v>
      </c>
      <c r="B180" s="278" t="s">
        <v>3025</v>
      </c>
      <c r="C180" s="278" t="s">
        <v>71</v>
      </c>
      <c r="D180" s="278"/>
      <c r="E180" s="280"/>
      <c r="F180" s="280">
        <v>0.0</v>
      </c>
      <c r="G180" s="280">
        <v>0.0</v>
      </c>
      <c r="H180" s="280">
        <v>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275" t="s">
        <v>3206</v>
      </c>
      <c r="B181" s="275" t="s">
        <v>3019</v>
      </c>
      <c r="C181" s="275" t="s">
        <v>102</v>
      </c>
      <c r="D181" s="275"/>
      <c r="E181" s="276">
        <v>6.603636403E9</v>
      </c>
      <c r="F181" s="277"/>
      <c r="G181" s="277"/>
      <c r="H181" s="277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278" t="s">
        <v>3207</v>
      </c>
      <c r="B182" s="278" t="s">
        <v>3017</v>
      </c>
      <c r="C182" s="278" t="s">
        <v>329</v>
      </c>
      <c r="D182" s="278"/>
      <c r="E182" s="279">
        <v>5.7205547513E10</v>
      </c>
      <c r="F182" s="280">
        <v>1.0</v>
      </c>
      <c r="G182" s="280">
        <v>1.0</v>
      </c>
      <c r="H182" s="280">
        <v>11.0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75" t="s">
        <v>3208</v>
      </c>
      <c r="B183" s="275" t="s">
        <v>3027</v>
      </c>
      <c r="C183" s="275" t="s">
        <v>272</v>
      </c>
      <c r="D183" s="275"/>
      <c r="E183" s="277"/>
      <c r="F183" s="277">
        <v>0.0</v>
      </c>
      <c r="G183" s="277">
        <v>0.0</v>
      </c>
      <c r="H183" s="277">
        <v>0.0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78" t="s">
        <v>3209</v>
      </c>
      <c r="B184" s="278" t="s">
        <v>3017</v>
      </c>
      <c r="C184" s="278" t="s">
        <v>36</v>
      </c>
      <c r="D184" s="278"/>
      <c r="E184" s="279">
        <v>5.7207768136E10</v>
      </c>
      <c r="F184" s="280">
        <v>1.0</v>
      </c>
      <c r="G184" s="280">
        <v>2.0</v>
      </c>
      <c r="H184" s="280">
        <v>19.0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75" t="s">
        <v>3210</v>
      </c>
      <c r="B185" s="275" t="s">
        <v>3017</v>
      </c>
      <c r="C185" s="275" t="s">
        <v>3211</v>
      </c>
      <c r="D185" s="275"/>
      <c r="E185" s="276">
        <v>5.51839246E10</v>
      </c>
      <c r="F185" s="277">
        <v>0.0</v>
      </c>
      <c r="G185" s="277">
        <v>1.0</v>
      </c>
      <c r="H185" s="277">
        <v>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278" t="s">
        <v>3212</v>
      </c>
      <c r="B186" s="278" t="s">
        <v>3019</v>
      </c>
      <c r="C186" s="278" t="s">
        <v>60</v>
      </c>
      <c r="D186" s="278"/>
      <c r="E186" s="279">
        <v>7.00410588E9</v>
      </c>
      <c r="F186" s="280">
        <v>82.0</v>
      </c>
      <c r="G186" s="280">
        <v>826.0</v>
      </c>
      <c r="H186" s="280">
        <v>30709.0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275" t="s">
        <v>3213</v>
      </c>
      <c r="B187" s="275" t="s">
        <v>3017</v>
      </c>
      <c r="C187" s="275" t="s">
        <v>329</v>
      </c>
      <c r="D187" s="275"/>
      <c r="E187" s="276">
        <v>5.7196287026E10</v>
      </c>
      <c r="F187" s="277">
        <v>0.0</v>
      </c>
      <c r="G187" s="277">
        <v>1.0</v>
      </c>
      <c r="H187" s="277">
        <v>0.0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78" t="s">
        <v>3214</v>
      </c>
      <c r="B188" s="278" t="s">
        <v>3023</v>
      </c>
      <c r="C188" s="278" t="s">
        <v>75</v>
      </c>
      <c r="D188" s="278"/>
      <c r="E188" s="279">
        <v>9.6368861E9</v>
      </c>
      <c r="F188" s="280">
        <v>2.0</v>
      </c>
      <c r="G188" s="280">
        <v>21.0</v>
      </c>
      <c r="H188" s="280">
        <v>12.0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75" t="s">
        <v>3215</v>
      </c>
      <c r="B189" s="275" t="s">
        <v>3017</v>
      </c>
      <c r="C189" s="275" t="s">
        <v>218</v>
      </c>
      <c r="D189" s="275"/>
      <c r="E189" s="277"/>
      <c r="F189" s="277">
        <v>0.0</v>
      </c>
      <c r="G189" s="277">
        <v>0.0</v>
      </c>
      <c r="H189" s="277">
        <v>0.0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78" t="s">
        <v>3216</v>
      </c>
      <c r="B190" s="278" t="s">
        <v>3017</v>
      </c>
      <c r="C190" s="278" t="s">
        <v>171</v>
      </c>
      <c r="D190" s="278"/>
      <c r="E190" s="280"/>
      <c r="F190" s="280">
        <v>0.0</v>
      </c>
      <c r="G190" s="280">
        <v>0.0</v>
      </c>
      <c r="H190" s="280">
        <v>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75" t="s">
        <v>3217</v>
      </c>
      <c r="B191" s="282" t="s">
        <v>3019</v>
      </c>
      <c r="C191" s="275" t="s">
        <v>94</v>
      </c>
      <c r="D191" s="275"/>
      <c r="E191" s="276">
        <v>7.102624682E9</v>
      </c>
      <c r="F191" s="277">
        <v>5.0</v>
      </c>
      <c r="G191" s="277">
        <v>58.0</v>
      </c>
      <c r="H191" s="277">
        <v>76.0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78" t="s">
        <v>3218</v>
      </c>
      <c r="B192" s="278" t="s">
        <v>3025</v>
      </c>
      <c r="C192" s="278" t="s">
        <v>60</v>
      </c>
      <c r="D192" s="278"/>
      <c r="E192" s="280"/>
      <c r="F192" s="280">
        <v>0.0</v>
      </c>
      <c r="G192" s="280">
        <v>0.0</v>
      </c>
      <c r="H192" s="280">
        <v>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75" t="s">
        <v>3219</v>
      </c>
      <c r="B193" s="275" t="s">
        <v>3054</v>
      </c>
      <c r="C193" s="275" t="s">
        <v>137</v>
      </c>
      <c r="D193" s="275"/>
      <c r="E193" s="277"/>
      <c r="F193" s="277">
        <v>0.0</v>
      </c>
      <c r="G193" s="277">
        <v>0.0</v>
      </c>
      <c r="H193" s="277">
        <v>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78" t="s">
        <v>3220</v>
      </c>
      <c r="B194" s="278" t="s">
        <v>3023</v>
      </c>
      <c r="C194" s="278" t="s">
        <v>385</v>
      </c>
      <c r="D194" s="278"/>
      <c r="E194" s="280"/>
      <c r="F194" s="280">
        <v>0.0</v>
      </c>
      <c r="G194" s="280">
        <v>0.0</v>
      </c>
      <c r="H194" s="280">
        <v>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275" t="s">
        <v>3221</v>
      </c>
      <c r="B195" s="275" t="s">
        <v>3038</v>
      </c>
      <c r="C195" s="275" t="s">
        <v>60</v>
      </c>
      <c r="D195" s="275"/>
      <c r="E195" s="277"/>
      <c r="F195" s="277">
        <v>0.0</v>
      </c>
      <c r="G195" s="277">
        <v>0.0</v>
      </c>
      <c r="H195" s="277">
        <v>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278" t="s">
        <v>3222</v>
      </c>
      <c r="B196" s="278" t="s">
        <v>3021</v>
      </c>
      <c r="C196" s="278" t="s">
        <v>41</v>
      </c>
      <c r="D196" s="278"/>
      <c r="E196" s="279">
        <v>6.506991522E9</v>
      </c>
      <c r="F196" s="280">
        <v>3.0</v>
      </c>
      <c r="G196" s="280">
        <v>16.0</v>
      </c>
      <c r="H196" s="280">
        <v>18.0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75" t="s">
        <v>3223</v>
      </c>
      <c r="B197" s="275" t="s">
        <v>3061</v>
      </c>
      <c r="C197" s="275" t="s">
        <v>64</v>
      </c>
      <c r="D197" s="275"/>
      <c r="E197" s="276">
        <v>5.69642134E10</v>
      </c>
      <c r="F197" s="277">
        <v>1.0</v>
      </c>
      <c r="G197" s="277">
        <v>8.0</v>
      </c>
      <c r="H197" s="277">
        <v>3.0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78" t="s">
        <v>3224</v>
      </c>
      <c r="B198" s="278" t="s">
        <v>3025</v>
      </c>
      <c r="C198" s="278" t="s">
        <v>71</v>
      </c>
      <c r="D198" s="278"/>
      <c r="E198" s="279">
        <v>5.7207766737E10</v>
      </c>
      <c r="F198" s="280">
        <v>1.0</v>
      </c>
      <c r="G198" s="280">
        <v>1.0</v>
      </c>
      <c r="H198" s="280">
        <v>10.0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75" t="s">
        <v>3225</v>
      </c>
      <c r="B199" s="275" t="s">
        <v>3027</v>
      </c>
      <c r="C199" s="275" t="s">
        <v>71</v>
      </c>
      <c r="D199" s="275"/>
      <c r="E199" s="276">
        <v>5.7207260441E10</v>
      </c>
      <c r="F199" s="277">
        <v>2.0</v>
      </c>
      <c r="G199" s="277">
        <v>3.0</v>
      </c>
      <c r="H199" s="277">
        <v>14.0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78" t="s">
        <v>3226</v>
      </c>
      <c r="B200" s="278" t="s">
        <v>3054</v>
      </c>
      <c r="C200" s="278" t="s">
        <v>356</v>
      </c>
      <c r="D200" s="278"/>
      <c r="E200" s="280"/>
      <c r="F200" s="280">
        <v>0.0</v>
      </c>
      <c r="G200" s="280">
        <v>0.0</v>
      </c>
      <c r="H200" s="280">
        <v>0.0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75" t="s">
        <v>3227</v>
      </c>
      <c r="B201" s="275" t="s">
        <v>3017</v>
      </c>
      <c r="C201" s="275" t="s">
        <v>36</v>
      </c>
      <c r="D201" s="275"/>
      <c r="E201" s="276">
        <v>5.7188752496E10</v>
      </c>
      <c r="F201" s="277">
        <v>7.0</v>
      </c>
      <c r="G201" s="277">
        <v>61.0</v>
      </c>
      <c r="H201" s="277">
        <v>153.0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272" t="s">
        <v>3228</v>
      </c>
      <c r="B202" s="272" t="s">
        <v>3023</v>
      </c>
      <c r="C202" s="272" t="s">
        <v>218</v>
      </c>
      <c r="D202" s="272"/>
      <c r="E202" s="273">
        <v>5.71634243E10</v>
      </c>
      <c r="F202" s="274">
        <v>3.0</v>
      </c>
      <c r="G202" s="274">
        <v>10.0</v>
      </c>
      <c r="H202" s="274">
        <v>20.0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75" t="s">
        <v>3229</v>
      </c>
      <c r="B203" s="275" t="s">
        <v>3023</v>
      </c>
      <c r="C203" s="275" t="s">
        <v>60</v>
      </c>
      <c r="D203" s="275"/>
      <c r="E203" s="276">
        <v>5.7190568855E10</v>
      </c>
      <c r="F203" s="277">
        <v>1.0</v>
      </c>
      <c r="G203" s="277">
        <v>8.0</v>
      </c>
      <c r="H203" s="277">
        <v>4.0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78" t="s">
        <v>3230</v>
      </c>
      <c r="B204" s="278" t="s">
        <v>3017</v>
      </c>
      <c r="C204" s="278" t="s">
        <v>171</v>
      </c>
      <c r="D204" s="278"/>
      <c r="E204" s="280"/>
      <c r="F204" s="280">
        <v>0.0</v>
      </c>
      <c r="G204" s="280">
        <v>0.0</v>
      </c>
      <c r="H204" s="280">
        <v>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75" t="s">
        <v>3231</v>
      </c>
      <c r="B205" s="275" t="s">
        <v>3025</v>
      </c>
      <c r="C205" s="275" t="s">
        <v>116</v>
      </c>
      <c r="D205" s="275"/>
      <c r="E205" s="277"/>
      <c r="F205" s="277">
        <v>0.0</v>
      </c>
      <c r="G205" s="277">
        <v>0.0</v>
      </c>
      <c r="H205" s="277">
        <v>0.0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278" t="s">
        <v>3232</v>
      </c>
      <c r="B206" s="278" t="s">
        <v>3023</v>
      </c>
      <c r="C206" s="278" t="s">
        <v>594</v>
      </c>
      <c r="D206" s="278"/>
      <c r="E206" s="279">
        <v>5.6979094E10</v>
      </c>
      <c r="F206" s="280">
        <v>1.0</v>
      </c>
      <c r="G206" s="280">
        <v>3.0</v>
      </c>
      <c r="H206" s="280">
        <v>3.0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275" t="s">
        <v>3233</v>
      </c>
      <c r="B207" s="275" t="s">
        <v>3023</v>
      </c>
      <c r="C207" s="275" t="s">
        <v>171</v>
      </c>
      <c r="D207" s="275"/>
      <c r="E207" s="277"/>
      <c r="F207" s="277">
        <v>0.0</v>
      </c>
      <c r="G207" s="277">
        <v>0.0</v>
      </c>
      <c r="H207" s="277">
        <v>0.0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78" t="s">
        <v>3234</v>
      </c>
      <c r="B208" s="278" t="s">
        <v>3023</v>
      </c>
      <c r="C208" s="278" t="s">
        <v>144</v>
      </c>
      <c r="D208" s="278"/>
      <c r="E208" s="280"/>
      <c r="F208" s="280">
        <v>0.0</v>
      </c>
      <c r="G208" s="280">
        <v>0.0</v>
      </c>
      <c r="H208" s="280">
        <v>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75" t="s">
        <v>3235</v>
      </c>
      <c r="B209" s="275" t="s">
        <v>3017</v>
      </c>
      <c r="C209" s="275" t="s">
        <v>36</v>
      </c>
      <c r="D209" s="275"/>
      <c r="E209" s="277"/>
      <c r="F209" s="277">
        <v>0.0</v>
      </c>
      <c r="G209" s="277">
        <v>0.0</v>
      </c>
      <c r="H209" s="277">
        <v>0.0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78" t="s">
        <v>3236</v>
      </c>
      <c r="B210" s="278" t="s">
        <v>3023</v>
      </c>
      <c r="C210" s="278" t="s">
        <v>36</v>
      </c>
      <c r="D210" s="278"/>
      <c r="E210" s="279">
        <v>5.68258922E10</v>
      </c>
      <c r="F210" s="280">
        <v>14.0</v>
      </c>
      <c r="G210" s="280">
        <v>81.0</v>
      </c>
      <c r="H210" s="280">
        <v>482.0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75" t="s">
        <v>3237</v>
      </c>
      <c r="B211" s="275" t="s">
        <v>3025</v>
      </c>
      <c r="C211" s="275" t="s">
        <v>78</v>
      </c>
      <c r="D211" s="275"/>
      <c r="E211" s="277"/>
      <c r="F211" s="277">
        <v>0.0</v>
      </c>
      <c r="G211" s="277">
        <v>0.0</v>
      </c>
      <c r="H211" s="277">
        <v>0.0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278" t="s">
        <v>3238</v>
      </c>
      <c r="B212" s="278" t="s">
        <v>3239</v>
      </c>
      <c r="C212" s="278" t="s">
        <v>41</v>
      </c>
      <c r="D212" s="278"/>
      <c r="E212" s="279">
        <v>5.7189381444E10</v>
      </c>
      <c r="F212" s="280">
        <v>4.0</v>
      </c>
      <c r="G212" s="280">
        <v>15.0</v>
      </c>
      <c r="H212" s="280">
        <v>31.0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275" t="s">
        <v>3240</v>
      </c>
      <c r="B213" s="275" t="s">
        <v>3025</v>
      </c>
      <c r="C213" s="275" t="s">
        <v>71</v>
      </c>
      <c r="D213" s="275"/>
      <c r="E213" s="277"/>
      <c r="F213" s="277">
        <v>0.0</v>
      </c>
      <c r="G213" s="277">
        <v>0.0</v>
      </c>
      <c r="H213" s="277">
        <v>0.0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78" t="s">
        <v>3241</v>
      </c>
      <c r="B214" s="278" t="s">
        <v>3027</v>
      </c>
      <c r="C214" s="278" t="s">
        <v>71</v>
      </c>
      <c r="D214" s="278"/>
      <c r="E214" s="279">
        <v>5.7194558513E10</v>
      </c>
      <c r="F214" s="280">
        <v>2.0</v>
      </c>
      <c r="G214" s="280">
        <v>8.0</v>
      </c>
      <c r="H214" s="280">
        <v>20.0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75" t="s">
        <v>3242</v>
      </c>
      <c r="B215" s="275" t="s">
        <v>3017</v>
      </c>
      <c r="C215" s="275" t="s">
        <v>428</v>
      </c>
      <c r="D215" s="275"/>
      <c r="E215" s="276">
        <v>5.7209411081E10</v>
      </c>
      <c r="F215" s="277">
        <v>1.0</v>
      </c>
      <c r="G215" s="277">
        <v>4.0</v>
      </c>
      <c r="H215" s="277">
        <v>2.0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78" t="s">
        <v>3243</v>
      </c>
      <c r="B216" s="278" t="s">
        <v>3017</v>
      </c>
      <c r="C216" s="278" t="s">
        <v>91</v>
      </c>
      <c r="D216" s="278"/>
      <c r="E216" s="280"/>
      <c r="F216" s="280">
        <v>0.0</v>
      </c>
      <c r="G216" s="280">
        <v>0.0</v>
      </c>
      <c r="H216" s="280">
        <v>0.0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75" t="s">
        <v>3244</v>
      </c>
      <c r="B217" s="275" t="s">
        <v>3017</v>
      </c>
      <c r="C217" s="275" t="s">
        <v>21</v>
      </c>
      <c r="D217" s="275"/>
      <c r="E217" s="276">
        <v>5.7208026716E10</v>
      </c>
      <c r="F217" s="277">
        <v>1.0</v>
      </c>
      <c r="G217" s="277">
        <v>4.0</v>
      </c>
      <c r="H217" s="277">
        <v>1.0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78" t="s">
        <v>3245</v>
      </c>
      <c r="B218" s="278" t="s">
        <v>3027</v>
      </c>
      <c r="C218" s="278" t="s">
        <v>137</v>
      </c>
      <c r="D218" s="278"/>
      <c r="E218" s="279">
        <v>5.720221266E10</v>
      </c>
      <c r="F218" s="280">
        <v>3.0</v>
      </c>
      <c r="G218" s="280">
        <v>10.0</v>
      </c>
      <c r="H218" s="280">
        <v>16.0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75" t="s">
        <v>3246</v>
      </c>
      <c r="B219" s="275" t="s">
        <v>3027</v>
      </c>
      <c r="C219" s="275" t="s">
        <v>120</v>
      </c>
      <c r="D219" s="275"/>
      <c r="E219" s="277"/>
      <c r="F219" s="277">
        <v>0.0</v>
      </c>
      <c r="G219" s="277">
        <v>0.0</v>
      </c>
      <c r="H219" s="277">
        <v>0.0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78" t="s">
        <v>3247</v>
      </c>
      <c r="B220" s="278" t="s">
        <v>3025</v>
      </c>
      <c r="C220" s="278" t="s">
        <v>94</v>
      </c>
      <c r="D220" s="278"/>
      <c r="E220" s="279">
        <v>5.67843409E10</v>
      </c>
      <c r="F220" s="280">
        <v>1.0</v>
      </c>
      <c r="G220" s="280">
        <v>10.0</v>
      </c>
      <c r="H220" s="280">
        <v>8.0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75" t="s">
        <v>3248</v>
      </c>
      <c r="B221" s="275" t="s">
        <v>3017</v>
      </c>
      <c r="C221" s="275" t="s">
        <v>94</v>
      </c>
      <c r="D221" s="275"/>
      <c r="E221" s="277"/>
      <c r="F221" s="277">
        <v>0.0</v>
      </c>
      <c r="G221" s="277">
        <v>0.0</v>
      </c>
      <c r="H221" s="277">
        <v>0.0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78" t="s">
        <v>3249</v>
      </c>
      <c r="B222" s="278" t="s">
        <v>3017</v>
      </c>
      <c r="C222" s="278" t="s">
        <v>21</v>
      </c>
      <c r="D222" s="278"/>
      <c r="E222" s="279">
        <v>2.47595446E10</v>
      </c>
      <c r="F222" s="280">
        <v>7.0</v>
      </c>
      <c r="G222" s="280">
        <v>27.0</v>
      </c>
      <c r="H222" s="280">
        <v>210.0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75" t="s">
        <v>3250</v>
      </c>
      <c r="B223" s="275" t="s">
        <v>3023</v>
      </c>
      <c r="C223" s="275" t="s">
        <v>36</v>
      </c>
      <c r="D223" s="275"/>
      <c r="E223" s="276">
        <v>5.7216490102E10</v>
      </c>
      <c r="F223" s="277">
        <v>1.0</v>
      </c>
      <c r="G223" s="277">
        <v>4.0</v>
      </c>
      <c r="H223" s="277">
        <v>2.0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78" t="s">
        <v>3251</v>
      </c>
      <c r="B224" s="278" t="s">
        <v>3025</v>
      </c>
      <c r="C224" s="278" t="s">
        <v>71</v>
      </c>
      <c r="D224" s="278"/>
      <c r="E224" s="280"/>
      <c r="F224" s="280">
        <v>0.0</v>
      </c>
      <c r="G224" s="280">
        <v>0.0</v>
      </c>
      <c r="H224" s="280">
        <v>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75" t="s">
        <v>3252</v>
      </c>
      <c r="B225" s="275" t="s">
        <v>3023</v>
      </c>
      <c r="C225" s="275" t="s">
        <v>356</v>
      </c>
      <c r="D225" s="275"/>
      <c r="E225" s="276">
        <v>5.7204184222E10</v>
      </c>
      <c r="F225" s="277">
        <v>0.0</v>
      </c>
      <c r="G225" s="277">
        <v>2.0</v>
      </c>
      <c r="H225" s="277">
        <v>0.0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78" t="s">
        <v>3253</v>
      </c>
      <c r="B226" s="278" t="s">
        <v>3023</v>
      </c>
      <c r="C226" s="278" t="s">
        <v>71</v>
      </c>
      <c r="D226" s="278"/>
      <c r="E226" s="280"/>
      <c r="F226" s="280">
        <v>0.0</v>
      </c>
      <c r="G226" s="280">
        <v>0.0</v>
      </c>
      <c r="H226" s="280">
        <v>0.0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75" t="s">
        <v>3254</v>
      </c>
      <c r="B227" s="275" t="s">
        <v>3017</v>
      </c>
      <c r="C227" s="275" t="s">
        <v>409</v>
      </c>
      <c r="D227" s="275"/>
      <c r="E227" s="276">
        <v>8.3131375E9</v>
      </c>
      <c r="F227" s="277">
        <v>3.0</v>
      </c>
      <c r="G227" s="277">
        <v>22.0</v>
      </c>
      <c r="H227" s="277">
        <v>17.0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78" t="s">
        <v>3255</v>
      </c>
      <c r="B228" s="278" t="s">
        <v>3019</v>
      </c>
      <c r="C228" s="278" t="s">
        <v>60</v>
      </c>
      <c r="D228" s="278"/>
      <c r="E228" s="280"/>
      <c r="F228" s="280">
        <v>0.0</v>
      </c>
      <c r="G228" s="280">
        <v>0.0</v>
      </c>
      <c r="H228" s="280">
        <v>0.0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75" t="s">
        <v>3256</v>
      </c>
      <c r="B229" s="275" t="s">
        <v>3017</v>
      </c>
      <c r="C229" s="275" t="s">
        <v>60</v>
      </c>
      <c r="D229" s="275"/>
      <c r="E229" s="277"/>
      <c r="F229" s="277">
        <v>0.0</v>
      </c>
      <c r="G229" s="277">
        <v>0.0</v>
      </c>
      <c r="H229" s="277">
        <v>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78" t="s">
        <v>3257</v>
      </c>
      <c r="B230" s="278" t="s">
        <v>3027</v>
      </c>
      <c r="C230" s="278" t="s">
        <v>78</v>
      </c>
      <c r="D230" s="278"/>
      <c r="E230" s="280"/>
      <c r="F230" s="280">
        <v>0.0</v>
      </c>
      <c r="G230" s="280">
        <v>0.0</v>
      </c>
      <c r="H230" s="280">
        <v>0.0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75" t="s">
        <v>3258</v>
      </c>
      <c r="B231" s="275" t="s">
        <v>3017</v>
      </c>
      <c r="C231" s="275" t="s">
        <v>594</v>
      </c>
      <c r="D231" s="275"/>
      <c r="E231" s="276">
        <v>1.57289425E10</v>
      </c>
      <c r="F231" s="277">
        <v>0.0</v>
      </c>
      <c r="G231" s="277">
        <v>3.0</v>
      </c>
      <c r="H231" s="277">
        <v>0.0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78" t="s">
        <v>3259</v>
      </c>
      <c r="B232" s="278" t="s">
        <v>3017</v>
      </c>
      <c r="C232" s="278" t="s">
        <v>64</v>
      </c>
      <c r="D232" s="278"/>
      <c r="E232" s="279">
        <v>6.506769484E9</v>
      </c>
      <c r="F232" s="280">
        <v>2.0</v>
      </c>
      <c r="G232" s="280">
        <v>11.0</v>
      </c>
      <c r="H232" s="280">
        <v>18.0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75" t="s">
        <v>3260</v>
      </c>
      <c r="B233" s="275" t="s">
        <v>3021</v>
      </c>
      <c r="C233" s="275" t="s">
        <v>594</v>
      </c>
      <c r="D233" s="275"/>
      <c r="E233" s="276">
        <v>7.202049546E9</v>
      </c>
      <c r="F233" s="277">
        <v>4.0</v>
      </c>
      <c r="G233" s="277">
        <v>24.0</v>
      </c>
      <c r="H233" s="277">
        <v>43.0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78" t="s">
        <v>3261</v>
      </c>
      <c r="B234" s="278" t="s">
        <v>3027</v>
      </c>
      <c r="C234" s="278" t="s">
        <v>272</v>
      </c>
      <c r="D234" s="278"/>
      <c r="E234" s="280"/>
      <c r="F234" s="280">
        <v>0.0</v>
      </c>
      <c r="G234" s="280">
        <v>0.0</v>
      </c>
      <c r="H234" s="280">
        <v>0.0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75" t="s">
        <v>3262</v>
      </c>
      <c r="B235" s="275" t="s">
        <v>3263</v>
      </c>
      <c r="C235" s="275" t="s">
        <v>171</v>
      </c>
      <c r="D235" s="275"/>
      <c r="E235" s="276">
        <v>5.7211908898E10</v>
      </c>
      <c r="F235" s="277">
        <v>1.0</v>
      </c>
      <c r="G235" s="277">
        <v>5.0</v>
      </c>
      <c r="H235" s="277">
        <v>2.0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78" t="s">
        <v>3264</v>
      </c>
      <c r="B236" s="278" t="s">
        <v>3023</v>
      </c>
      <c r="C236" s="278" t="s">
        <v>144</v>
      </c>
      <c r="D236" s="278"/>
      <c r="E236" s="279">
        <v>5.7197504395E10</v>
      </c>
      <c r="F236" s="280">
        <v>0.0</v>
      </c>
      <c r="G236" s="280">
        <v>3.0</v>
      </c>
      <c r="H236" s="280">
        <v>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75" t="s">
        <v>3265</v>
      </c>
      <c r="B237" s="275" t="s">
        <v>3025</v>
      </c>
      <c r="C237" s="275" t="s">
        <v>41</v>
      </c>
      <c r="D237" s="275"/>
      <c r="E237" s="277"/>
      <c r="F237" s="277">
        <v>0.0</v>
      </c>
      <c r="G237" s="277">
        <v>0.0</v>
      </c>
      <c r="H237" s="277">
        <v>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78" t="s">
        <v>3266</v>
      </c>
      <c r="B238" s="278" t="s">
        <v>3038</v>
      </c>
      <c r="C238" s="278" t="s">
        <v>71</v>
      </c>
      <c r="D238" s="278"/>
      <c r="E238" s="279">
        <v>5.7210340749E10</v>
      </c>
      <c r="F238" s="280">
        <v>1.0</v>
      </c>
      <c r="G238" s="280">
        <v>1.0</v>
      </c>
      <c r="H238" s="280">
        <v>1.0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75" t="s">
        <v>3267</v>
      </c>
      <c r="B239" s="275" t="s">
        <v>3017</v>
      </c>
      <c r="C239" s="275" t="s">
        <v>144</v>
      </c>
      <c r="D239" s="275"/>
      <c r="E239" s="276">
        <v>1.50699275E10</v>
      </c>
      <c r="F239" s="277">
        <v>0.0</v>
      </c>
      <c r="G239" s="277">
        <v>1.0</v>
      </c>
      <c r="H239" s="277">
        <v>0.0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78" t="s">
        <v>3268</v>
      </c>
      <c r="B240" s="278" t="s">
        <v>3017</v>
      </c>
      <c r="C240" s="278" t="s">
        <v>186</v>
      </c>
      <c r="D240" s="278"/>
      <c r="E240" s="279">
        <v>5.7207774022E10</v>
      </c>
      <c r="F240" s="280">
        <v>2.0</v>
      </c>
      <c r="G240" s="280">
        <v>4.0</v>
      </c>
      <c r="H240" s="280">
        <v>5.0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75" t="s">
        <v>3269</v>
      </c>
      <c r="B241" s="275" t="s">
        <v>3017</v>
      </c>
      <c r="C241" s="275" t="s">
        <v>78</v>
      </c>
      <c r="D241" s="275"/>
      <c r="E241" s="277"/>
      <c r="F241" s="277">
        <v>0.0</v>
      </c>
      <c r="G241" s="277">
        <v>0.0</v>
      </c>
      <c r="H241" s="277">
        <v>0.0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278" t="s">
        <v>3270</v>
      </c>
      <c r="B242" s="278" t="s">
        <v>3017</v>
      </c>
      <c r="C242" s="278" t="s">
        <v>381</v>
      </c>
      <c r="D242" s="278"/>
      <c r="E242" s="279">
        <v>6.602558899E9</v>
      </c>
      <c r="F242" s="280">
        <v>5.0</v>
      </c>
      <c r="G242" s="280">
        <v>14.0</v>
      </c>
      <c r="H242" s="280">
        <v>47.0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275" t="s">
        <v>3271</v>
      </c>
      <c r="B243" s="275" t="s">
        <v>3038</v>
      </c>
      <c r="C243" s="275" t="s">
        <v>356</v>
      </c>
      <c r="D243" s="275"/>
      <c r="E243" s="276">
        <v>5.719403635E10</v>
      </c>
      <c r="F243" s="277">
        <v>3.0</v>
      </c>
      <c r="G243" s="277">
        <v>3.0</v>
      </c>
      <c r="H243" s="277">
        <v>106.0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278" t="s">
        <v>3272</v>
      </c>
      <c r="B244" s="278" t="s">
        <v>3027</v>
      </c>
      <c r="C244" s="278" t="s">
        <v>144</v>
      </c>
      <c r="D244" s="278"/>
      <c r="E244" s="279">
        <v>5.64053921E10</v>
      </c>
      <c r="F244" s="280">
        <v>2.0</v>
      </c>
      <c r="G244" s="280">
        <v>6.0</v>
      </c>
      <c r="H244" s="280">
        <v>8.0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75" t="s">
        <v>3273</v>
      </c>
      <c r="B245" s="275" t="s">
        <v>3017</v>
      </c>
      <c r="C245" s="275" t="s">
        <v>71</v>
      </c>
      <c r="D245" s="275"/>
      <c r="E245" s="276">
        <v>5.7188694373E10</v>
      </c>
      <c r="F245" s="277">
        <v>6.0</v>
      </c>
      <c r="G245" s="277">
        <v>9.0</v>
      </c>
      <c r="H245" s="277">
        <v>74.0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78" t="s">
        <v>3274</v>
      </c>
      <c r="B246" s="278" t="s">
        <v>3023</v>
      </c>
      <c r="C246" s="278" t="s">
        <v>137</v>
      </c>
      <c r="D246" s="278"/>
      <c r="E246" s="279">
        <v>5.7210566768E10</v>
      </c>
      <c r="F246" s="280">
        <v>1.0</v>
      </c>
      <c r="G246" s="280">
        <v>2.0</v>
      </c>
      <c r="H246" s="280">
        <v>7.0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75" t="s">
        <v>3275</v>
      </c>
      <c r="B247" s="275" t="s">
        <v>3017</v>
      </c>
      <c r="C247" s="275" t="s">
        <v>60</v>
      </c>
      <c r="D247" s="275"/>
      <c r="E247" s="277"/>
      <c r="F247" s="277">
        <v>0.0</v>
      </c>
      <c r="G247" s="277">
        <v>0.0</v>
      </c>
      <c r="H247" s="277">
        <v>0.0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78" t="s">
        <v>3276</v>
      </c>
      <c r="B248" s="278" t="s">
        <v>3017</v>
      </c>
      <c r="C248" s="278" t="s">
        <v>60</v>
      </c>
      <c r="D248" s="278"/>
      <c r="E248" s="279">
        <v>5.7207774889E10</v>
      </c>
      <c r="F248" s="280">
        <v>1.0</v>
      </c>
      <c r="G248" s="280">
        <v>1.0</v>
      </c>
      <c r="H248" s="280">
        <v>5.0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275" t="s">
        <v>3277</v>
      </c>
      <c r="B249" s="275" t="s">
        <v>3027</v>
      </c>
      <c r="C249" s="275" t="s">
        <v>329</v>
      </c>
      <c r="D249" s="275"/>
      <c r="E249" s="276">
        <v>5.7221965483E10</v>
      </c>
      <c r="F249" s="277">
        <v>0.0</v>
      </c>
      <c r="G249" s="277">
        <v>1.0</v>
      </c>
      <c r="H249" s="277">
        <v>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78" t="s">
        <v>3278</v>
      </c>
      <c r="B250" s="278" t="s">
        <v>3017</v>
      </c>
      <c r="C250" s="278" t="s">
        <v>75</v>
      </c>
      <c r="D250" s="278"/>
      <c r="E250" s="279">
        <v>7.20187004E9</v>
      </c>
      <c r="F250" s="280">
        <v>1.0</v>
      </c>
      <c r="G250" s="280">
        <v>5.0</v>
      </c>
      <c r="H250" s="280">
        <v>3.0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75" t="s">
        <v>3279</v>
      </c>
      <c r="B251" s="275" t="s">
        <v>3017</v>
      </c>
      <c r="C251" s="275" t="s">
        <v>71</v>
      </c>
      <c r="D251" s="275"/>
      <c r="E251" s="276">
        <v>5.7217030807E10</v>
      </c>
      <c r="F251" s="277">
        <v>0.0</v>
      </c>
      <c r="G251" s="277">
        <v>2.0</v>
      </c>
      <c r="H251" s="277">
        <v>0.0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78" t="s">
        <v>3280</v>
      </c>
      <c r="B252" s="278" t="s">
        <v>3017</v>
      </c>
      <c r="C252" s="278" t="s">
        <v>329</v>
      </c>
      <c r="D252" s="278"/>
      <c r="E252" s="279">
        <v>5.7196286863E10</v>
      </c>
      <c r="F252" s="280">
        <v>0.0</v>
      </c>
      <c r="G252" s="280">
        <v>1.0</v>
      </c>
      <c r="H252" s="280">
        <v>0.0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75" t="s">
        <v>3281</v>
      </c>
      <c r="B253" s="275" t="s">
        <v>3017</v>
      </c>
      <c r="C253" s="275" t="s">
        <v>71</v>
      </c>
      <c r="D253" s="275"/>
      <c r="E253" s="276">
        <v>5.7202223262E10</v>
      </c>
      <c r="F253" s="277">
        <v>1.0</v>
      </c>
      <c r="G253" s="277">
        <v>5.0</v>
      </c>
      <c r="H253" s="277">
        <v>5.0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78" t="s">
        <v>3282</v>
      </c>
      <c r="B254" s="278" t="s">
        <v>3283</v>
      </c>
      <c r="C254" s="278" t="s">
        <v>272</v>
      </c>
      <c r="D254" s="278"/>
      <c r="E254" s="280"/>
      <c r="F254" s="280">
        <v>0.0</v>
      </c>
      <c r="G254" s="280">
        <v>0.0</v>
      </c>
      <c r="H254" s="280">
        <v>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75" t="s">
        <v>3284</v>
      </c>
      <c r="B255" s="275" t="s">
        <v>3017</v>
      </c>
      <c r="C255" s="275" t="s">
        <v>137</v>
      </c>
      <c r="D255" s="275"/>
      <c r="E255" s="276">
        <v>5.7192819329E10</v>
      </c>
      <c r="F255" s="277">
        <v>1.0</v>
      </c>
      <c r="G255" s="277">
        <v>1.0</v>
      </c>
      <c r="H255" s="277">
        <v>2.0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78" t="s">
        <v>3285</v>
      </c>
      <c r="B256" s="278" t="s">
        <v>3017</v>
      </c>
      <c r="C256" s="278" t="s">
        <v>36</v>
      </c>
      <c r="D256" s="278"/>
      <c r="E256" s="279">
        <v>5.64861518E10</v>
      </c>
      <c r="F256" s="280">
        <v>1.0</v>
      </c>
      <c r="G256" s="280">
        <v>2.0</v>
      </c>
      <c r="H256" s="280">
        <v>2.0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275" t="s">
        <v>3286</v>
      </c>
      <c r="B257" s="275" t="s">
        <v>3025</v>
      </c>
      <c r="C257" s="275" t="s">
        <v>137</v>
      </c>
      <c r="D257" s="275"/>
      <c r="E257" s="276">
        <v>5.7210556014E10</v>
      </c>
      <c r="F257" s="277">
        <v>1.0</v>
      </c>
      <c r="G257" s="277">
        <v>2.0</v>
      </c>
      <c r="H257" s="277">
        <v>1.0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78" t="s">
        <v>3287</v>
      </c>
      <c r="B258" s="278" t="s">
        <v>3017</v>
      </c>
      <c r="C258" s="278" t="s">
        <v>41</v>
      </c>
      <c r="D258" s="278"/>
      <c r="E258" s="279">
        <v>5.60079079E10</v>
      </c>
      <c r="F258" s="280">
        <v>1.0</v>
      </c>
      <c r="G258" s="280">
        <v>1.0</v>
      </c>
      <c r="H258" s="280">
        <v>10.0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75" t="s">
        <v>3288</v>
      </c>
      <c r="B259" s="275" t="s">
        <v>3023</v>
      </c>
      <c r="C259" s="275" t="s">
        <v>137</v>
      </c>
      <c r="D259" s="275"/>
      <c r="E259" s="277"/>
      <c r="F259" s="277">
        <v>0.0</v>
      </c>
      <c r="G259" s="277">
        <v>0.0</v>
      </c>
      <c r="H259" s="277">
        <v>0.0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78" t="s">
        <v>3289</v>
      </c>
      <c r="B260" s="278" t="s">
        <v>3017</v>
      </c>
      <c r="C260" s="278" t="s">
        <v>859</v>
      </c>
      <c r="D260" s="278"/>
      <c r="E260" s="280"/>
      <c r="F260" s="280">
        <v>0.0</v>
      </c>
      <c r="G260" s="280">
        <v>0.0</v>
      </c>
      <c r="H260" s="280">
        <v>0.0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75" t="s">
        <v>3290</v>
      </c>
      <c r="B261" s="275" t="s">
        <v>3025</v>
      </c>
      <c r="C261" s="275" t="s">
        <v>108</v>
      </c>
      <c r="D261" s="275"/>
      <c r="E261" s="276">
        <v>2.04334276E10</v>
      </c>
      <c r="F261" s="277">
        <v>0.0</v>
      </c>
      <c r="G261" s="277">
        <v>1.0</v>
      </c>
      <c r="H261" s="277">
        <v>0.0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78" t="s">
        <v>3291</v>
      </c>
      <c r="B262" s="278" t="s">
        <v>3025</v>
      </c>
      <c r="C262" s="278" t="s">
        <v>218</v>
      </c>
      <c r="D262" s="278"/>
      <c r="E262" s="280"/>
      <c r="F262" s="280">
        <v>0.0</v>
      </c>
      <c r="G262" s="280">
        <v>0.0</v>
      </c>
      <c r="H262" s="280">
        <v>0.0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75" t="s">
        <v>3292</v>
      </c>
      <c r="B263" s="275" t="s">
        <v>3061</v>
      </c>
      <c r="C263" s="275" t="s">
        <v>144</v>
      </c>
      <c r="D263" s="275"/>
      <c r="E263" s="276">
        <v>3.6069392E10</v>
      </c>
      <c r="F263" s="277">
        <v>2.0</v>
      </c>
      <c r="G263" s="277">
        <v>14.0</v>
      </c>
      <c r="H263" s="277">
        <v>8.0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78" t="s">
        <v>3293</v>
      </c>
      <c r="B264" s="278" t="s">
        <v>3027</v>
      </c>
      <c r="C264" s="278" t="s">
        <v>356</v>
      </c>
      <c r="D264" s="278"/>
      <c r="E264" s="280"/>
      <c r="F264" s="280">
        <v>0.0</v>
      </c>
      <c r="G264" s="280">
        <v>0.0</v>
      </c>
      <c r="H264" s="280">
        <v>0.0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275" t="s">
        <v>3294</v>
      </c>
      <c r="B265" s="275" t="s">
        <v>3019</v>
      </c>
      <c r="C265" s="275" t="s">
        <v>71</v>
      </c>
      <c r="D265" s="275"/>
      <c r="E265" s="276">
        <v>6.603145071E9</v>
      </c>
      <c r="F265" s="277">
        <v>4.0</v>
      </c>
      <c r="G265" s="277">
        <v>14.0</v>
      </c>
      <c r="H265" s="277">
        <v>34.0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78" t="s">
        <v>3295</v>
      </c>
      <c r="B266" s="278" t="s">
        <v>3027</v>
      </c>
      <c r="C266" s="278" t="s">
        <v>108</v>
      </c>
      <c r="D266" s="278"/>
      <c r="E266" s="279">
        <v>5.7208080294E10</v>
      </c>
      <c r="F266" s="280">
        <v>0.0</v>
      </c>
      <c r="G266" s="280">
        <v>1.0</v>
      </c>
      <c r="H266" s="280">
        <v>0.0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275" t="s">
        <v>3296</v>
      </c>
      <c r="B267" s="275" t="s">
        <v>3021</v>
      </c>
      <c r="C267" s="275" t="s">
        <v>210</v>
      </c>
      <c r="D267" s="275"/>
      <c r="E267" s="276">
        <v>9.5341975E9</v>
      </c>
      <c r="F267" s="277">
        <v>7.0</v>
      </c>
      <c r="G267" s="277">
        <v>66.0</v>
      </c>
      <c r="H267" s="277">
        <v>168.0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78" t="s">
        <v>3297</v>
      </c>
      <c r="B268" s="278" t="s">
        <v>3017</v>
      </c>
      <c r="C268" s="278" t="s">
        <v>41</v>
      </c>
      <c r="D268" s="278"/>
      <c r="E268" s="280"/>
      <c r="F268" s="280">
        <v>0.0</v>
      </c>
      <c r="G268" s="280">
        <v>0.0</v>
      </c>
      <c r="H268" s="280">
        <v>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75" t="s">
        <v>3298</v>
      </c>
      <c r="B269" s="275" t="s">
        <v>3023</v>
      </c>
      <c r="C269" s="275" t="s">
        <v>41</v>
      </c>
      <c r="D269" s="275"/>
      <c r="E269" s="276">
        <v>5.7195533664E10</v>
      </c>
      <c r="F269" s="277">
        <v>1.0</v>
      </c>
      <c r="G269" s="277">
        <v>9.0</v>
      </c>
      <c r="H269" s="277">
        <v>16.0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78" t="s">
        <v>3299</v>
      </c>
      <c r="B270" s="278" t="s">
        <v>3027</v>
      </c>
      <c r="C270" s="278" t="s">
        <v>41</v>
      </c>
      <c r="D270" s="278"/>
      <c r="E270" s="279">
        <v>5.7201720724E10</v>
      </c>
      <c r="F270" s="280">
        <v>2.0</v>
      </c>
      <c r="G270" s="280">
        <v>5.0</v>
      </c>
      <c r="H270" s="280">
        <v>13.0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75" t="s">
        <v>3300</v>
      </c>
      <c r="B271" s="275" t="s">
        <v>3017</v>
      </c>
      <c r="C271" s="275" t="s">
        <v>329</v>
      </c>
      <c r="D271" s="275"/>
      <c r="E271" s="276">
        <v>5.7210343239E10</v>
      </c>
      <c r="F271" s="277">
        <v>1.0</v>
      </c>
      <c r="G271" s="277">
        <v>1.0</v>
      </c>
      <c r="H271" s="277">
        <v>1.0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78" t="s">
        <v>3301</v>
      </c>
      <c r="B272" s="278" t="s">
        <v>3027</v>
      </c>
      <c r="C272" s="278" t="s">
        <v>272</v>
      </c>
      <c r="D272" s="278"/>
      <c r="E272" s="280"/>
      <c r="F272" s="280">
        <v>0.0</v>
      </c>
      <c r="G272" s="280">
        <v>0.0</v>
      </c>
      <c r="H272" s="280">
        <v>0.0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75" t="s">
        <v>3302</v>
      </c>
      <c r="B273" s="275" t="s">
        <v>3027</v>
      </c>
      <c r="C273" s="275" t="s">
        <v>167</v>
      </c>
      <c r="D273" s="275"/>
      <c r="E273" s="276">
        <v>8.8603819E9</v>
      </c>
      <c r="F273" s="277">
        <v>2.0</v>
      </c>
      <c r="G273" s="277">
        <v>7.0</v>
      </c>
      <c r="H273" s="277">
        <v>7.0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78" t="s">
        <v>3303</v>
      </c>
      <c r="B274" s="278" t="s">
        <v>3023</v>
      </c>
      <c r="C274" s="278" t="s">
        <v>428</v>
      </c>
      <c r="D274" s="278"/>
      <c r="E274" s="279">
        <v>4.78612217E10</v>
      </c>
      <c r="F274" s="280">
        <v>13.0</v>
      </c>
      <c r="G274" s="280">
        <v>38.0</v>
      </c>
      <c r="H274" s="280">
        <v>422.0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75" t="s">
        <v>3304</v>
      </c>
      <c r="B275" s="275" t="s">
        <v>3025</v>
      </c>
      <c r="C275" s="275" t="s">
        <v>137</v>
      </c>
      <c r="D275" s="275"/>
      <c r="E275" s="277"/>
      <c r="F275" s="277">
        <v>1.0</v>
      </c>
      <c r="G275" s="277">
        <v>4.0</v>
      </c>
      <c r="H275" s="277">
        <v>2.0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78" t="s">
        <v>3305</v>
      </c>
      <c r="B276" s="278" t="s">
        <v>3023</v>
      </c>
      <c r="C276" s="278" t="s">
        <v>94</v>
      </c>
      <c r="D276" s="278"/>
      <c r="E276" s="279">
        <v>5.7193827551E10</v>
      </c>
      <c r="F276" s="280">
        <v>1.0</v>
      </c>
      <c r="G276" s="280">
        <v>3.0</v>
      </c>
      <c r="H276" s="280">
        <v>1.0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75" t="s">
        <v>3306</v>
      </c>
      <c r="B277" s="275" t="s">
        <v>3023</v>
      </c>
      <c r="C277" s="275" t="s">
        <v>409</v>
      </c>
      <c r="D277" s="275"/>
      <c r="E277" s="276">
        <v>5.7211756904E10</v>
      </c>
      <c r="F277" s="277">
        <v>4.0</v>
      </c>
      <c r="G277" s="277">
        <v>8.0</v>
      </c>
      <c r="H277" s="277">
        <v>28.0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78" t="s">
        <v>3307</v>
      </c>
      <c r="B278" s="278" t="s">
        <v>3038</v>
      </c>
      <c r="C278" s="278" t="s">
        <v>128</v>
      </c>
      <c r="D278" s="278"/>
      <c r="E278" s="280"/>
      <c r="F278" s="280">
        <v>0.0</v>
      </c>
      <c r="G278" s="280">
        <v>0.0</v>
      </c>
      <c r="H278" s="280">
        <v>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75" t="s">
        <v>3308</v>
      </c>
      <c r="B279" s="275" t="s">
        <v>3017</v>
      </c>
      <c r="C279" s="275" t="s">
        <v>428</v>
      </c>
      <c r="D279" s="275"/>
      <c r="E279" s="276">
        <v>6.50735412E9</v>
      </c>
      <c r="F279" s="277">
        <v>0.0</v>
      </c>
      <c r="G279" s="277">
        <v>2.0</v>
      </c>
      <c r="H279" s="277">
        <v>0.0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278" t="s">
        <v>3309</v>
      </c>
      <c r="B280" s="278" t="s">
        <v>3025</v>
      </c>
      <c r="C280" s="278" t="s">
        <v>167</v>
      </c>
      <c r="D280" s="278"/>
      <c r="E280" s="279">
        <v>5.7191861308E10</v>
      </c>
      <c r="F280" s="280">
        <v>2.0</v>
      </c>
      <c r="G280" s="280">
        <v>3.0</v>
      </c>
      <c r="H280" s="280">
        <v>10.0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275" t="s">
        <v>3310</v>
      </c>
      <c r="B281" s="275" t="s">
        <v>3021</v>
      </c>
      <c r="C281" s="275" t="s">
        <v>167</v>
      </c>
      <c r="D281" s="275"/>
      <c r="E281" s="276">
        <v>5.68459194E10</v>
      </c>
      <c r="F281" s="277">
        <v>4.0</v>
      </c>
      <c r="G281" s="277">
        <v>14.0</v>
      </c>
      <c r="H281" s="277">
        <v>44.0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78" t="s">
        <v>3311</v>
      </c>
      <c r="B282" s="278" t="s">
        <v>3025</v>
      </c>
      <c r="C282" s="278" t="s">
        <v>144</v>
      </c>
      <c r="D282" s="278"/>
      <c r="E282" s="280"/>
      <c r="F282" s="280">
        <v>0.0</v>
      </c>
      <c r="G282" s="280">
        <v>0.0</v>
      </c>
      <c r="H282" s="280">
        <v>0.0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75" t="s">
        <v>3312</v>
      </c>
      <c r="B283" s="275" t="s">
        <v>3021</v>
      </c>
      <c r="C283" s="275" t="s">
        <v>71</v>
      </c>
      <c r="D283" s="275"/>
      <c r="E283" s="276">
        <v>5.64232292E10</v>
      </c>
      <c r="F283" s="277">
        <v>7.0</v>
      </c>
      <c r="G283" s="277">
        <v>30.0</v>
      </c>
      <c r="H283" s="277">
        <v>108.0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78" t="s">
        <v>3313</v>
      </c>
      <c r="B284" s="278" t="s">
        <v>3017</v>
      </c>
      <c r="C284" s="278" t="s">
        <v>137</v>
      </c>
      <c r="D284" s="278"/>
      <c r="E284" s="279">
        <v>5.7203149875E10</v>
      </c>
      <c r="F284" s="280">
        <v>2.0</v>
      </c>
      <c r="G284" s="280">
        <v>6.0</v>
      </c>
      <c r="H284" s="280">
        <v>5.0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75" t="s">
        <v>3314</v>
      </c>
      <c r="B285" s="275" t="s">
        <v>3025</v>
      </c>
      <c r="C285" s="275" t="s">
        <v>137</v>
      </c>
      <c r="D285" s="275"/>
      <c r="E285" s="276">
        <v>5.67355739E10</v>
      </c>
      <c r="F285" s="277">
        <v>4.0</v>
      </c>
      <c r="G285" s="277">
        <v>6.0</v>
      </c>
      <c r="H285" s="277">
        <v>77.0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78" t="s">
        <v>3315</v>
      </c>
      <c r="B286" s="278" t="s">
        <v>3017</v>
      </c>
      <c r="C286" s="278" t="s">
        <v>116</v>
      </c>
      <c r="D286" s="278"/>
      <c r="E286" s="280"/>
      <c r="F286" s="280">
        <v>0.0</v>
      </c>
      <c r="G286" s="280">
        <v>0.0</v>
      </c>
      <c r="H286" s="280">
        <v>0.0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75" t="s">
        <v>3316</v>
      </c>
      <c r="B287" s="275" t="s">
        <v>3021</v>
      </c>
      <c r="C287" s="275" t="s">
        <v>859</v>
      </c>
      <c r="D287" s="275"/>
      <c r="E287" s="276">
        <v>7.102777798E9</v>
      </c>
      <c r="F287" s="277">
        <v>6.0</v>
      </c>
      <c r="G287" s="277">
        <v>57.0</v>
      </c>
      <c r="H287" s="277">
        <v>168.0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78" t="s">
        <v>3317</v>
      </c>
      <c r="B288" s="278" t="s">
        <v>3017</v>
      </c>
      <c r="C288" s="278" t="s">
        <v>36</v>
      </c>
      <c r="D288" s="278"/>
      <c r="E288" s="279">
        <v>5.59756069E10</v>
      </c>
      <c r="F288" s="280">
        <v>1.0</v>
      </c>
      <c r="G288" s="280">
        <v>7.0</v>
      </c>
      <c r="H288" s="280">
        <v>7.0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75" t="s">
        <v>3318</v>
      </c>
      <c r="B289" s="275" t="s">
        <v>3061</v>
      </c>
      <c r="C289" s="275" t="s">
        <v>78</v>
      </c>
      <c r="D289" s="275"/>
      <c r="E289" s="277"/>
      <c r="F289" s="277">
        <v>0.0</v>
      </c>
      <c r="G289" s="277">
        <v>0.0</v>
      </c>
      <c r="H289" s="277">
        <v>0.0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78" t="s">
        <v>3319</v>
      </c>
      <c r="B290" s="278" t="s">
        <v>3025</v>
      </c>
      <c r="C290" s="278" t="s">
        <v>21</v>
      </c>
      <c r="D290" s="278"/>
      <c r="E290" s="280"/>
      <c r="F290" s="280">
        <v>0.0</v>
      </c>
      <c r="G290" s="280">
        <v>0.0</v>
      </c>
      <c r="H290" s="280">
        <v>0.0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275" t="s">
        <v>3320</v>
      </c>
      <c r="B291" s="275" t="s">
        <v>3027</v>
      </c>
      <c r="C291" s="275" t="s">
        <v>36</v>
      </c>
      <c r="D291" s="275"/>
      <c r="E291" s="277"/>
      <c r="F291" s="277">
        <v>0.0</v>
      </c>
      <c r="G291" s="277">
        <v>0.0</v>
      </c>
      <c r="H291" s="277">
        <v>0.0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278" t="s">
        <v>3321</v>
      </c>
      <c r="B292" s="278" t="s">
        <v>3023</v>
      </c>
      <c r="C292" s="278" t="s">
        <v>859</v>
      </c>
      <c r="D292" s="278"/>
      <c r="E292" s="279">
        <v>5.59386685E10</v>
      </c>
      <c r="F292" s="280">
        <v>2.0</v>
      </c>
      <c r="G292" s="280">
        <v>15.0</v>
      </c>
      <c r="H292" s="280">
        <v>13.0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75" t="s">
        <v>3322</v>
      </c>
      <c r="B293" s="275" t="s">
        <v>3061</v>
      </c>
      <c r="C293" s="275" t="s">
        <v>41</v>
      </c>
      <c r="D293" s="275"/>
      <c r="E293" s="277"/>
      <c r="F293" s="277">
        <v>0.0</v>
      </c>
      <c r="G293" s="277">
        <v>0.0</v>
      </c>
      <c r="H293" s="277">
        <v>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78" t="s">
        <v>3323</v>
      </c>
      <c r="B294" s="278" t="s">
        <v>3017</v>
      </c>
      <c r="C294" s="278" t="s">
        <v>428</v>
      </c>
      <c r="D294" s="278"/>
      <c r="E294" s="280"/>
      <c r="F294" s="280">
        <v>0.0</v>
      </c>
      <c r="G294" s="280">
        <v>0.0</v>
      </c>
      <c r="H294" s="280">
        <v>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75" t="s">
        <v>3324</v>
      </c>
      <c r="B295" s="275" t="s">
        <v>3017</v>
      </c>
      <c r="C295" s="275" t="s">
        <v>594</v>
      </c>
      <c r="D295" s="275"/>
      <c r="E295" s="277"/>
      <c r="F295" s="277">
        <v>0.0</v>
      </c>
      <c r="G295" s="277">
        <v>0.0</v>
      </c>
      <c r="H295" s="277">
        <v>0.0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78" t="s">
        <v>3325</v>
      </c>
      <c r="B296" s="278" t="s">
        <v>3038</v>
      </c>
      <c r="C296" s="278" t="s">
        <v>128</v>
      </c>
      <c r="D296" s="278"/>
      <c r="E296" s="279">
        <v>6.603247602E9</v>
      </c>
      <c r="F296" s="280">
        <v>2.0</v>
      </c>
      <c r="G296" s="280">
        <v>7.0</v>
      </c>
      <c r="H296" s="280">
        <v>17.0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75" t="s">
        <v>3326</v>
      </c>
      <c r="B297" s="275" t="s">
        <v>3025</v>
      </c>
      <c r="C297" s="275" t="s">
        <v>21</v>
      </c>
      <c r="D297" s="275"/>
      <c r="E297" s="277"/>
      <c r="F297" s="277">
        <v>0.0</v>
      </c>
      <c r="G297" s="277">
        <v>0.0</v>
      </c>
      <c r="H297" s="277">
        <v>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78" t="s">
        <v>3327</v>
      </c>
      <c r="B298" s="278" t="s">
        <v>3017</v>
      </c>
      <c r="C298" s="278" t="s">
        <v>210</v>
      </c>
      <c r="D298" s="278"/>
      <c r="E298" s="279">
        <v>5.7205887139E10</v>
      </c>
      <c r="F298" s="280">
        <v>3.0</v>
      </c>
      <c r="G298" s="280">
        <v>12.0</v>
      </c>
      <c r="H298" s="280">
        <v>21.0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75" t="s">
        <v>3328</v>
      </c>
      <c r="B299" s="275" t="s">
        <v>3019</v>
      </c>
      <c r="C299" s="275" t="s">
        <v>137</v>
      </c>
      <c r="D299" s="275"/>
      <c r="E299" s="277"/>
      <c r="F299" s="277">
        <v>0.0</v>
      </c>
      <c r="G299" s="277">
        <v>0.0</v>
      </c>
      <c r="H299" s="277">
        <v>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78" t="s">
        <v>3329</v>
      </c>
      <c r="B300" s="278" t="s">
        <v>3017</v>
      </c>
      <c r="C300" s="278" t="s">
        <v>137</v>
      </c>
      <c r="D300" s="278"/>
      <c r="E300" s="279">
        <v>5.7192820253E10</v>
      </c>
      <c r="F300" s="280">
        <v>1.0</v>
      </c>
      <c r="G300" s="280">
        <v>2.0</v>
      </c>
      <c r="H300" s="280">
        <v>2.0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75" t="s">
        <v>3330</v>
      </c>
      <c r="B301" s="275" t="s">
        <v>3017</v>
      </c>
      <c r="C301" s="275" t="s">
        <v>41</v>
      </c>
      <c r="D301" s="275"/>
      <c r="E301" s="276">
        <v>5.7207768042E10</v>
      </c>
      <c r="F301" s="277">
        <v>0.0</v>
      </c>
      <c r="G301" s="277">
        <v>3.0</v>
      </c>
      <c r="H301" s="277">
        <v>0.0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72" t="s">
        <v>3331</v>
      </c>
      <c r="B302" s="272" t="s">
        <v>3017</v>
      </c>
      <c r="C302" s="272" t="s">
        <v>171</v>
      </c>
      <c r="D302" s="272"/>
      <c r="E302" s="274"/>
      <c r="F302" s="274">
        <v>0.0</v>
      </c>
      <c r="G302" s="274">
        <v>0.0</v>
      </c>
      <c r="H302" s="274">
        <v>0.0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75" t="s">
        <v>3332</v>
      </c>
      <c r="B303" s="275" t="s">
        <v>3038</v>
      </c>
      <c r="C303" s="275" t="s">
        <v>218</v>
      </c>
      <c r="D303" s="275"/>
      <c r="E303" s="276">
        <v>5.7190372355E10</v>
      </c>
      <c r="F303" s="277">
        <v>3.0</v>
      </c>
      <c r="G303" s="277">
        <v>15.0</v>
      </c>
      <c r="H303" s="277">
        <v>31.0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78" t="s">
        <v>3333</v>
      </c>
      <c r="B304" s="278" t="s">
        <v>3017</v>
      </c>
      <c r="C304" s="278" t="s">
        <v>329</v>
      </c>
      <c r="D304" s="278"/>
      <c r="E304" s="279">
        <v>5.7217200781E10</v>
      </c>
      <c r="F304" s="280">
        <v>1.0</v>
      </c>
      <c r="G304" s="280">
        <v>3.0</v>
      </c>
      <c r="H304" s="280">
        <v>1.0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275" t="s">
        <v>3334</v>
      </c>
      <c r="B305" s="275" t="s">
        <v>3017</v>
      </c>
      <c r="C305" s="275" t="s">
        <v>329</v>
      </c>
      <c r="D305" s="275"/>
      <c r="E305" s="276">
        <v>5.7207764576E10</v>
      </c>
      <c r="F305" s="277">
        <v>1.0</v>
      </c>
      <c r="G305" s="277">
        <v>3.0</v>
      </c>
      <c r="H305" s="277">
        <v>4.0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78" t="s">
        <v>3335</v>
      </c>
      <c r="B306" s="278" t="s">
        <v>3038</v>
      </c>
      <c r="C306" s="278" t="s">
        <v>356</v>
      </c>
      <c r="D306" s="278"/>
      <c r="E306" s="279">
        <v>5.7194029246E10</v>
      </c>
      <c r="F306" s="280">
        <v>3.0</v>
      </c>
      <c r="G306" s="280">
        <v>7.0</v>
      </c>
      <c r="H306" s="280">
        <v>64.0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75" t="s">
        <v>3336</v>
      </c>
      <c r="B307" s="275" t="s">
        <v>3023</v>
      </c>
      <c r="C307" s="275" t="s">
        <v>428</v>
      </c>
      <c r="D307" s="275"/>
      <c r="E307" s="276">
        <v>1.65205475E10</v>
      </c>
      <c r="F307" s="277">
        <v>0.0</v>
      </c>
      <c r="G307" s="277">
        <v>1.0</v>
      </c>
      <c r="H307" s="277">
        <v>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278" t="s">
        <v>3337</v>
      </c>
      <c r="B308" s="278" t="s">
        <v>3027</v>
      </c>
      <c r="C308" s="278" t="s">
        <v>78</v>
      </c>
      <c r="D308" s="278"/>
      <c r="E308" s="280"/>
      <c r="F308" s="280">
        <v>0.0</v>
      </c>
      <c r="G308" s="280">
        <v>0.0</v>
      </c>
      <c r="H308" s="280">
        <v>0.0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75" t="s">
        <v>3338</v>
      </c>
      <c r="B309" s="275" t="s">
        <v>3017</v>
      </c>
      <c r="C309" s="275" t="s">
        <v>144</v>
      </c>
      <c r="D309" s="275"/>
      <c r="E309" s="276">
        <v>5.71705103E10</v>
      </c>
      <c r="F309" s="277">
        <v>1.0</v>
      </c>
      <c r="G309" s="277">
        <v>4.0</v>
      </c>
      <c r="H309" s="277">
        <v>5.0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278" t="s">
        <v>3339</v>
      </c>
      <c r="B310" s="278" t="s">
        <v>3023</v>
      </c>
      <c r="C310" s="278" t="s">
        <v>329</v>
      </c>
      <c r="D310" s="278"/>
      <c r="E310" s="279">
        <v>5.7199231727E10</v>
      </c>
      <c r="F310" s="280">
        <v>2.0</v>
      </c>
      <c r="G310" s="280">
        <v>3.0</v>
      </c>
      <c r="H310" s="280">
        <v>16.0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275" t="s">
        <v>3340</v>
      </c>
      <c r="B311" s="275" t="s">
        <v>3023</v>
      </c>
      <c r="C311" s="275" t="s">
        <v>36</v>
      </c>
      <c r="D311" s="275"/>
      <c r="E311" s="276">
        <v>9.2747387E9</v>
      </c>
      <c r="F311" s="277">
        <v>1.0</v>
      </c>
      <c r="G311" s="277">
        <v>9.0</v>
      </c>
      <c r="H311" s="277">
        <v>1.0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278" t="s">
        <v>3341</v>
      </c>
      <c r="B312" s="278" t="s">
        <v>3038</v>
      </c>
      <c r="C312" s="278" t="s">
        <v>120</v>
      </c>
      <c r="D312" s="278"/>
      <c r="E312" s="279">
        <v>5.7200076398E10</v>
      </c>
      <c r="F312" s="280">
        <v>1.0</v>
      </c>
      <c r="G312" s="280">
        <v>3.0</v>
      </c>
      <c r="H312" s="280">
        <v>3.0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75" t="s">
        <v>3342</v>
      </c>
      <c r="B313" s="275" t="s">
        <v>3027</v>
      </c>
      <c r="C313" s="275" t="s">
        <v>272</v>
      </c>
      <c r="D313" s="275"/>
      <c r="E313" s="276">
        <v>5.7218268816E10</v>
      </c>
      <c r="F313" s="277">
        <v>0.0</v>
      </c>
      <c r="G313" s="277">
        <v>1.0</v>
      </c>
      <c r="H313" s="277">
        <v>0.0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78" t="s">
        <v>3343</v>
      </c>
      <c r="B314" s="278" t="s">
        <v>3027</v>
      </c>
      <c r="C314" s="278" t="s">
        <v>272</v>
      </c>
      <c r="D314" s="278"/>
      <c r="E314" s="280"/>
      <c r="F314" s="280">
        <v>0.0</v>
      </c>
      <c r="G314" s="280">
        <v>0.0</v>
      </c>
      <c r="H314" s="280">
        <v>0.0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75" t="s">
        <v>3344</v>
      </c>
      <c r="B315" s="275" t="s">
        <v>3061</v>
      </c>
      <c r="C315" s="275" t="s">
        <v>120</v>
      </c>
      <c r="D315" s="275"/>
      <c r="E315" s="277"/>
      <c r="F315" s="277">
        <v>0.0</v>
      </c>
      <c r="G315" s="277">
        <v>0.0</v>
      </c>
      <c r="H315" s="277">
        <v>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78" t="s">
        <v>3345</v>
      </c>
      <c r="B316" s="278" t="s">
        <v>3027</v>
      </c>
      <c r="C316" s="278" t="s">
        <v>91</v>
      </c>
      <c r="D316" s="278"/>
      <c r="E316" s="280"/>
      <c r="F316" s="280">
        <v>0.0</v>
      </c>
      <c r="G316" s="280">
        <v>0.0</v>
      </c>
      <c r="H316" s="280">
        <v>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75" t="s">
        <v>3346</v>
      </c>
      <c r="B317" s="275" t="s">
        <v>3054</v>
      </c>
      <c r="C317" s="275" t="s">
        <v>102</v>
      </c>
      <c r="D317" s="275"/>
      <c r="E317" s="276">
        <v>1.57696102E10</v>
      </c>
      <c r="F317" s="277"/>
      <c r="G317" s="277"/>
      <c r="H317" s="277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78" t="s">
        <v>3347</v>
      </c>
      <c r="B318" s="278" t="s">
        <v>3023</v>
      </c>
      <c r="C318" s="278" t="s">
        <v>51</v>
      </c>
      <c r="D318" s="278"/>
      <c r="E318" s="279">
        <v>4.30611539E10</v>
      </c>
      <c r="F318" s="280">
        <v>2.0</v>
      </c>
      <c r="G318" s="280">
        <v>10.0</v>
      </c>
      <c r="H318" s="280">
        <v>15.0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275" t="s">
        <v>3348</v>
      </c>
      <c r="B319" s="275" t="s">
        <v>3023</v>
      </c>
      <c r="C319" s="275" t="s">
        <v>210</v>
      </c>
      <c r="D319" s="275"/>
      <c r="E319" s="276">
        <v>5.7202800058E10</v>
      </c>
      <c r="F319" s="277">
        <v>4.0</v>
      </c>
      <c r="G319" s="277">
        <v>9.0</v>
      </c>
      <c r="H319" s="277">
        <v>29.0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278" t="s">
        <v>3349</v>
      </c>
      <c r="B320" s="278" t="s">
        <v>3054</v>
      </c>
      <c r="C320" s="278" t="s">
        <v>60</v>
      </c>
      <c r="D320" s="278"/>
      <c r="E320" s="280"/>
      <c r="F320" s="280">
        <v>0.0</v>
      </c>
      <c r="G320" s="280">
        <v>0.0</v>
      </c>
      <c r="H320" s="280">
        <v>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75" t="s">
        <v>3350</v>
      </c>
      <c r="B321" s="275" t="s">
        <v>3023</v>
      </c>
      <c r="C321" s="275" t="s">
        <v>120</v>
      </c>
      <c r="D321" s="275"/>
      <c r="E321" s="277"/>
      <c r="F321" s="277">
        <v>0.0</v>
      </c>
      <c r="G321" s="277">
        <v>0.0</v>
      </c>
      <c r="H321" s="277">
        <v>0.0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278" t="s">
        <v>3351</v>
      </c>
      <c r="B322" s="278" t="s">
        <v>3019</v>
      </c>
      <c r="C322" s="278" t="s">
        <v>60</v>
      </c>
      <c r="D322" s="278"/>
      <c r="E322" s="279">
        <v>5.7190443921E10</v>
      </c>
      <c r="F322" s="280">
        <v>3.0</v>
      </c>
      <c r="G322" s="280">
        <v>11.0</v>
      </c>
      <c r="H322" s="280">
        <v>39.0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275" t="s">
        <v>3352</v>
      </c>
      <c r="B323" s="275" t="s">
        <v>3038</v>
      </c>
      <c r="C323" s="275" t="s">
        <v>60</v>
      </c>
      <c r="D323" s="275"/>
      <c r="E323" s="276">
        <v>5.7196219605E10</v>
      </c>
      <c r="F323" s="277">
        <v>2.0</v>
      </c>
      <c r="G323" s="277">
        <v>3.0</v>
      </c>
      <c r="H323" s="277">
        <v>32.0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78" t="s">
        <v>3353</v>
      </c>
      <c r="B324" s="278" t="s">
        <v>3054</v>
      </c>
      <c r="C324" s="278" t="s">
        <v>21</v>
      </c>
      <c r="D324" s="278"/>
      <c r="E324" s="280"/>
      <c r="F324" s="280">
        <v>0.0</v>
      </c>
      <c r="G324" s="280">
        <v>0.0</v>
      </c>
      <c r="H324" s="280">
        <v>0.0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275" t="s">
        <v>3354</v>
      </c>
      <c r="B325" s="275" t="s">
        <v>3023</v>
      </c>
      <c r="C325" s="275" t="s">
        <v>329</v>
      </c>
      <c r="D325" s="275"/>
      <c r="E325" s="276">
        <v>1.65035371E10</v>
      </c>
      <c r="F325" s="277">
        <v>0.0</v>
      </c>
      <c r="G325" s="277">
        <v>1.0</v>
      </c>
      <c r="H325" s="277">
        <v>0.0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78" t="s">
        <v>3355</v>
      </c>
      <c r="B326" s="278" t="s">
        <v>3017</v>
      </c>
      <c r="C326" s="278" t="s">
        <v>144</v>
      </c>
      <c r="D326" s="278"/>
      <c r="E326" s="279">
        <v>3.57627386E10</v>
      </c>
      <c r="F326" s="280">
        <v>1.0</v>
      </c>
      <c r="G326" s="280">
        <v>3.0</v>
      </c>
      <c r="H326" s="280">
        <v>1.0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75" t="s">
        <v>3356</v>
      </c>
      <c r="B327" s="275" t="s">
        <v>3027</v>
      </c>
      <c r="C327" s="275" t="s">
        <v>91</v>
      </c>
      <c r="D327" s="275"/>
      <c r="E327" s="277"/>
      <c r="F327" s="277">
        <v>0.0</v>
      </c>
      <c r="G327" s="277">
        <v>0.0</v>
      </c>
      <c r="H327" s="277">
        <v>0.0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78" t="s">
        <v>3357</v>
      </c>
      <c r="B328" s="278" t="s">
        <v>3017</v>
      </c>
      <c r="C328" s="278" t="s">
        <v>41</v>
      </c>
      <c r="D328" s="278"/>
      <c r="E328" s="280"/>
      <c r="F328" s="280">
        <v>0.0</v>
      </c>
      <c r="G328" s="280">
        <v>0.0</v>
      </c>
      <c r="H328" s="280">
        <v>0.0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75" t="s">
        <v>3358</v>
      </c>
      <c r="B329" s="275" t="s">
        <v>3027</v>
      </c>
      <c r="C329" s="275" t="s">
        <v>91</v>
      </c>
      <c r="D329" s="275"/>
      <c r="E329" s="277"/>
      <c r="F329" s="277">
        <v>0.0</v>
      </c>
      <c r="G329" s="277">
        <v>0.0</v>
      </c>
      <c r="H329" s="277">
        <v>0.0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78" t="s">
        <v>3359</v>
      </c>
      <c r="B330" s="278" t="s">
        <v>3025</v>
      </c>
      <c r="C330" s="278" t="s">
        <v>859</v>
      </c>
      <c r="D330" s="278"/>
      <c r="E330" s="279">
        <v>5.68253223E10</v>
      </c>
      <c r="F330" s="280">
        <v>1.0</v>
      </c>
      <c r="G330" s="280">
        <v>1.0</v>
      </c>
      <c r="H330" s="280">
        <v>2.0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75" t="s">
        <v>3360</v>
      </c>
      <c r="B331" s="275" t="s">
        <v>3025</v>
      </c>
      <c r="C331" s="275" t="s">
        <v>21</v>
      </c>
      <c r="D331" s="275"/>
      <c r="E331" s="276">
        <v>5.7188732146E10</v>
      </c>
      <c r="F331" s="277">
        <v>1.0</v>
      </c>
      <c r="G331" s="277">
        <v>5.0</v>
      </c>
      <c r="H331" s="277">
        <v>3.0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78" t="s">
        <v>3361</v>
      </c>
      <c r="B332" s="278" t="s">
        <v>3362</v>
      </c>
      <c r="C332" s="278" t="s">
        <v>36</v>
      </c>
      <c r="D332" s="278"/>
      <c r="E332" s="279">
        <v>5.71940447E10</v>
      </c>
      <c r="F332" s="280">
        <v>0.0</v>
      </c>
      <c r="G332" s="280">
        <v>5.0</v>
      </c>
      <c r="H332" s="280">
        <v>0.0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75" t="s">
        <v>3363</v>
      </c>
      <c r="B333" s="275" t="s">
        <v>3017</v>
      </c>
      <c r="C333" s="275" t="s">
        <v>144</v>
      </c>
      <c r="D333" s="275"/>
      <c r="E333" s="276">
        <v>5.63378119E10</v>
      </c>
      <c r="F333" s="277">
        <v>5.0</v>
      </c>
      <c r="G333" s="277">
        <v>13.0</v>
      </c>
      <c r="H333" s="277">
        <v>58.0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78" t="s">
        <v>3364</v>
      </c>
      <c r="B334" s="278" t="s">
        <v>3017</v>
      </c>
      <c r="C334" s="278" t="s">
        <v>428</v>
      </c>
      <c r="D334" s="278"/>
      <c r="E334" s="279">
        <v>2.43410691E10</v>
      </c>
      <c r="F334" s="280">
        <v>1.0</v>
      </c>
      <c r="G334" s="280">
        <v>2.0</v>
      </c>
      <c r="H334" s="280">
        <v>2.0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75" t="s">
        <v>3365</v>
      </c>
      <c r="B335" s="275" t="s">
        <v>3023</v>
      </c>
      <c r="C335" s="275" t="s">
        <v>46</v>
      </c>
      <c r="D335" s="275"/>
      <c r="E335" s="276">
        <v>2.44833793E10</v>
      </c>
      <c r="F335" s="277">
        <v>3.0</v>
      </c>
      <c r="G335" s="277">
        <v>17.0</v>
      </c>
      <c r="H335" s="277">
        <v>22.0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78" t="s">
        <v>3366</v>
      </c>
      <c r="B336" s="278" t="s">
        <v>3017</v>
      </c>
      <c r="C336" s="278" t="s">
        <v>91</v>
      </c>
      <c r="D336" s="278"/>
      <c r="E336" s="280"/>
      <c r="F336" s="280">
        <v>0.0</v>
      </c>
      <c r="G336" s="280">
        <v>0.0</v>
      </c>
      <c r="H336" s="280">
        <v>0.0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75" t="s">
        <v>3367</v>
      </c>
      <c r="B337" s="275" t="s">
        <v>3027</v>
      </c>
      <c r="C337" s="275" t="s">
        <v>272</v>
      </c>
      <c r="D337" s="275"/>
      <c r="E337" s="277"/>
      <c r="F337" s="277">
        <v>0.0</v>
      </c>
      <c r="G337" s="277">
        <v>0.0</v>
      </c>
      <c r="H337" s="277">
        <v>0.0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78" t="s">
        <v>3368</v>
      </c>
      <c r="B338" s="278" t="s">
        <v>3027</v>
      </c>
      <c r="C338" s="278" t="s">
        <v>272</v>
      </c>
      <c r="D338" s="278"/>
      <c r="E338" s="280"/>
      <c r="F338" s="280">
        <v>0.0</v>
      </c>
      <c r="G338" s="280">
        <v>0.0</v>
      </c>
      <c r="H338" s="280">
        <v>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75" t="s">
        <v>3369</v>
      </c>
      <c r="B339" s="275" t="s">
        <v>3017</v>
      </c>
      <c r="C339" s="275" t="s">
        <v>218</v>
      </c>
      <c r="D339" s="275"/>
      <c r="E339" s="276">
        <v>5.7207765829E10</v>
      </c>
      <c r="F339" s="277">
        <v>2.0</v>
      </c>
      <c r="G339" s="277">
        <v>3.0</v>
      </c>
      <c r="H339" s="277">
        <v>4.0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78" t="s">
        <v>3370</v>
      </c>
      <c r="B340" s="278" t="s">
        <v>3027</v>
      </c>
      <c r="C340" s="278" t="s">
        <v>91</v>
      </c>
      <c r="D340" s="278"/>
      <c r="E340" s="280"/>
      <c r="F340" s="280">
        <v>0.0</v>
      </c>
      <c r="G340" s="280">
        <v>0.0</v>
      </c>
      <c r="H340" s="280">
        <v>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75" t="s">
        <v>3371</v>
      </c>
      <c r="B341" s="275" t="s">
        <v>3038</v>
      </c>
      <c r="C341" s="275" t="s">
        <v>41</v>
      </c>
      <c r="D341" s="275"/>
      <c r="E341" s="276">
        <v>5.7198208023E10</v>
      </c>
      <c r="F341" s="277">
        <v>1.0</v>
      </c>
      <c r="G341" s="277">
        <v>2.0</v>
      </c>
      <c r="H341" s="277">
        <v>3.0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78" t="s">
        <v>3372</v>
      </c>
      <c r="B342" s="278" t="s">
        <v>3017</v>
      </c>
      <c r="C342" s="278" t="s">
        <v>36</v>
      </c>
      <c r="D342" s="278"/>
      <c r="E342" s="279">
        <v>3.58679817E10</v>
      </c>
      <c r="F342" s="280">
        <v>4.0</v>
      </c>
      <c r="G342" s="280">
        <v>20.0</v>
      </c>
      <c r="H342" s="280">
        <v>79.0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75" t="s">
        <v>3373</v>
      </c>
      <c r="B343" s="275" t="s">
        <v>3023</v>
      </c>
      <c r="C343" s="275" t="s">
        <v>167</v>
      </c>
      <c r="D343" s="275"/>
      <c r="E343" s="276">
        <v>5.65570565E10</v>
      </c>
      <c r="F343" s="277">
        <v>1.0</v>
      </c>
      <c r="G343" s="277">
        <v>5.0</v>
      </c>
      <c r="H343" s="277">
        <v>9.0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78" t="s">
        <v>3374</v>
      </c>
      <c r="B344" s="278" t="s">
        <v>3017</v>
      </c>
      <c r="C344" s="278" t="s">
        <v>21</v>
      </c>
      <c r="D344" s="278"/>
      <c r="E344" s="279">
        <v>6.507740585E9</v>
      </c>
      <c r="F344" s="280">
        <v>3.0</v>
      </c>
      <c r="G344" s="280">
        <v>13.0</v>
      </c>
      <c r="H344" s="280">
        <v>72.0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75" t="s">
        <v>3375</v>
      </c>
      <c r="B345" s="275" t="s">
        <v>3025</v>
      </c>
      <c r="C345" s="275" t="s">
        <v>210</v>
      </c>
      <c r="D345" s="275"/>
      <c r="E345" s="277"/>
      <c r="F345" s="277">
        <v>0.0</v>
      </c>
      <c r="G345" s="277">
        <v>0.0</v>
      </c>
      <c r="H345" s="277">
        <v>0.0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78" t="s">
        <v>3376</v>
      </c>
      <c r="B346" s="278" t="s">
        <v>3017</v>
      </c>
      <c r="C346" s="278" t="s">
        <v>46</v>
      </c>
      <c r="D346" s="278"/>
      <c r="E346" s="279">
        <v>5.720025928E10</v>
      </c>
      <c r="F346" s="280">
        <v>2.0</v>
      </c>
      <c r="G346" s="280">
        <v>11.0</v>
      </c>
      <c r="H346" s="280">
        <v>7.0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75" t="s">
        <v>3377</v>
      </c>
      <c r="B347" s="275" t="s">
        <v>3023</v>
      </c>
      <c r="C347" s="275" t="s">
        <v>171</v>
      </c>
      <c r="D347" s="275"/>
      <c r="E347" s="276">
        <v>2.56251574E10</v>
      </c>
      <c r="F347" s="277">
        <v>3.0</v>
      </c>
      <c r="G347" s="277">
        <v>13.0</v>
      </c>
      <c r="H347" s="277">
        <v>20.0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78" t="s">
        <v>3378</v>
      </c>
      <c r="B348" s="278" t="s">
        <v>3027</v>
      </c>
      <c r="C348" s="278" t="s">
        <v>36</v>
      </c>
      <c r="D348" s="278"/>
      <c r="E348" s="279">
        <v>5.7216484832E10</v>
      </c>
      <c r="F348" s="280">
        <v>1.0</v>
      </c>
      <c r="G348" s="280">
        <v>7.0</v>
      </c>
      <c r="H348" s="280">
        <v>6.0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75" t="s">
        <v>3379</v>
      </c>
      <c r="B349" s="275" t="s">
        <v>3027</v>
      </c>
      <c r="C349" s="275" t="s">
        <v>329</v>
      </c>
      <c r="D349" s="275"/>
      <c r="E349" s="276">
        <v>5.7221953157E10</v>
      </c>
      <c r="F349" s="277">
        <v>0.0</v>
      </c>
      <c r="G349" s="277">
        <v>1.0</v>
      </c>
      <c r="H349" s="277">
        <v>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78" t="s">
        <v>3380</v>
      </c>
      <c r="B350" s="278" t="s">
        <v>3017</v>
      </c>
      <c r="C350" s="278" t="s">
        <v>102</v>
      </c>
      <c r="D350" s="278"/>
      <c r="E350" s="279">
        <v>5.65685567E10</v>
      </c>
      <c r="F350" s="280">
        <v>4.0</v>
      </c>
      <c r="G350" s="280">
        <v>14.0</v>
      </c>
      <c r="H350" s="280">
        <v>44.0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75" t="s">
        <v>3381</v>
      </c>
      <c r="B351" s="275" t="s">
        <v>3027</v>
      </c>
      <c r="C351" s="275" t="s">
        <v>272</v>
      </c>
      <c r="D351" s="275"/>
      <c r="E351" s="277"/>
      <c r="F351" s="277">
        <v>0.0</v>
      </c>
      <c r="G351" s="277">
        <v>0.0</v>
      </c>
      <c r="H351" s="277">
        <v>0.0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78" t="s">
        <v>3382</v>
      </c>
      <c r="B352" s="278" t="s">
        <v>3027</v>
      </c>
      <c r="C352" s="278" t="s">
        <v>102</v>
      </c>
      <c r="D352" s="278"/>
      <c r="E352" s="279">
        <v>5.7205163256E10</v>
      </c>
      <c r="F352" s="280">
        <v>0.0</v>
      </c>
      <c r="G352" s="280">
        <v>3.0</v>
      </c>
      <c r="H352" s="280">
        <v>0.0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75" t="s">
        <v>3383</v>
      </c>
      <c r="B353" s="275" t="s">
        <v>3019</v>
      </c>
      <c r="C353" s="275" t="s">
        <v>71</v>
      </c>
      <c r="D353" s="275"/>
      <c r="E353" s="276">
        <v>5.70577813E10</v>
      </c>
      <c r="F353" s="277">
        <v>8.0</v>
      </c>
      <c r="G353" s="277">
        <v>20.0</v>
      </c>
      <c r="H353" s="277">
        <v>106.0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78" t="s">
        <v>3384</v>
      </c>
      <c r="B354" s="278" t="s">
        <v>3017</v>
      </c>
      <c r="C354" s="278" t="s">
        <v>41</v>
      </c>
      <c r="D354" s="278"/>
      <c r="E354" s="280"/>
      <c r="F354" s="280">
        <v>0.0</v>
      </c>
      <c r="G354" s="280">
        <v>0.0</v>
      </c>
      <c r="H354" s="280">
        <v>0.0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75" t="s">
        <v>3385</v>
      </c>
      <c r="B355" s="275" t="s">
        <v>3017</v>
      </c>
      <c r="C355" s="275" t="s">
        <v>46</v>
      </c>
      <c r="D355" s="275"/>
      <c r="E355" s="276">
        <v>5.7194415994E10</v>
      </c>
      <c r="F355" s="277">
        <v>1.0</v>
      </c>
      <c r="G355" s="277">
        <v>2.0</v>
      </c>
      <c r="H355" s="277">
        <v>3.0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78" t="s">
        <v>3386</v>
      </c>
      <c r="B356" s="278" t="s">
        <v>3025</v>
      </c>
      <c r="C356" s="278" t="s">
        <v>36</v>
      </c>
      <c r="D356" s="278"/>
      <c r="E356" s="279">
        <v>5.7188749876E10</v>
      </c>
      <c r="F356" s="280">
        <v>3.0</v>
      </c>
      <c r="G356" s="280">
        <v>10.0</v>
      </c>
      <c r="H356" s="280">
        <v>41.0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75" t="s">
        <v>3387</v>
      </c>
      <c r="B357" s="275" t="s">
        <v>3025</v>
      </c>
      <c r="C357" s="275" t="s">
        <v>71</v>
      </c>
      <c r="D357" s="275"/>
      <c r="E357" s="276">
        <v>5.7201779203E10</v>
      </c>
      <c r="F357" s="277">
        <v>2.0</v>
      </c>
      <c r="G357" s="277">
        <v>4.0</v>
      </c>
      <c r="H357" s="277">
        <v>7.0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78" t="s">
        <v>3388</v>
      </c>
      <c r="B358" s="278" t="s">
        <v>3017</v>
      </c>
      <c r="C358" s="278" t="s">
        <v>71</v>
      </c>
      <c r="D358" s="278"/>
      <c r="E358" s="279">
        <v>1.5069216E10</v>
      </c>
      <c r="F358" s="280">
        <v>2.0</v>
      </c>
      <c r="G358" s="280">
        <v>7.0</v>
      </c>
      <c r="H358" s="280">
        <v>5.0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75" t="s">
        <v>3389</v>
      </c>
      <c r="B359" s="275" t="s">
        <v>3027</v>
      </c>
      <c r="C359" s="275" t="s">
        <v>91</v>
      </c>
      <c r="D359" s="275"/>
      <c r="E359" s="277"/>
      <c r="F359" s="277">
        <v>0.0</v>
      </c>
      <c r="G359" s="277">
        <v>0.0</v>
      </c>
      <c r="H359" s="277">
        <v>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78" t="s">
        <v>3390</v>
      </c>
      <c r="B360" s="278" t="s">
        <v>3027</v>
      </c>
      <c r="C360" s="278" t="s">
        <v>71</v>
      </c>
      <c r="D360" s="278"/>
      <c r="E360" s="280"/>
      <c r="F360" s="280">
        <v>0.0</v>
      </c>
      <c r="G360" s="280">
        <v>0.0</v>
      </c>
      <c r="H360" s="280">
        <v>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75" t="s">
        <v>3391</v>
      </c>
      <c r="B361" s="275" t="s">
        <v>3023</v>
      </c>
      <c r="C361" s="275" t="s">
        <v>218</v>
      </c>
      <c r="D361" s="275"/>
      <c r="E361" s="276">
        <v>5.7195480506E10</v>
      </c>
      <c r="F361" s="277">
        <v>2.0</v>
      </c>
      <c r="G361" s="277">
        <v>4.0</v>
      </c>
      <c r="H361" s="277">
        <v>13.0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78" t="s">
        <v>3392</v>
      </c>
      <c r="B362" s="278" t="s">
        <v>3023</v>
      </c>
      <c r="C362" s="278" t="s">
        <v>171</v>
      </c>
      <c r="D362" s="278"/>
      <c r="E362" s="279">
        <v>5.7203150183E10</v>
      </c>
      <c r="F362" s="280">
        <v>1.0</v>
      </c>
      <c r="G362" s="280">
        <v>3.0</v>
      </c>
      <c r="H362" s="280">
        <v>9.0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75" t="s">
        <v>3393</v>
      </c>
      <c r="B363" s="275" t="s">
        <v>3054</v>
      </c>
      <c r="C363" s="275" t="s">
        <v>21</v>
      </c>
      <c r="D363" s="275"/>
      <c r="E363" s="277"/>
      <c r="F363" s="277">
        <v>0.0</v>
      </c>
      <c r="G363" s="277">
        <v>0.0</v>
      </c>
      <c r="H363" s="277">
        <v>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278" t="s">
        <v>3394</v>
      </c>
      <c r="B364" s="278" t="s">
        <v>3021</v>
      </c>
      <c r="C364" s="278" t="s">
        <v>36</v>
      </c>
      <c r="D364" s="278"/>
      <c r="E364" s="279">
        <v>2.44797828E10</v>
      </c>
      <c r="F364" s="280">
        <v>15.0</v>
      </c>
      <c r="G364" s="280">
        <v>114.0</v>
      </c>
      <c r="H364" s="280">
        <v>692.0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75" t="s">
        <v>3395</v>
      </c>
      <c r="B365" s="275" t="s">
        <v>3061</v>
      </c>
      <c r="C365" s="275" t="s">
        <v>210</v>
      </c>
      <c r="D365" s="275"/>
      <c r="E365" s="276">
        <v>6.701699223E9</v>
      </c>
      <c r="F365" s="277">
        <v>4.0</v>
      </c>
      <c r="G365" s="277">
        <v>12.0</v>
      </c>
      <c r="H365" s="277">
        <v>34.0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278" t="s">
        <v>3396</v>
      </c>
      <c r="B366" s="278" t="s">
        <v>3061</v>
      </c>
      <c r="C366" s="278" t="s">
        <v>329</v>
      </c>
      <c r="D366" s="278"/>
      <c r="E366" s="279">
        <v>5.7188702915E10</v>
      </c>
      <c r="F366" s="280">
        <v>0.0</v>
      </c>
      <c r="G366" s="280">
        <v>5.0</v>
      </c>
      <c r="H366" s="280">
        <v>0.0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275" t="s">
        <v>3397</v>
      </c>
      <c r="B367" s="275" t="s">
        <v>3017</v>
      </c>
      <c r="C367" s="275" t="s">
        <v>41</v>
      </c>
      <c r="D367" s="275"/>
      <c r="E367" s="276">
        <v>5.7210284937E10</v>
      </c>
      <c r="F367" s="277">
        <v>1.0</v>
      </c>
      <c r="G367" s="277">
        <v>2.0</v>
      </c>
      <c r="H367" s="277">
        <v>6.0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78" t="s">
        <v>3398</v>
      </c>
      <c r="B368" s="278" t="s">
        <v>3017</v>
      </c>
      <c r="C368" s="278" t="s">
        <v>41</v>
      </c>
      <c r="D368" s="278"/>
      <c r="E368" s="279">
        <v>5.7210290233E10</v>
      </c>
      <c r="F368" s="280">
        <v>2.0</v>
      </c>
      <c r="G368" s="280">
        <v>5.0</v>
      </c>
      <c r="H368" s="280">
        <v>9.0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75" t="s">
        <v>3399</v>
      </c>
      <c r="B369" s="275" t="s">
        <v>3023</v>
      </c>
      <c r="C369" s="275" t="s">
        <v>41</v>
      </c>
      <c r="D369" s="275"/>
      <c r="E369" s="276">
        <v>8.3296702E9</v>
      </c>
      <c r="F369" s="277">
        <v>2.0</v>
      </c>
      <c r="G369" s="277">
        <v>7.0</v>
      </c>
      <c r="H369" s="277">
        <v>18.0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78" t="s">
        <v>3400</v>
      </c>
      <c r="B370" s="278" t="s">
        <v>3017</v>
      </c>
      <c r="C370" s="278" t="s">
        <v>75</v>
      </c>
      <c r="D370" s="278"/>
      <c r="E370" s="279">
        <v>5.7210295053E10</v>
      </c>
      <c r="F370" s="280">
        <v>1.0</v>
      </c>
      <c r="G370" s="280">
        <v>4.0</v>
      </c>
      <c r="H370" s="280">
        <v>2.0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75" t="s">
        <v>3401</v>
      </c>
      <c r="B371" s="275" t="s">
        <v>3027</v>
      </c>
      <c r="C371" s="275" t="s">
        <v>75</v>
      </c>
      <c r="D371" s="275"/>
      <c r="E371" s="276">
        <v>5.7207772952E10</v>
      </c>
      <c r="F371" s="277">
        <v>1.0</v>
      </c>
      <c r="G371" s="277">
        <v>3.0</v>
      </c>
      <c r="H371" s="277">
        <v>2.0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78" t="s">
        <v>3402</v>
      </c>
      <c r="B372" s="278" t="s">
        <v>3027</v>
      </c>
      <c r="C372" s="278" t="s">
        <v>272</v>
      </c>
      <c r="D372" s="278"/>
      <c r="E372" s="280"/>
      <c r="F372" s="280">
        <v>0.0</v>
      </c>
      <c r="G372" s="280">
        <v>0.0</v>
      </c>
      <c r="H372" s="280">
        <v>0.0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75" t="s">
        <v>3403</v>
      </c>
      <c r="B373" s="275" t="s">
        <v>3038</v>
      </c>
      <c r="C373" s="275" t="s">
        <v>356</v>
      </c>
      <c r="D373" s="275"/>
      <c r="E373" s="276">
        <v>5.7195515166E10</v>
      </c>
      <c r="F373" s="277">
        <v>0.0</v>
      </c>
      <c r="G373" s="277">
        <v>1.0</v>
      </c>
      <c r="H373" s="277">
        <v>0.0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278" t="s">
        <v>3404</v>
      </c>
      <c r="B374" s="278" t="s">
        <v>3019</v>
      </c>
      <c r="C374" s="278" t="s">
        <v>356</v>
      </c>
      <c r="D374" s="278"/>
      <c r="E374" s="279">
        <v>5.7201720899E10</v>
      </c>
      <c r="F374" s="280">
        <v>3.0</v>
      </c>
      <c r="G374" s="280">
        <v>5.0</v>
      </c>
      <c r="H374" s="280">
        <v>42.0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275" t="s">
        <v>3405</v>
      </c>
      <c r="B375" s="275" t="s">
        <v>3019</v>
      </c>
      <c r="C375" s="275" t="s">
        <v>428</v>
      </c>
      <c r="D375" s="275"/>
      <c r="E375" s="276">
        <v>1.50718219E10</v>
      </c>
      <c r="F375" s="277">
        <v>5.0</v>
      </c>
      <c r="G375" s="277">
        <v>58.0</v>
      </c>
      <c r="H375" s="277">
        <v>78.0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278" t="s">
        <v>3406</v>
      </c>
      <c r="B376" s="278" t="s">
        <v>3023</v>
      </c>
      <c r="C376" s="278" t="s">
        <v>428</v>
      </c>
      <c r="D376" s="278"/>
      <c r="E376" s="279">
        <v>5.72105683E10</v>
      </c>
      <c r="F376" s="280">
        <v>1.0</v>
      </c>
      <c r="G376" s="280">
        <v>4.0</v>
      </c>
      <c r="H376" s="280">
        <v>2.0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75" t="s">
        <v>3407</v>
      </c>
      <c r="B377" s="275" t="s">
        <v>3017</v>
      </c>
      <c r="C377" s="275" t="s">
        <v>272</v>
      </c>
      <c r="D377" s="275"/>
      <c r="E377" s="276">
        <v>5.7218345552E10</v>
      </c>
      <c r="F377" s="277">
        <v>2.0</v>
      </c>
      <c r="G377" s="277">
        <v>7.0</v>
      </c>
      <c r="H377" s="277">
        <v>11.0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78" t="s">
        <v>3408</v>
      </c>
      <c r="B378" s="278" t="s">
        <v>3023</v>
      </c>
      <c r="C378" s="278" t="s">
        <v>46</v>
      </c>
      <c r="D378" s="278"/>
      <c r="E378" s="279">
        <v>2.56503789E10</v>
      </c>
      <c r="F378" s="280">
        <v>10.0</v>
      </c>
      <c r="G378" s="280">
        <v>90.0</v>
      </c>
      <c r="H378" s="280">
        <v>237.0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75" t="s">
        <v>3409</v>
      </c>
      <c r="B379" s="275" t="s">
        <v>3017</v>
      </c>
      <c r="C379" s="275" t="s">
        <v>75</v>
      </c>
      <c r="D379" s="275"/>
      <c r="E379" s="276">
        <v>5.6115079E10</v>
      </c>
      <c r="F379" s="277">
        <v>1.0</v>
      </c>
      <c r="G379" s="277">
        <v>10.0</v>
      </c>
      <c r="H379" s="277">
        <v>3.0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78" t="s">
        <v>3410</v>
      </c>
      <c r="B380" s="278" t="s">
        <v>3017</v>
      </c>
      <c r="C380" s="278" t="s">
        <v>21</v>
      </c>
      <c r="D380" s="278"/>
      <c r="E380" s="279">
        <v>5.719043804E10</v>
      </c>
      <c r="F380" s="280">
        <v>4.0</v>
      </c>
      <c r="G380" s="280">
        <v>4.0</v>
      </c>
      <c r="H380" s="280">
        <v>27.0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75" t="s">
        <v>3411</v>
      </c>
      <c r="B381" s="275" t="s">
        <v>3025</v>
      </c>
      <c r="C381" s="275" t="s">
        <v>171</v>
      </c>
      <c r="D381" s="275"/>
      <c r="E381" s="277"/>
      <c r="F381" s="277">
        <v>0.0</v>
      </c>
      <c r="G381" s="277">
        <v>0.0</v>
      </c>
      <c r="H381" s="277">
        <v>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78" t="s">
        <v>3412</v>
      </c>
      <c r="B382" s="278" t="s">
        <v>3027</v>
      </c>
      <c r="C382" s="278" t="s">
        <v>91</v>
      </c>
      <c r="D382" s="278"/>
      <c r="E382" s="280"/>
      <c r="F382" s="280">
        <v>0.0</v>
      </c>
      <c r="G382" s="280">
        <v>0.0</v>
      </c>
      <c r="H382" s="280">
        <v>0.0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75" t="s">
        <v>3413</v>
      </c>
      <c r="B383" s="275" t="s">
        <v>3023</v>
      </c>
      <c r="C383" s="275" t="s">
        <v>36</v>
      </c>
      <c r="D383" s="275"/>
      <c r="E383" s="276">
        <v>5.61149523E10</v>
      </c>
      <c r="F383" s="277">
        <v>3.0</v>
      </c>
      <c r="G383" s="277">
        <v>12.0</v>
      </c>
      <c r="H383" s="277">
        <v>29.0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78" t="s">
        <v>3414</v>
      </c>
      <c r="B384" s="278" t="s">
        <v>3021</v>
      </c>
      <c r="C384" s="278" t="s">
        <v>128</v>
      </c>
      <c r="D384" s="278"/>
      <c r="E384" s="280"/>
      <c r="F384" s="280">
        <v>0.0</v>
      </c>
      <c r="G384" s="280">
        <v>0.0</v>
      </c>
      <c r="H384" s="280">
        <v>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75" t="s">
        <v>3415</v>
      </c>
      <c r="B385" s="275" t="s">
        <v>3054</v>
      </c>
      <c r="C385" s="275" t="s">
        <v>71</v>
      </c>
      <c r="D385" s="275"/>
      <c r="E385" s="277"/>
      <c r="F385" s="277">
        <v>0.0</v>
      </c>
      <c r="G385" s="277">
        <v>0.0</v>
      </c>
      <c r="H385" s="277">
        <v>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78" t="s">
        <v>3416</v>
      </c>
      <c r="B386" s="278" t="s">
        <v>3025</v>
      </c>
      <c r="C386" s="278" t="s">
        <v>71</v>
      </c>
      <c r="D386" s="278"/>
      <c r="E386" s="280"/>
      <c r="F386" s="280">
        <v>0.0</v>
      </c>
      <c r="G386" s="280">
        <v>0.0</v>
      </c>
      <c r="H386" s="280">
        <v>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75" t="s">
        <v>3417</v>
      </c>
      <c r="B387" s="275" t="s">
        <v>3023</v>
      </c>
      <c r="C387" s="275" t="s">
        <v>75</v>
      </c>
      <c r="D387" s="275"/>
      <c r="E387" s="276">
        <v>6.603667272E9</v>
      </c>
      <c r="F387" s="277">
        <v>5.0</v>
      </c>
      <c r="G387" s="277">
        <v>45.0</v>
      </c>
      <c r="H387" s="277">
        <v>61.0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78" t="s">
        <v>3418</v>
      </c>
      <c r="B388" s="278" t="s">
        <v>3017</v>
      </c>
      <c r="C388" s="278" t="s">
        <v>167</v>
      </c>
      <c r="D388" s="278"/>
      <c r="E388" s="279">
        <v>5.7217634339E10</v>
      </c>
      <c r="F388" s="280"/>
      <c r="G388" s="280"/>
      <c r="H388" s="280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75" t="s">
        <v>3419</v>
      </c>
      <c r="B389" s="275" t="s">
        <v>3027</v>
      </c>
      <c r="C389" s="275" t="s">
        <v>41</v>
      </c>
      <c r="D389" s="275"/>
      <c r="E389" s="277"/>
      <c r="F389" s="277">
        <v>0.0</v>
      </c>
      <c r="G389" s="277">
        <v>0.0</v>
      </c>
      <c r="H389" s="277">
        <v>0.0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78" t="s">
        <v>3420</v>
      </c>
      <c r="B390" s="278" t="s">
        <v>3421</v>
      </c>
      <c r="C390" s="278" t="s">
        <v>171</v>
      </c>
      <c r="D390" s="278"/>
      <c r="E390" s="279">
        <v>5.67124968E10</v>
      </c>
      <c r="F390" s="280">
        <v>8.0</v>
      </c>
      <c r="G390" s="280">
        <v>47.0</v>
      </c>
      <c r="H390" s="280">
        <v>152.0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75" t="s">
        <v>3422</v>
      </c>
      <c r="B391" s="275" t="s">
        <v>3025</v>
      </c>
      <c r="C391" s="275" t="s">
        <v>144</v>
      </c>
      <c r="D391" s="275"/>
      <c r="E391" s="276">
        <v>5.7203147366E10</v>
      </c>
      <c r="F391" s="277">
        <v>2.0</v>
      </c>
      <c r="G391" s="277">
        <v>4.0</v>
      </c>
      <c r="H391" s="277">
        <v>7.0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78" t="s">
        <v>3423</v>
      </c>
      <c r="B392" s="272" t="s">
        <v>3038</v>
      </c>
      <c r="C392" s="278" t="s">
        <v>3424</v>
      </c>
      <c r="D392" s="278"/>
      <c r="E392" s="279">
        <v>5.56585613E10</v>
      </c>
      <c r="F392" s="280">
        <v>2.0</v>
      </c>
      <c r="G392" s="280">
        <v>4.0</v>
      </c>
      <c r="H392" s="280">
        <v>9.0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75" t="s">
        <v>3425</v>
      </c>
      <c r="B393" s="282" t="s">
        <v>3038</v>
      </c>
      <c r="C393" s="282" t="s">
        <v>186</v>
      </c>
      <c r="D393" s="275"/>
      <c r="E393" s="276">
        <v>5.719195393E10</v>
      </c>
      <c r="F393" s="277">
        <v>2.0</v>
      </c>
      <c r="G393" s="277">
        <v>2.0</v>
      </c>
      <c r="H393" s="277">
        <v>23.0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78" t="s">
        <v>3426</v>
      </c>
      <c r="B394" s="278" t="s">
        <v>3019</v>
      </c>
      <c r="C394" s="278" t="s">
        <v>21</v>
      </c>
      <c r="D394" s="278"/>
      <c r="E394" s="279">
        <v>6.507659355E9</v>
      </c>
      <c r="F394" s="280">
        <v>10.0</v>
      </c>
      <c r="G394" s="280">
        <v>26.0</v>
      </c>
      <c r="H394" s="280">
        <v>337.0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75" t="s">
        <v>3427</v>
      </c>
      <c r="B395" s="275" t="s">
        <v>3017</v>
      </c>
      <c r="C395" s="275" t="s">
        <v>41</v>
      </c>
      <c r="D395" s="275"/>
      <c r="E395" s="277"/>
      <c r="F395" s="277">
        <v>0.0</v>
      </c>
      <c r="G395" s="277">
        <v>0.0</v>
      </c>
      <c r="H395" s="277">
        <v>0.0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78" t="s">
        <v>3428</v>
      </c>
      <c r="B396" s="278" t="s">
        <v>3061</v>
      </c>
      <c r="C396" s="278" t="s">
        <v>71</v>
      </c>
      <c r="D396" s="278"/>
      <c r="E396" s="279">
        <v>1.66869928E10</v>
      </c>
      <c r="F396" s="280">
        <v>5.0</v>
      </c>
      <c r="G396" s="280">
        <v>15.0</v>
      </c>
      <c r="H396" s="280">
        <v>68.0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75" t="s">
        <v>3429</v>
      </c>
      <c r="B397" s="275" t="s">
        <v>3027</v>
      </c>
      <c r="C397" s="275" t="s">
        <v>91</v>
      </c>
      <c r="D397" s="275"/>
      <c r="E397" s="277"/>
      <c r="F397" s="277">
        <v>0.0</v>
      </c>
      <c r="G397" s="277">
        <v>0.0</v>
      </c>
      <c r="H397" s="277">
        <v>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285" t="s">
        <v>1277</v>
      </c>
      <c r="B398" s="285" t="s">
        <v>3017</v>
      </c>
      <c r="C398" s="285" t="s">
        <v>71</v>
      </c>
      <c r="D398" s="285"/>
      <c r="E398" s="286">
        <v>5.7196074907E10</v>
      </c>
      <c r="F398" s="287">
        <v>5.0</v>
      </c>
      <c r="G398" s="287">
        <v>11.0</v>
      </c>
      <c r="H398" s="287">
        <v>69.0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75" t="s">
        <v>3430</v>
      </c>
      <c r="B399" s="275" t="s">
        <v>3017</v>
      </c>
      <c r="C399" s="275" t="s">
        <v>60</v>
      </c>
      <c r="D399" s="275"/>
      <c r="E399" s="276">
        <v>5.7199329065E10</v>
      </c>
      <c r="F399" s="277">
        <v>2.0</v>
      </c>
      <c r="G399" s="277">
        <v>12.0</v>
      </c>
      <c r="H399" s="277">
        <v>18.0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78" t="s">
        <v>3431</v>
      </c>
      <c r="B400" s="278" t="s">
        <v>3054</v>
      </c>
      <c r="C400" s="278" t="s">
        <v>186</v>
      </c>
      <c r="D400" s="278"/>
      <c r="E400" s="280"/>
      <c r="F400" s="280">
        <v>0.0</v>
      </c>
      <c r="G400" s="280">
        <v>0.0</v>
      </c>
      <c r="H400" s="280">
        <v>0.0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75" t="s">
        <v>3432</v>
      </c>
      <c r="B401" s="275" t="s">
        <v>3017</v>
      </c>
      <c r="C401" s="275" t="s">
        <v>60</v>
      </c>
      <c r="D401" s="275"/>
      <c r="E401" s="276">
        <v>5.7194039729E10</v>
      </c>
      <c r="F401" s="277">
        <v>2.0</v>
      </c>
      <c r="G401" s="277">
        <v>8.0</v>
      </c>
      <c r="H401" s="277">
        <v>6.0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272" t="s">
        <v>3433</v>
      </c>
      <c r="B402" s="272" t="s">
        <v>3027</v>
      </c>
      <c r="C402" s="272" t="s">
        <v>859</v>
      </c>
      <c r="D402" s="272"/>
      <c r="E402" s="273">
        <v>5.7194033682E10</v>
      </c>
      <c r="F402" s="274">
        <v>1.0</v>
      </c>
      <c r="G402" s="274">
        <v>6.0</v>
      </c>
      <c r="H402" s="274">
        <v>3.0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275" t="s">
        <v>3434</v>
      </c>
      <c r="B403" s="275" t="s">
        <v>3027</v>
      </c>
      <c r="C403" s="275" t="s">
        <v>144</v>
      </c>
      <c r="D403" s="275"/>
      <c r="E403" s="277"/>
      <c r="F403" s="277">
        <v>0.0</v>
      </c>
      <c r="G403" s="277">
        <v>0.0</v>
      </c>
      <c r="H403" s="277">
        <v>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78" t="s">
        <v>3435</v>
      </c>
      <c r="B404" s="278" t="s">
        <v>3061</v>
      </c>
      <c r="C404" s="278" t="s">
        <v>91</v>
      </c>
      <c r="D404" s="278"/>
      <c r="E404" s="280"/>
      <c r="F404" s="280">
        <v>0.0</v>
      </c>
      <c r="G404" s="280">
        <v>0.0</v>
      </c>
      <c r="H404" s="280">
        <v>0.0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75" t="s">
        <v>3436</v>
      </c>
      <c r="B405" s="275" t="s">
        <v>3025</v>
      </c>
      <c r="C405" s="275" t="s">
        <v>218</v>
      </c>
      <c r="D405" s="275"/>
      <c r="E405" s="277"/>
      <c r="F405" s="277">
        <v>0.0</v>
      </c>
      <c r="G405" s="277">
        <v>0.0</v>
      </c>
      <c r="H405" s="277">
        <v>0.0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78" t="s">
        <v>3437</v>
      </c>
      <c r="B406" s="278" t="s">
        <v>3017</v>
      </c>
      <c r="C406" s="278" t="s">
        <v>163</v>
      </c>
      <c r="D406" s="278"/>
      <c r="E406" s="279">
        <v>5.7210358838E10</v>
      </c>
      <c r="F406" s="280">
        <v>1.0</v>
      </c>
      <c r="G406" s="280">
        <v>4.0</v>
      </c>
      <c r="H406" s="280">
        <v>5.0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75" t="s">
        <v>3438</v>
      </c>
      <c r="B407" s="282" t="s">
        <v>3019</v>
      </c>
      <c r="C407" s="282" t="s">
        <v>171</v>
      </c>
      <c r="D407" s="275"/>
      <c r="E407" s="276">
        <v>5.7207767364E10</v>
      </c>
      <c r="F407" s="277">
        <v>1.0</v>
      </c>
      <c r="G407" s="277">
        <v>2.0</v>
      </c>
      <c r="H407" s="277">
        <v>1.0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278" t="s">
        <v>3439</v>
      </c>
      <c r="B408" s="278" t="s">
        <v>3038</v>
      </c>
      <c r="C408" s="278" t="s">
        <v>171</v>
      </c>
      <c r="D408" s="278"/>
      <c r="E408" s="279">
        <v>5.7192818805E10</v>
      </c>
      <c r="F408" s="280">
        <v>3.0</v>
      </c>
      <c r="G408" s="280">
        <v>10.0</v>
      </c>
      <c r="H408" s="280">
        <v>23.0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75" t="s">
        <v>3440</v>
      </c>
      <c r="B409" s="275" t="s">
        <v>3027</v>
      </c>
      <c r="C409" s="275" t="s">
        <v>428</v>
      </c>
      <c r="D409" s="275"/>
      <c r="E409" s="277"/>
      <c r="F409" s="277">
        <v>0.0</v>
      </c>
      <c r="G409" s="277">
        <v>0.0</v>
      </c>
      <c r="H409" s="277">
        <v>0.0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78" t="s">
        <v>3441</v>
      </c>
      <c r="B410" s="278" t="s">
        <v>3017</v>
      </c>
      <c r="C410" s="278" t="s">
        <v>41</v>
      </c>
      <c r="D410" s="278"/>
      <c r="E410" s="279">
        <v>5.7217115805E10</v>
      </c>
      <c r="F410" s="280">
        <v>0.0</v>
      </c>
      <c r="G410" s="280">
        <v>1.0</v>
      </c>
      <c r="H410" s="280">
        <v>0.0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75" t="s">
        <v>3442</v>
      </c>
      <c r="B411" s="275" t="s">
        <v>3025</v>
      </c>
      <c r="C411" s="275" t="s">
        <v>91</v>
      </c>
      <c r="D411" s="275"/>
      <c r="E411" s="277"/>
      <c r="F411" s="277">
        <v>0.0</v>
      </c>
      <c r="G411" s="277">
        <v>0.0</v>
      </c>
      <c r="H411" s="277">
        <v>0.0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78" t="s">
        <v>3443</v>
      </c>
      <c r="B412" s="278" t="s">
        <v>3017</v>
      </c>
      <c r="C412" s="278" t="s">
        <v>36</v>
      </c>
      <c r="D412" s="278"/>
      <c r="E412" s="279">
        <v>5.64861478E10</v>
      </c>
      <c r="F412" s="280">
        <v>2.0</v>
      </c>
      <c r="G412" s="280">
        <v>5.0</v>
      </c>
      <c r="H412" s="280">
        <v>15.0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75" t="s">
        <v>3444</v>
      </c>
      <c r="B413" s="275" t="s">
        <v>3027</v>
      </c>
      <c r="C413" s="275" t="s">
        <v>128</v>
      </c>
      <c r="D413" s="275"/>
      <c r="E413" s="276" t="s">
        <v>3445</v>
      </c>
      <c r="F413" s="277">
        <v>1.0</v>
      </c>
      <c r="G413" s="277">
        <v>2.0</v>
      </c>
      <c r="H413" s="277">
        <v>4.0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78" t="s">
        <v>1323</v>
      </c>
      <c r="B414" s="278" t="s">
        <v>3017</v>
      </c>
      <c r="C414" s="278" t="s">
        <v>71</v>
      </c>
      <c r="D414" s="278"/>
      <c r="E414" s="279">
        <v>5.719694007E10</v>
      </c>
      <c r="F414" s="280">
        <v>6.0</v>
      </c>
      <c r="G414" s="280">
        <v>11.0</v>
      </c>
      <c r="H414" s="280">
        <v>75.0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75" t="s">
        <v>3446</v>
      </c>
      <c r="B415" s="275" t="s">
        <v>3027</v>
      </c>
      <c r="C415" s="275" t="s">
        <v>36</v>
      </c>
      <c r="D415" s="275"/>
      <c r="E415" s="276">
        <v>5.64854571E10</v>
      </c>
      <c r="F415" s="277">
        <v>0.0</v>
      </c>
      <c r="G415" s="277">
        <v>1.0</v>
      </c>
      <c r="H415" s="277">
        <v>0.0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78" t="s">
        <v>3447</v>
      </c>
      <c r="B416" s="278" t="s">
        <v>3023</v>
      </c>
      <c r="C416" s="278" t="s">
        <v>36</v>
      </c>
      <c r="D416" s="278"/>
      <c r="E416" s="280"/>
      <c r="F416" s="280">
        <v>0.0</v>
      </c>
      <c r="G416" s="280">
        <v>0.0</v>
      </c>
      <c r="H416" s="280">
        <v>0.0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275" t="s">
        <v>3448</v>
      </c>
      <c r="B417" s="275" t="s">
        <v>3025</v>
      </c>
      <c r="C417" s="275" t="s">
        <v>41</v>
      </c>
      <c r="D417" s="275"/>
      <c r="E417" s="277"/>
      <c r="F417" s="277">
        <v>0.0</v>
      </c>
      <c r="G417" s="277">
        <v>0.0</v>
      </c>
      <c r="H417" s="277">
        <v>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78" t="s">
        <v>3449</v>
      </c>
      <c r="B418" s="278" t="s">
        <v>3027</v>
      </c>
      <c r="C418" s="278" t="s">
        <v>428</v>
      </c>
      <c r="D418" s="278"/>
      <c r="E418" s="279">
        <v>5.7213836854E10</v>
      </c>
      <c r="F418" s="280">
        <v>1.0</v>
      </c>
      <c r="G418" s="280">
        <v>3.0</v>
      </c>
      <c r="H418" s="280">
        <v>1.0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275" t="s">
        <v>3450</v>
      </c>
      <c r="B419" s="275" t="s">
        <v>3021</v>
      </c>
      <c r="C419" s="275" t="s">
        <v>102</v>
      </c>
      <c r="D419" s="275"/>
      <c r="E419" s="276">
        <v>5.64030933E10</v>
      </c>
      <c r="F419" s="277">
        <v>6.0</v>
      </c>
      <c r="G419" s="277">
        <v>71.0</v>
      </c>
      <c r="H419" s="277">
        <v>141.0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78" t="s">
        <v>3451</v>
      </c>
      <c r="B420" s="278" t="s">
        <v>3023</v>
      </c>
      <c r="C420" s="278" t="s">
        <v>167</v>
      </c>
      <c r="D420" s="278"/>
      <c r="E420" s="279">
        <v>6.507672782E9</v>
      </c>
      <c r="F420" s="280">
        <v>4.0</v>
      </c>
      <c r="G420" s="280">
        <v>20.0</v>
      </c>
      <c r="H420" s="280">
        <v>70.0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75" t="s">
        <v>3452</v>
      </c>
      <c r="B421" s="275" t="s">
        <v>3023</v>
      </c>
      <c r="C421" s="275" t="s">
        <v>167</v>
      </c>
      <c r="D421" s="275"/>
      <c r="E421" s="276">
        <v>3.61839801E10</v>
      </c>
      <c r="F421" s="277">
        <v>5.0</v>
      </c>
      <c r="G421" s="277">
        <v>20.0</v>
      </c>
      <c r="H421" s="277">
        <v>63.0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78" t="s">
        <v>3453</v>
      </c>
      <c r="B422" s="278" t="s">
        <v>3027</v>
      </c>
      <c r="C422" s="278" t="s">
        <v>75</v>
      </c>
      <c r="D422" s="278"/>
      <c r="E422" s="279">
        <v>5.61145237E10</v>
      </c>
      <c r="F422" s="280">
        <v>2.0</v>
      </c>
      <c r="G422" s="280">
        <v>11.0</v>
      </c>
      <c r="H422" s="280">
        <v>6.0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75" t="s">
        <v>3454</v>
      </c>
      <c r="B423" s="275" t="s">
        <v>3027</v>
      </c>
      <c r="C423" s="275" t="s">
        <v>91</v>
      </c>
      <c r="D423" s="275"/>
      <c r="E423" s="277"/>
      <c r="F423" s="277">
        <v>0.0</v>
      </c>
      <c r="G423" s="277">
        <v>0.0</v>
      </c>
      <c r="H423" s="277">
        <v>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278" t="s">
        <v>3455</v>
      </c>
      <c r="B424" s="278" t="s">
        <v>3019</v>
      </c>
      <c r="C424" s="278" t="s">
        <v>329</v>
      </c>
      <c r="D424" s="278"/>
      <c r="E424" s="280"/>
      <c r="F424" s="280">
        <v>0.0</v>
      </c>
      <c r="G424" s="280">
        <v>0.0</v>
      </c>
      <c r="H424" s="280">
        <v>0.0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275" t="s">
        <v>3456</v>
      </c>
      <c r="B425" s="275" t="s">
        <v>3017</v>
      </c>
      <c r="C425" s="275" t="s">
        <v>356</v>
      </c>
      <c r="D425" s="275"/>
      <c r="E425" s="277"/>
      <c r="F425" s="277">
        <v>0.0</v>
      </c>
      <c r="G425" s="277">
        <v>0.0</v>
      </c>
      <c r="H425" s="277">
        <v>0.0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278" t="s">
        <v>3457</v>
      </c>
      <c r="B426" s="278" t="s">
        <v>3027</v>
      </c>
      <c r="C426" s="278" t="s">
        <v>120</v>
      </c>
      <c r="D426" s="278"/>
      <c r="E426" s="280"/>
      <c r="F426" s="280">
        <v>0.0</v>
      </c>
      <c r="G426" s="280">
        <v>0.0</v>
      </c>
      <c r="H426" s="280">
        <v>0.0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275" t="s">
        <v>3458</v>
      </c>
      <c r="B427" s="275" t="s">
        <v>3017</v>
      </c>
      <c r="C427" s="275" t="s">
        <v>36</v>
      </c>
      <c r="D427" s="275"/>
      <c r="E427" s="276">
        <v>5.7216486212E10</v>
      </c>
      <c r="F427" s="277">
        <v>1.0</v>
      </c>
      <c r="G427" s="277">
        <v>1.0</v>
      </c>
      <c r="H427" s="277">
        <v>4.0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78" t="s">
        <v>3459</v>
      </c>
      <c r="B428" s="278" t="s">
        <v>3017</v>
      </c>
      <c r="C428" s="278" t="s">
        <v>41</v>
      </c>
      <c r="D428" s="278"/>
      <c r="E428" s="280"/>
      <c r="F428" s="280">
        <v>0.0</v>
      </c>
      <c r="G428" s="280">
        <v>0.0</v>
      </c>
      <c r="H428" s="280">
        <v>0.0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75" t="s">
        <v>3460</v>
      </c>
      <c r="B429" s="275" t="s">
        <v>3017</v>
      </c>
      <c r="C429" s="275" t="s">
        <v>409</v>
      </c>
      <c r="D429" s="275"/>
      <c r="E429" s="276">
        <v>5.7207908277E10</v>
      </c>
      <c r="F429" s="277">
        <v>1.0</v>
      </c>
      <c r="G429" s="277">
        <v>3.0</v>
      </c>
      <c r="H429" s="277">
        <v>1.0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78" t="s">
        <v>3461</v>
      </c>
      <c r="B430" s="278" t="s">
        <v>3027</v>
      </c>
      <c r="C430" s="278" t="s">
        <v>64</v>
      </c>
      <c r="D430" s="278"/>
      <c r="E430" s="279">
        <v>5.7211287503E10</v>
      </c>
      <c r="F430" s="280">
        <v>1.0</v>
      </c>
      <c r="G430" s="280">
        <v>5.0</v>
      </c>
      <c r="H430" s="280">
        <v>5.0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75" t="s">
        <v>3462</v>
      </c>
      <c r="B431" s="275" t="s">
        <v>3027</v>
      </c>
      <c r="C431" s="275" t="s">
        <v>36</v>
      </c>
      <c r="D431" s="275"/>
      <c r="E431" s="276">
        <v>5.7194431824E10</v>
      </c>
      <c r="F431" s="277">
        <v>3.0</v>
      </c>
      <c r="G431" s="277">
        <v>13.0</v>
      </c>
      <c r="H431" s="277">
        <v>27.0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278" t="s">
        <v>3463</v>
      </c>
      <c r="B432" s="278" t="s">
        <v>3017</v>
      </c>
      <c r="C432" s="278" t="s">
        <v>78</v>
      </c>
      <c r="D432" s="278"/>
      <c r="E432" s="280"/>
      <c r="F432" s="280">
        <v>0.0</v>
      </c>
      <c r="G432" s="280">
        <v>0.0</v>
      </c>
      <c r="H432" s="280">
        <v>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275" t="s">
        <v>3464</v>
      </c>
      <c r="B433" s="275" t="s">
        <v>3017</v>
      </c>
      <c r="C433" s="275" t="s">
        <v>859</v>
      </c>
      <c r="D433" s="275"/>
      <c r="E433" s="276">
        <v>8.8894991E9</v>
      </c>
      <c r="F433" s="277">
        <v>0.0</v>
      </c>
      <c r="G433" s="277">
        <v>4.0</v>
      </c>
      <c r="H433" s="277">
        <v>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78" t="s">
        <v>3465</v>
      </c>
      <c r="B434" s="278" t="s">
        <v>3023</v>
      </c>
      <c r="C434" s="278" t="s">
        <v>75</v>
      </c>
      <c r="D434" s="278"/>
      <c r="E434" s="279">
        <v>9.4340921E9</v>
      </c>
      <c r="F434" s="280">
        <v>0.0</v>
      </c>
      <c r="G434" s="280">
        <v>4.0</v>
      </c>
      <c r="H434" s="280">
        <v>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75" t="s">
        <v>3466</v>
      </c>
      <c r="B435" s="275" t="s">
        <v>3027</v>
      </c>
      <c r="C435" s="275" t="s">
        <v>120</v>
      </c>
      <c r="D435" s="275"/>
      <c r="E435" s="277"/>
      <c r="F435" s="277">
        <v>0.0</v>
      </c>
      <c r="G435" s="277">
        <v>0.0</v>
      </c>
      <c r="H435" s="277">
        <v>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278" t="s">
        <v>3467</v>
      </c>
      <c r="B436" s="278" t="s">
        <v>3019</v>
      </c>
      <c r="C436" s="278" t="s">
        <v>137</v>
      </c>
      <c r="D436" s="278"/>
      <c r="E436" s="279">
        <v>3.60892053E10</v>
      </c>
      <c r="F436" s="280">
        <v>2.0</v>
      </c>
      <c r="G436" s="280">
        <v>11.0</v>
      </c>
      <c r="H436" s="280">
        <v>8.0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75" t="s">
        <v>3468</v>
      </c>
      <c r="B437" s="275" t="s">
        <v>3025</v>
      </c>
      <c r="C437" s="275" t="s">
        <v>46</v>
      </c>
      <c r="D437" s="275"/>
      <c r="E437" s="276">
        <v>5.7217113825E10</v>
      </c>
      <c r="F437" s="277">
        <v>0.0</v>
      </c>
      <c r="G437" s="277">
        <v>5.0</v>
      </c>
      <c r="H437" s="277">
        <v>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278" t="s">
        <v>3469</v>
      </c>
      <c r="B438" s="278" t="s">
        <v>3027</v>
      </c>
      <c r="C438" s="278" t="s">
        <v>78</v>
      </c>
      <c r="D438" s="278"/>
      <c r="E438" s="280"/>
      <c r="F438" s="280">
        <v>0.0</v>
      </c>
      <c r="G438" s="280">
        <v>0.0</v>
      </c>
      <c r="H438" s="280">
        <v>0.0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275" t="s">
        <v>3470</v>
      </c>
      <c r="B439" s="275" t="s">
        <v>3023</v>
      </c>
      <c r="C439" s="275" t="s">
        <v>71</v>
      </c>
      <c r="D439" s="275"/>
      <c r="E439" s="276">
        <v>6.506562747E9</v>
      </c>
      <c r="F439" s="277">
        <v>1.0</v>
      </c>
      <c r="G439" s="277">
        <v>8.0</v>
      </c>
      <c r="H439" s="277">
        <v>5.0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78" t="s">
        <v>3471</v>
      </c>
      <c r="B440" s="278" t="s">
        <v>3023</v>
      </c>
      <c r="C440" s="278" t="s">
        <v>218</v>
      </c>
      <c r="D440" s="278"/>
      <c r="E440" s="279">
        <v>5.7208083453E10</v>
      </c>
      <c r="F440" s="280">
        <v>1.0</v>
      </c>
      <c r="G440" s="280">
        <v>2.0</v>
      </c>
      <c r="H440" s="280">
        <v>1.0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75" t="s">
        <v>3472</v>
      </c>
      <c r="B441" s="275" t="s">
        <v>3038</v>
      </c>
      <c r="C441" s="275" t="s">
        <v>218</v>
      </c>
      <c r="D441" s="275"/>
      <c r="E441" s="276">
        <v>5.7192542611E10</v>
      </c>
      <c r="F441" s="277">
        <v>1.0</v>
      </c>
      <c r="G441" s="277">
        <v>2.0</v>
      </c>
      <c r="H441" s="277">
        <v>1.0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78" t="s">
        <v>3473</v>
      </c>
      <c r="B442" s="278" t="s">
        <v>3017</v>
      </c>
      <c r="C442" s="278" t="s">
        <v>137</v>
      </c>
      <c r="D442" s="278"/>
      <c r="E442" s="279">
        <v>5.720388563E10</v>
      </c>
      <c r="F442" s="280">
        <v>0.0</v>
      </c>
      <c r="G442" s="280">
        <v>2.0</v>
      </c>
      <c r="H442" s="280">
        <v>0.0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275" t="s">
        <v>3474</v>
      </c>
      <c r="B443" s="275" t="s">
        <v>3017</v>
      </c>
      <c r="C443" s="275" t="s">
        <v>46</v>
      </c>
      <c r="D443" s="275"/>
      <c r="E443" s="276">
        <v>5.52266751E10</v>
      </c>
      <c r="F443" s="277">
        <v>0.0</v>
      </c>
      <c r="G443" s="277">
        <v>1.0</v>
      </c>
      <c r="H443" s="277">
        <v>0.0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278" t="s">
        <v>3475</v>
      </c>
      <c r="B444" s="278" t="s">
        <v>3027</v>
      </c>
      <c r="C444" s="278" t="s">
        <v>71</v>
      </c>
      <c r="D444" s="278"/>
      <c r="E444" s="279">
        <v>5.68664132E10</v>
      </c>
      <c r="F444" s="280">
        <v>2.0</v>
      </c>
      <c r="G444" s="280">
        <v>5.0</v>
      </c>
      <c r="H444" s="280">
        <v>30.0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275" t="s">
        <v>3476</v>
      </c>
      <c r="B445" s="275" t="s">
        <v>3019</v>
      </c>
      <c r="C445" s="275" t="s">
        <v>71</v>
      </c>
      <c r="D445" s="275"/>
      <c r="E445" s="276">
        <v>5.720172949E10</v>
      </c>
      <c r="F445" s="277">
        <v>3.0</v>
      </c>
      <c r="G445" s="277">
        <v>4.0</v>
      </c>
      <c r="H445" s="277">
        <v>24.0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78" t="s">
        <v>3477</v>
      </c>
      <c r="B446" s="278" t="s">
        <v>3027</v>
      </c>
      <c r="C446" s="278" t="s">
        <v>137</v>
      </c>
      <c r="D446" s="278"/>
      <c r="E446" s="279">
        <v>5.7209097471E10</v>
      </c>
      <c r="F446" s="280">
        <v>1.0</v>
      </c>
      <c r="G446" s="280">
        <v>2.0</v>
      </c>
      <c r="H446" s="280">
        <v>1.0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75" t="s">
        <v>3478</v>
      </c>
      <c r="B447" s="275" t="s">
        <v>3027</v>
      </c>
      <c r="C447" s="275" t="s">
        <v>128</v>
      </c>
      <c r="D447" s="275"/>
      <c r="E447" s="277"/>
      <c r="F447" s="277">
        <v>0.0</v>
      </c>
      <c r="G447" s="277">
        <v>0.0</v>
      </c>
      <c r="H447" s="277">
        <v>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78" t="s">
        <v>3479</v>
      </c>
      <c r="B448" s="278" t="s">
        <v>3023</v>
      </c>
      <c r="C448" s="278" t="s">
        <v>36</v>
      </c>
      <c r="D448" s="278"/>
      <c r="E448" s="279">
        <v>5.7188758923E10</v>
      </c>
      <c r="F448" s="280">
        <v>5.0</v>
      </c>
      <c r="G448" s="280">
        <v>15.0</v>
      </c>
      <c r="H448" s="280">
        <v>40.0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75" t="s">
        <v>3480</v>
      </c>
      <c r="B449" s="275" t="s">
        <v>3027</v>
      </c>
      <c r="C449" s="275" t="s">
        <v>594</v>
      </c>
      <c r="D449" s="275"/>
      <c r="E449" s="276">
        <v>5.7189311514E10</v>
      </c>
      <c r="F449" s="277">
        <v>1.0</v>
      </c>
      <c r="G449" s="277">
        <v>1.0</v>
      </c>
      <c r="H449" s="277">
        <v>1.0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78" t="s">
        <v>3481</v>
      </c>
      <c r="B450" s="278" t="s">
        <v>3023</v>
      </c>
      <c r="C450" s="278" t="s">
        <v>21</v>
      </c>
      <c r="D450" s="278"/>
      <c r="E450" s="279">
        <v>2.43992592E10</v>
      </c>
      <c r="F450" s="280">
        <v>8.0</v>
      </c>
      <c r="G450" s="280">
        <v>21.0</v>
      </c>
      <c r="H450" s="280">
        <v>415.0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75" t="s">
        <v>3482</v>
      </c>
      <c r="B451" s="275" t="s">
        <v>3027</v>
      </c>
      <c r="C451" s="275" t="s">
        <v>128</v>
      </c>
      <c r="D451" s="275"/>
      <c r="E451" s="276">
        <v>5.7216296346E10</v>
      </c>
      <c r="F451" s="277">
        <v>0.0</v>
      </c>
      <c r="G451" s="277">
        <v>1.0</v>
      </c>
      <c r="H451" s="277">
        <v>0.0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78" t="s">
        <v>3483</v>
      </c>
      <c r="B452" s="278" t="s">
        <v>3027</v>
      </c>
      <c r="C452" s="278" t="s">
        <v>329</v>
      </c>
      <c r="D452" s="278"/>
      <c r="E452" s="279">
        <v>5.7219142421E10</v>
      </c>
      <c r="F452" s="280">
        <v>1.0</v>
      </c>
      <c r="G452" s="280">
        <v>1.0</v>
      </c>
      <c r="H452" s="280">
        <v>6.0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75" t="s">
        <v>3484</v>
      </c>
      <c r="B453" s="275" t="s">
        <v>3017</v>
      </c>
      <c r="C453" s="275" t="s">
        <v>329</v>
      </c>
      <c r="D453" s="275"/>
      <c r="E453" s="276">
        <v>5.7208036711E10</v>
      </c>
      <c r="F453" s="277">
        <v>1.0</v>
      </c>
      <c r="G453" s="277">
        <v>1.0</v>
      </c>
      <c r="H453" s="277">
        <v>8.0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78" t="s">
        <v>3485</v>
      </c>
      <c r="B454" s="278" t="s">
        <v>3027</v>
      </c>
      <c r="C454" s="278" t="s">
        <v>859</v>
      </c>
      <c r="D454" s="278"/>
      <c r="E454" s="279">
        <v>5.719471403E10</v>
      </c>
      <c r="F454" s="280">
        <v>0.0</v>
      </c>
      <c r="G454" s="280">
        <v>1.0</v>
      </c>
      <c r="H454" s="280">
        <v>0.0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75" t="s">
        <v>3486</v>
      </c>
      <c r="B455" s="275" t="s">
        <v>3017</v>
      </c>
      <c r="C455" s="275" t="s">
        <v>75</v>
      </c>
      <c r="D455" s="275"/>
      <c r="E455" s="276">
        <v>7.101884027E9</v>
      </c>
      <c r="F455" s="277">
        <v>1.0</v>
      </c>
      <c r="G455" s="277">
        <v>3.0</v>
      </c>
      <c r="H455" s="277">
        <v>4.0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78" t="s">
        <v>3487</v>
      </c>
      <c r="B456" s="278" t="s">
        <v>3017</v>
      </c>
      <c r="C456" s="278" t="s">
        <v>41</v>
      </c>
      <c r="D456" s="278"/>
      <c r="E456" s="280"/>
      <c r="F456" s="280">
        <v>0.0</v>
      </c>
      <c r="G456" s="280">
        <v>0.0</v>
      </c>
      <c r="H456" s="280">
        <v>0.0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275" t="s">
        <v>3488</v>
      </c>
      <c r="B457" s="275" t="s">
        <v>3025</v>
      </c>
      <c r="C457" s="275" t="s">
        <v>94</v>
      </c>
      <c r="D457" s="275"/>
      <c r="E457" s="277"/>
      <c r="F457" s="277">
        <v>0.0</v>
      </c>
      <c r="G457" s="277">
        <v>0.0</v>
      </c>
      <c r="H457" s="277">
        <v>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78" t="s">
        <v>3489</v>
      </c>
      <c r="B458" s="278" t="s">
        <v>3054</v>
      </c>
      <c r="C458" s="278" t="s">
        <v>356</v>
      </c>
      <c r="D458" s="278"/>
      <c r="E458" s="280"/>
      <c r="F458" s="280">
        <v>0.0</v>
      </c>
      <c r="G458" s="280">
        <v>0.0</v>
      </c>
      <c r="H458" s="280">
        <v>0.0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75" t="s">
        <v>3490</v>
      </c>
      <c r="B459" s="275" t="s">
        <v>3017</v>
      </c>
      <c r="C459" s="275" t="s">
        <v>428</v>
      </c>
      <c r="D459" s="275"/>
      <c r="E459" s="277"/>
      <c r="F459" s="277">
        <v>0.0</v>
      </c>
      <c r="G459" s="277">
        <v>0.0</v>
      </c>
      <c r="H459" s="277">
        <v>0.0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278" t="s">
        <v>3491</v>
      </c>
      <c r="B460" s="278" t="s">
        <v>3025</v>
      </c>
      <c r="C460" s="278" t="s">
        <v>36</v>
      </c>
      <c r="D460" s="278"/>
      <c r="E460" s="279">
        <v>5.64859788E10</v>
      </c>
      <c r="F460" s="280">
        <v>6.0</v>
      </c>
      <c r="G460" s="280">
        <v>21.0</v>
      </c>
      <c r="H460" s="280">
        <v>100.0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275" t="s">
        <v>3492</v>
      </c>
      <c r="B461" s="275" t="s">
        <v>3021</v>
      </c>
      <c r="C461" s="275" t="s">
        <v>60</v>
      </c>
      <c r="D461" s="275"/>
      <c r="E461" s="276">
        <v>5.7216434058E10</v>
      </c>
      <c r="F461" s="277">
        <v>4.0</v>
      </c>
      <c r="G461" s="277">
        <v>49.0</v>
      </c>
      <c r="H461" s="277">
        <v>46.0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78" t="s">
        <v>3493</v>
      </c>
      <c r="B462" s="278" t="s">
        <v>3017</v>
      </c>
      <c r="C462" s="278" t="s">
        <v>60</v>
      </c>
      <c r="D462" s="278"/>
      <c r="E462" s="279">
        <v>5.7216439548E10</v>
      </c>
      <c r="F462" s="280">
        <v>2.0</v>
      </c>
      <c r="G462" s="280">
        <v>12.0</v>
      </c>
      <c r="H462" s="280">
        <v>8.0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75" t="s">
        <v>3494</v>
      </c>
      <c r="B463" s="275" t="s">
        <v>3023</v>
      </c>
      <c r="C463" s="275" t="s">
        <v>46</v>
      </c>
      <c r="D463" s="275"/>
      <c r="E463" s="277"/>
      <c r="F463" s="277">
        <v>0.0</v>
      </c>
      <c r="G463" s="277">
        <v>0.0</v>
      </c>
      <c r="H463" s="277">
        <v>0.0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78" t="s">
        <v>3495</v>
      </c>
      <c r="B464" s="278" t="s">
        <v>3496</v>
      </c>
      <c r="C464" s="278" t="s">
        <v>1493</v>
      </c>
      <c r="D464" s="278"/>
      <c r="E464" s="279">
        <v>5.7207762383E10</v>
      </c>
      <c r="F464" s="280">
        <v>1.0</v>
      </c>
      <c r="G464" s="280">
        <v>12.0</v>
      </c>
      <c r="H464" s="280">
        <v>11.0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75" t="s">
        <v>3497</v>
      </c>
      <c r="B465" s="275" t="s">
        <v>3021</v>
      </c>
      <c r="C465" s="275" t="s">
        <v>94</v>
      </c>
      <c r="D465" s="275"/>
      <c r="E465" s="276">
        <v>7.003848906E9</v>
      </c>
      <c r="F465" s="277">
        <v>12.0</v>
      </c>
      <c r="G465" s="277">
        <v>164.0</v>
      </c>
      <c r="H465" s="277">
        <v>359.0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278" t="s">
        <v>3498</v>
      </c>
      <c r="B466" s="278" t="s">
        <v>3019</v>
      </c>
      <c r="C466" s="278" t="s">
        <v>60</v>
      </c>
      <c r="D466" s="278"/>
      <c r="E466" s="280"/>
      <c r="F466" s="280">
        <v>0.0</v>
      </c>
      <c r="G466" s="280">
        <v>0.0</v>
      </c>
      <c r="H466" s="280">
        <v>0.0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75" t="s">
        <v>3499</v>
      </c>
      <c r="B467" s="275" t="s">
        <v>3023</v>
      </c>
      <c r="C467" s="275" t="s">
        <v>137</v>
      </c>
      <c r="D467" s="275"/>
      <c r="E467" s="276">
        <v>5.718938676E10</v>
      </c>
      <c r="F467" s="277">
        <v>5.0</v>
      </c>
      <c r="G467" s="277">
        <v>26.0</v>
      </c>
      <c r="H467" s="277">
        <v>93.0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78" t="s">
        <v>3500</v>
      </c>
      <c r="B468" s="278" t="s">
        <v>3017</v>
      </c>
      <c r="C468" s="278" t="s">
        <v>594</v>
      </c>
      <c r="D468" s="278"/>
      <c r="E468" s="279">
        <v>6.60302343E9</v>
      </c>
      <c r="F468" s="280">
        <v>3.0</v>
      </c>
      <c r="G468" s="280">
        <v>47.0</v>
      </c>
      <c r="H468" s="280">
        <v>26.0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75" t="s">
        <v>3501</v>
      </c>
      <c r="B469" s="275" t="s">
        <v>3025</v>
      </c>
      <c r="C469" s="275" t="s">
        <v>60</v>
      </c>
      <c r="D469" s="275"/>
      <c r="E469" s="277"/>
      <c r="F469" s="277">
        <v>0.0</v>
      </c>
      <c r="G469" s="277">
        <v>0.0</v>
      </c>
      <c r="H469" s="277">
        <v>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78" t="s">
        <v>3502</v>
      </c>
      <c r="B470" s="278" t="s">
        <v>3038</v>
      </c>
      <c r="C470" s="278" t="s">
        <v>71</v>
      </c>
      <c r="D470" s="278"/>
      <c r="E470" s="280"/>
      <c r="F470" s="280">
        <v>0.0</v>
      </c>
      <c r="G470" s="280">
        <v>0.0</v>
      </c>
      <c r="H470" s="280">
        <v>0.0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75" t="s">
        <v>3503</v>
      </c>
      <c r="B471" s="275" t="s">
        <v>3027</v>
      </c>
      <c r="C471" s="275" t="s">
        <v>91</v>
      </c>
      <c r="D471" s="275"/>
      <c r="E471" s="277"/>
      <c r="F471" s="277">
        <v>0.0</v>
      </c>
      <c r="G471" s="277">
        <v>0.0</v>
      </c>
      <c r="H471" s="277">
        <v>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78" t="s">
        <v>3504</v>
      </c>
      <c r="B472" s="278" t="s">
        <v>3027</v>
      </c>
      <c r="C472" s="278" t="s">
        <v>41</v>
      </c>
      <c r="D472" s="278"/>
      <c r="E472" s="280"/>
      <c r="F472" s="280">
        <v>0.0</v>
      </c>
      <c r="G472" s="280">
        <v>0.0</v>
      </c>
      <c r="H472" s="280">
        <v>0.0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75" t="s">
        <v>3505</v>
      </c>
      <c r="B473" s="275" t="s">
        <v>3023</v>
      </c>
      <c r="C473" s="275" t="s">
        <v>60</v>
      </c>
      <c r="D473" s="275"/>
      <c r="E473" s="276">
        <v>5.7201604404E10</v>
      </c>
      <c r="F473" s="277">
        <v>4.0</v>
      </c>
      <c r="G473" s="277">
        <v>10.0</v>
      </c>
      <c r="H473" s="277">
        <v>32.0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78" t="s">
        <v>3506</v>
      </c>
      <c r="B474" s="278" t="s">
        <v>3038</v>
      </c>
      <c r="C474" s="278" t="s">
        <v>94</v>
      </c>
      <c r="D474" s="278"/>
      <c r="E474" s="280"/>
      <c r="F474" s="280">
        <v>0.0</v>
      </c>
      <c r="G474" s="280">
        <v>0.0</v>
      </c>
      <c r="H474" s="280">
        <v>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75" t="s">
        <v>3507</v>
      </c>
      <c r="B475" s="275" t="s">
        <v>3027</v>
      </c>
      <c r="C475" s="275" t="s">
        <v>78</v>
      </c>
      <c r="D475" s="275"/>
      <c r="E475" s="277"/>
      <c r="F475" s="277">
        <v>0.0</v>
      </c>
      <c r="G475" s="277">
        <v>0.0</v>
      </c>
      <c r="H475" s="277">
        <v>0.0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278" t="s">
        <v>3508</v>
      </c>
      <c r="B476" s="278" t="s">
        <v>3061</v>
      </c>
      <c r="C476" s="278" t="s">
        <v>71</v>
      </c>
      <c r="D476" s="278"/>
      <c r="E476" s="280"/>
      <c r="F476" s="280">
        <v>0.0</v>
      </c>
      <c r="G476" s="280">
        <v>2.0</v>
      </c>
      <c r="H476" s="280">
        <v>0.0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75" t="s">
        <v>3509</v>
      </c>
      <c r="B477" s="275" t="s">
        <v>3027</v>
      </c>
      <c r="C477" s="275" t="s">
        <v>78</v>
      </c>
      <c r="D477" s="275"/>
      <c r="E477" s="277"/>
      <c r="F477" s="277">
        <v>0.0</v>
      </c>
      <c r="G477" s="277">
        <v>0.0</v>
      </c>
      <c r="H477" s="277">
        <v>0.0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78" t="s">
        <v>3510</v>
      </c>
      <c r="B478" s="278" t="s">
        <v>3017</v>
      </c>
      <c r="C478" s="278" t="s">
        <v>21</v>
      </c>
      <c r="D478" s="278"/>
      <c r="E478" s="279">
        <v>5.7208026679E10</v>
      </c>
      <c r="F478" s="280">
        <v>1.0</v>
      </c>
      <c r="G478" s="280">
        <v>4.0</v>
      </c>
      <c r="H478" s="280">
        <v>1.0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75" t="s">
        <v>3511</v>
      </c>
      <c r="B479" s="275" t="s">
        <v>3025</v>
      </c>
      <c r="C479" s="275" t="s">
        <v>21</v>
      </c>
      <c r="D479" s="275"/>
      <c r="E479" s="276">
        <v>5.71057436E10</v>
      </c>
      <c r="F479" s="277">
        <v>3.0</v>
      </c>
      <c r="G479" s="277">
        <v>17.0</v>
      </c>
      <c r="H479" s="277">
        <v>49.0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78" t="s">
        <v>3512</v>
      </c>
      <c r="B480" s="278" t="s">
        <v>3023</v>
      </c>
      <c r="C480" s="278" t="s">
        <v>381</v>
      </c>
      <c r="D480" s="278"/>
      <c r="E480" s="279">
        <v>6.602185126E9</v>
      </c>
      <c r="F480" s="280">
        <v>9.0</v>
      </c>
      <c r="G480" s="280">
        <v>46.0</v>
      </c>
      <c r="H480" s="280">
        <v>179.0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75" t="s">
        <v>3513</v>
      </c>
      <c r="B481" s="275" t="s">
        <v>3023</v>
      </c>
      <c r="C481" s="275" t="s">
        <v>137</v>
      </c>
      <c r="D481" s="275"/>
      <c r="E481" s="276">
        <v>9.5336185E9</v>
      </c>
      <c r="F481" s="277">
        <v>2.0</v>
      </c>
      <c r="G481" s="277">
        <v>13.0</v>
      </c>
      <c r="H481" s="277">
        <v>18.0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78" t="s">
        <v>3514</v>
      </c>
      <c r="B482" s="278" t="s">
        <v>3017</v>
      </c>
      <c r="C482" s="278" t="s">
        <v>329</v>
      </c>
      <c r="D482" s="278"/>
      <c r="E482" s="280"/>
      <c r="F482" s="280">
        <v>0.0</v>
      </c>
      <c r="G482" s="280">
        <v>0.0</v>
      </c>
      <c r="H482" s="280">
        <v>0.0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275" t="s">
        <v>3515</v>
      </c>
      <c r="B483" s="275" t="s">
        <v>3025</v>
      </c>
      <c r="C483" s="275" t="s">
        <v>21</v>
      </c>
      <c r="D483" s="275"/>
      <c r="E483" s="277"/>
      <c r="F483" s="277">
        <v>0.0</v>
      </c>
      <c r="G483" s="277">
        <v>0.0</v>
      </c>
      <c r="H483" s="277">
        <v>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78" t="s">
        <v>3516</v>
      </c>
      <c r="B484" s="278" t="s">
        <v>3017</v>
      </c>
      <c r="C484" s="278" t="s">
        <v>75</v>
      </c>
      <c r="D484" s="278"/>
      <c r="E484" s="279">
        <v>6.506997466E9</v>
      </c>
      <c r="F484" s="280">
        <v>1.0</v>
      </c>
      <c r="G484" s="280">
        <v>6.0</v>
      </c>
      <c r="H484" s="280">
        <v>2.0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75" t="s">
        <v>3517</v>
      </c>
      <c r="B485" s="275" t="s">
        <v>3023</v>
      </c>
      <c r="C485" s="275" t="s">
        <v>102</v>
      </c>
      <c r="D485" s="275"/>
      <c r="E485" s="276">
        <v>5.59405194E10</v>
      </c>
      <c r="F485" s="277">
        <v>6.0</v>
      </c>
      <c r="G485" s="277">
        <v>68.0</v>
      </c>
      <c r="H485" s="277">
        <v>85.0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78" t="s">
        <v>3518</v>
      </c>
      <c r="B486" s="278" t="s">
        <v>3017</v>
      </c>
      <c r="C486" s="278" t="s">
        <v>329</v>
      </c>
      <c r="D486" s="278"/>
      <c r="E486" s="280"/>
      <c r="F486" s="280">
        <v>0.0</v>
      </c>
      <c r="G486" s="280">
        <v>0.0</v>
      </c>
      <c r="H486" s="280">
        <v>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75" t="s">
        <v>3519</v>
      </c>
      <c r="B487" s="275" t="s">
        <v>3023</v>
      </c>
      <c r="C487" s="275" t="s">
        <v>75</v>
      </c>
      <c r="D487" s="275"/>
      <c r="E487" s="276">
        <v>6.603248549E9</v>
      </c>
      <c r="F487" s="277">
        <v>6.0</v>
      </c>
      <c r="G487" s="277">
        <v>19.0</v>
      </c>
      <c r="H487" s="277">
        <v>243.0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78" t="s">
        <v>3520</v>
      </c>
      <c r="B488" s="278" t="s">
        <v>3023</v>
      </c>
      <c r="C488" s="278" t="s">
        <v>210</v>
      </c>
      <c r="D488" s="278"/>
      <c r="E488" s="279">
        <v>9.5351538E9</v>
      </c>
      <c r="F488" s="280">
        <v>4.0</v>
      </c>
      <c r="G488" s="280">
        <v>19.0</v>
      </c>
      <c r="H488" s="280">
        <v>33.0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75" t="s">
        <v>3521</v>
      </c>
      <c r="B489" s="275" t="s">
        <v>3027</v>
      </c>
      <c r="C489" s="275" t="s">
        <v>75</v>
      </c>
      <c r="D489" s="275"/>
      <c r="E489" s="276">
        <v>5.70089034E10</v>
      </c>
      <c r="F489" s="277">
        <v>0.0</v>
      </c>
      <c r="G489" s="277">
        <v>1.0</v>
      </c>
      <c r="H489" s="277">
        <v>0.0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78" t="s">
        <v>3522</v>
      </c>
      <c r="B490" s="278" t="s">
        <v>3023</v>
      </c>
      <c r="C490" s="278" t="s">
        <v>60</v>
      </c>
      <c r="D490" s="278"/>
      <c r="E490" s="279">
        <v>7.006546248E9</v>
      </c>
      <c r="F490" s="280">
        <v>1.0</v>
      </c>
      <c r="G490" s="280">
        <v>13.0</v>
      </c>
      <c r="H490" s="280">
        <v>5.0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75" t="s">
        <v>3523</v>
      </c>
      <c r="B491" s="275" t="s">
        <v>3027</v>
      </c>
      <c r="C491" s="275" t="s">
        <v>356</v>
      </c>
      <c r="D491" s="275"/>
      <c r="E491" s="276">
        <v>5.7218951658E10</v>
      </c>
      <c r="F491" s="277">
        <v>1.0</v>
      </c>
      <c r="G491" s="277">
        <v>4.0</v>
      </c>
      <c r="H491" s="277">
        <v>3.0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78" t="s">
        <v>3524</v>
      </c>
      <c r="B492" s="278" t="s">
        <v>3023</v>
      </c>
      <c r="C492" s="278" t="s">
        <v>71</v>
      </c>
      <c r="D492" s="278"/>
      <c r="E492" s="280"/>
      <c r="F492" s="280">
        <v>0.0</v>
      </c>
      <c r="G492" s="280">
        <v>0.0</v>
      </c>
      <c r="H492" s="280">
        <v>0.0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75" t="s">
        <v>3525</v>
      </c>
      <c r="B493" s="275" t="s">
        <v>3025</v>
      </c>
      <c r="C493" s="275" t="s">
        <v>41</v>
      </c>
      <c r="D493" s="275"/>
      <c r="E493" s="277"/>
      <c r="F493" s="277">
        <v>0.0</v>
      </c>
      <c r="G493" s="277">
        <v>0.0</v>
      </c>
      <c r="H493" s="277">
        <v>0.0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78" t="s">
        <v>3526</v>
      </c>
      <c r="B494" s="278" t="s">
        <v>3027</v>
      </c>
      <c r="C494" s="278" t="s">
        <v>41</v>
      </c>
      <c r="D494" s="278"/>
      <c r="E494" s="280"/>
      <c r="F494" s="280">
        <v>0.0</v>
      </c>
      <c r="G494" s="280">
        <v>0.0</v>
      </c>
      <c r="H494" s="280">
        <v>0.0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75" t="s">
        <v>3527</v>
      </c>
      <c r="B495" s="275" t="s">
        <v>3019</v>
      </c>
      <c r="C495" s="275" t="s">
        <v>356</v>
      </c>
      <c r="D495" s="275"/>
      <c r="E495" s="276">
        <v>3.6104503E10</v>
      </c>
      <c r="F495" s="277">
        <v>8.0</v>
      </c>
      <c r="G495" s="277">
        <v>29.0</v>
      </c>
      <c r="H495" s="277">
        <v>694.0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78" t="s">
        <v>3528</v>
      </c>
      <c r="B496" s="272" t="s">
        <v>3019</v>
      </c>
      <c r="C496" s="272" t="s">
        <v>60</v>
      </c>
      <c r="D496" s="278"/>
      <c r="E496" s="279">
        <v>5.56592555E10</v>
      </c>
      <c r="F496" s="280">
        <v>2.0</v>
      </c>
      <c r="G496" s="280">
        <v>12.0</v>
      </c>
      <c r="H496" s="280">
        <v>5.0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75" t="s">
        <v>3529</v>
      </c>
      <c r="B497" s="275" t="s">
        <v>3023</v>
      </c>
      <c r="C497" s="275" t="s">
        <v>60</v>
      </c>
      <c r="D497" s="275"/>
      <c r="E497" s="277"/>
      <c r="F497" s="277">
        <v>0.0</v>
      </c>
      <c r="G497" s="277">
        <v>0.0</v>
      </c>
      <c r="H497" s="277">
        <v>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78" t="s">
        <v>3530</v>
      </c>
      <c r="B498" s="278" t="s">
        <v>3017</v>
      </c>
      <c r="C498" s="278" t="s">
        <v>144</v>
      </c>
      <c r="D498" s="278"/>
      <c r="E498" s="279">
        <v>2.47232715E10</v>
      </c>
      <c r="F498" s="280">
        <v>1.0</v>
      </c>
      <c r="G498" s="280">
        <v>16.0</v>
      </c>
      <c r="H498" s="280">
        <v>3.0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75" t="s">
        <v>3531</v>
      </c>
      <c r="B499" s="275" t="s">
        <v>3017</v>
      </c>
      <c r="C499" s="275" t="s">
        <v>120</v>
      </c>
      <c r="D499" s="275"/>
      <c r="E499" s="277"/>
      <c r="F499" s="277">
        <v>0.0</v>
      </c>
      <c r="G499" s="277">
        <v>0.0</v>
      </c>
      <c r="H499" s="277">
        <v>0.0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78" t="s">
        <v>3532</v>
      </c>
      <c r="B500" s="278" t="s">
        <v>3017</v>
      </c>
      <c r="C500" s="278" t="s">
        <v>144</v>
      </c>
      <c r="D500" s="278"/>
      <c r="E500" s="280"/>
      <c r="F500" s="280">
        <v>0.0</v>
      </c>
      <c r="G500" s="280">
        <v>0.0</v>
      </c>
      <c r="H500" s="280">
        <v>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75" t="s">
        <v>3533</v>
      </c>
      <c r="B501" s="275" t="s">
        <v>3027</v>
      </c>
      <c r="C501" s="275" t="s">
        <v>859</v>
      </c>
      <c r="D501" s="275"/>
      <c r="E501" s="276">
        <v>5.68254026E10</v>
      </c>
      <c r="F501" s="277">
        <v>1.0</v>
      </c>
      <c r="G501" s="277">
        <v>6.0</v>
      </c>
      <c r="H501" s="277">
        <v>2.0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72" t="s">
        <v>3534</v>
      </c>
      <c r="B502" s="272" t="s">
        <v>3025</v>
      </c>
      <c r="C502" s="272" t="s">
        <v>41</v>
      </c>
      <c r="D502" s="272"/>
      <c r="E502" s="273">
        <v>5.7209338164E10</v>
      </c>
      <c r="F502" s="274">
        <v>0.0</v>
      </c>
      <c r="G502" s="274">
        <v>1.0</v>
      </c>
      <c r="H502" s="274">
        <v>0.0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75" t="s">
        <v>3535</v>
      </c>
      <c r="B503" s="275" t="s">
        <v>3017</v>
      </c>
      <c r="C503" s="275" t="s">
        <v>859</v>
      </c>
      <c r="D503" s="275"/>
      <c r="E503" s="276">
        <v>5.7192680688E10</v>
      </c>
      <c r="F503" s="277">
        <v>0.0</v>
      </c>
      <c r="G503" s="277">
        <v>2.0</v>
      </c>
      <c r="H503" s="277">
        <v>0.0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78" t="s">
        <v>3536</v>
      </c>
      <c r="B504" s="278" t="s">
        <v>3027</v>
      </c>
      <c r="C504" s="278" t="s">
        <v>272</v>
      </c>
      <c r="D504" s="278"/>
      <c r="E504" s="280"/>
      <c r="F504" s="280">
        <v>0.0</v>
      </c>
      <c r="G504" s="280">
        <v>0.0</v>
      </c>
      <c r="H504" s="280">
        <v>0.0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275" t="s">
        <v>3537</v>
      </c>
      <c r="B505" s="275" t="s">
        <v>3017</v>
      </c>
      <c r="C505" s="275" t="s">
        <v>41</v>
      </c>
      <c r="D505" s="275"/>
      <c r="E505" s="276">
        <v>7.801330008E9</v>
      </c>
      <c r="F505" s="277">
        <v>0.0</v>
      </c>
      <c r="G505" s="277">
        <v>1.0</v>
      </c>
      <c r="H505" s="277">
        <v>0.0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78" t="s">
        <v>3538</v>
      </c>
      <c r="B506" s="278" t="s">
        <v>3027</v>
      </c>
      <c r="C506" s="278" t="s">
        <v>272</v>
      </c>
      <c r="D506" s="278"/>
      <c r="E506" s="280"/>
      <c r="F506" s="280">
        <v>0.0</v>
      </c>
      <c r="G506" s="280">
        <v>0.0</v>
      </c>
      <c r="H506" s="280">
        <v>0.0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75" t="s">
        <v>3539</v>
      </c>
      <c r="B507" s="275" t="s">
        <v>3027</v>
      </c>
      <c r="C507" s="275" t="s">
        <v>91</v>
      </c>
      <c r="D507" s="275"/>
      <c r="E507" s="277"/>
      <c r="F507" s="277">
        <v>0.0</v>
      </c>
      <c r="G507" s="277">
        <v>0.0</v>
      </c>
      <c r="H507" s="277">
        <v>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78" t="s">
        <v>3540</v>
      </c>
      <c r="B508" s="278" t="s">
        <v>3038</v>
      </c>
      <c r="C508" s="278" t="s">
        <v>3541</v>
      </c>
      <c r="D508" s="278"/>
      <c r="E508" s="280"/>
      <c r="F508" s="280">
        <v>0.0</v>
      </c>
      <c r="G508" s="280">
        <v>0.0</v>
      </c>
      <c r="H508" s="280">
        <v>0.0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75" t="s">
        <v>3542</v>
      </c>
      <c r="B509" s="275" t="s">
        <v>3019</v>
      </c>
      <c r="C509" s="275" t="s">
        <v>594</v>
      </c>
      <c r="D509" s="275"/>
      <c r="E509" s="277"/>
      <c r="F509" s="277">
        <v>0.0</v>
      </c>
      <c r="G509" s="277">
        <v>0.0</v>
      </c>
      <c r="H509" s="277">
        <v>0.0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78" t="s">
        <v>3543</v>
      </c>
      <c r="B510" s="278" t="s">
        <v>3027</v>
      </c>
      <c r="C510" s="278" t="s">
        <v>128</v>
      </c>
      <c r="D510" s="278"/>
      <c r="E510" s="279">
        <v>7.102831556E9</v>
      </c>
      <c r="F510" s="280">
        <v>4.0</v>
      </c>
      <c r="G510" s="280">
        <v>7.0</v>
      </c>
      <c r="H510" s="280">
        <v>52.0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75" t="s">
        <v>3544</v>
      </c>
      <c r="B511" s="275" t="s">
        <v>3025</v>
      </c>
      <c r="C511" s="275" t="s">
        <v>21</v>
      </c>
      <c r="D511" s="275"/>
      <c r="E511" s="277"/>
      <c r="F511" s="277">
        <v>0.0</v>
      </c>
      <c r="G511" s="277">
        <v>0.0</v>
      </c>
      <c r="H511" s="277">
        <v>0.0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278" t="s">
        <v>3545</v>
      </c>
      <c r="B512" s="278" t="s">
        <v>3023</v>
      </c>
      <c r="C512" s="278" t="s">
        <v>60</v>
      </c>
      <c r="D512" s="278"/>
      <c r="E512" s="279">
        <v>2.44623571E10</v>
      </c>
      <c r="F512" s="280">
        <v>1.0</v>
      </c>
      <c r="G512" s="280">
        <v>6.0</v>
      </c>
      <c r="H512" s="280">
        <v>7.0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275" t="s">
        <v>3546</v>
      </c>
      <c r="B513" s="275" t="s">
        <v>3025</v>
      </c>
      <c r="C513" s="275" t="s">
        <v>78</v>
      </c>
      <c r="D513" s="275"/>
      <c r="E513" s="277"/>
      <c r="F513" s="277">
        <v>0.0</v>
      </c>
      <c r="G513" s="277">
        <v>0.0</v>
      </c>
      <c r="H513" s="277">
        <v>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278" t="s">
        <v>3547</v>
      </c>
      <c r="B514" s="278" t="s">
        <v>3025</v>
      </c>
      <c r="C514" s="278" t="s">
        <v>385</v>
      </c>
      <c r="D514" s="278"/>
      <c r="E514" s="280"/>
      <c r="F514" s="280">
        <v>0.0</v>
      </c>
      <c r="G514" s="280">
        <v>0.0</v>
      </c>
      <c r="H514" s="280">
        <v>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75" t="s">
        <v>3548</v>
      </c>
      <c r="B515" s="275" t="s">
        <v>3038</v>
      </c>
      <c r="C515" s="275" t="s">
        <v>137</v>
      </c>
      <c r="D515" s="275"/>
      <c r="E515" s="276">
        <v>7.006145081E9</v>
      </c>
      <c r="F515" s="277">
        <v>12.0</v>
      </c>
      <c r="G515" s="277">
        <v>44.0</v>
      </c>
      <c r="H515" s="277">
        <v>401.0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78" t="s">
        <v>3549</v>
      </c>
      <c r="B516" s="278" t="s">
        <v>3054</v>
      </c>
      <c r="C516" s="278" t="s">
        <v>137</v>
      </c>
      <c r="D516" s="278"/>
      <c r="E516" s="279">
        <v>5.7207256297E10</v>
      </c>
      <c r="F516" s="280">
        <v>1.0</v>
      </c>
      <c r="G516" s="280">
        <v>1.0</v>
      </c>
      <c r="H516" s="280">
        <v>7.0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275" t="s">
        <v>3550</v>
      </c>
      <c r="B517" s="275" t="s">
        <v>3023</v>
      </c>
      <c r="C517" s="275" t="s">
        <v>218</v>
      </c>
      <c r="D517" s="275"/>
      <c r="E517" s="276">
        <v>5.7200823898E10</v>
      </c>
      <c r="F517" s="277">
        <v>1.0</v>
      </c>
      <c r="G517" s="277">
        <v>3.0</v>
      </c>
      <c r="H517" s="277">
        <v>3.0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278" t="s">
        <v>3551</v>
      </c>
      <c r="B518" s="278" t="s">
        <v>3021</v>
      </c>
      <c r="C518" s="278" t="s">
        <v>409</v>
      </c>
      <c r="D518" s="278"/>
      <c r="E518" s="279">
        <v>5.5568512035E10</v>
      </c>
      <c r="F518" s="280">
        <v>4.0</v>
      </c>
      <c r="G518" s="280">
        <v>40.0</v>
      </c>
      <c r="H518" s="280">
        <v>54.0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75" t="s">
        <v>3552</v>
      </c>
      <c r="B519" s="275" t="s">
        <v>3025</v>
      </c>
      <c r="C519" s="275" t="s">
        <v>171</v>
      </c>
      <c r="D519" s="275"/>
      <c r="E519" s="276">
        <v>5.7219538959E10</v>
      </c>
      <c r="F519" s="277">
        <v>0.0</v>
      </c>
      <c r="G519" s="277">
        <v>1.0</v>
      </c>
      <c r="H519" s="277">
        <v>0.0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78" t="s">
        <v>3553</v>
      </c>
      <c r="B520" s="278" t="s">
        <v>3027</v>
      </c>
      <c r="C520" s="278" t="s">
        <v>71</v>
      </c>
      <c r="D520" s="278"/>
      <c r="E520" s="279">
        <v>5.720456089E10</v>
      </c>
      <c r="F520" s="280">
        <v>2.0</v>
      </c>
      <c r="G520" s="280">
        <v>3.0</v>
      </c>
      <c r="H520" s="280">
        <v>12.0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75" t="s">
        <v>3554</v>
      </c>
      <c r="B521" s="275" t="s">
        <v>3017</v>
      </c>
      <c r="C521" s="275" t="s">
        <v>91</v>
      </c>
      <c r="D521" s="275"/>
      <c r="E521" s="277"/>
      <c r="F521" s="277">
        <v>0.0</v>
      </c>
      <c r="G521" s="277">
        <v>0.0</v>
      </c>
      <c r="H521" s="277">
        <v>0.0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78" t="s">
        <v>3555</v>
      </c>
      <c r="B522" s="278" t="s">
        <v>3023</v>
      </c>
      <c r="C522" s="278" t="s">
        <v>36</v>
      </c>
      <c r="D522" s="278"/>
      <c r="E522" s="279">
        <v>5.7194029567E10</v>
      </c>
      <c r="F522" s="280">
        <v>1.0</v>
      </c>
      <c r="G522" s="280">
        <v>4.0</v>
      </c>
      <c r="H522" s="280">
        <v>3.0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75" t="s">
        <v>3556</v>
      </c>
      <c r="B523" s="275" t="s">
        <v>3017</v>
      </c>
      <c r="C523" s="275" t="s">
        <v>78</v>
      </c>
      <c r="D523" s="275"/>
      <c r="E523" s="277"/>
      <c r="F523" s="277">
        <v>0.0</v>
      </c>
      <c r="G523" s="277">
        <v>0.0</v>
      </c>
      <c r="H523" s="277">
        <v>0.0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78" t="s">
        <v>3557</v>
      </c>
      <c r="B524" s="278" t="s">
        <v>3061</v>
      </c>
      <c r="C524" s="278" t="s">
        <v>46</v>
      </c>
      <c r="D524" s="278"/>
      <c r="E524" s="280"/>
      <c r="F524" s="280">
        <v>0.0</v>
      </c>
      <c r="G524" s="280">
        <v>0.0</v>
      </c>
      <c r="H524" s="280">
        <v>0.0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75" t="s">
        <v>3558</v>
      </c>
      <c r="B525" s="275" t="s">
        <v>3017</v>
      </c>
      <c r="C525" s="275" t="s">
        <v>108</v>
      </c>
      <c r="D525" s="275"/>
      <c r="E525" s="276">
        <v>1.57317497E10</v>
      </c>
      <c r="F525" s="277">
        <v>2.0</v>
      </c>
      <c r="G525" s="277">
        <v>21.0</v>
      </c>
      <c r="H525" s="277">
        <v>7.0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278" t="s">
        <v>3559</v>
      </c>
      <c r="B526" s="278" t="s">
        <v>3025</v>
      </c>
      <c r="C526" s="278" t="s">
        <v>91</v>
      </c>
      <c r="D526" s="278"/>
      <c r="E526" s="280"/>
      <c r="F526" s="280">
        <v>0.0</v>
      </c>
      <c r="G526" s="280">
        <v>0.0</v>
      </c>
      <c r="H526" s="280">
        <v>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75" t="s">
        <v>3560</v>
      </c>
      <c r="B527" s="275" t="s">
        <v>3027</v>
      </c>
      <c r="C527" s="275" t="s">
        <v>329</v>
      </c>
      <c r="D527" s="275"/>
      <c r="E527" s="276">
        <v>5.7208035034E10</v>
      </c>
      <c r="F527" s="277">
        <v>1.0</v>
      </c>
      <c r="G527" s="277">
        <v>1.0</v>
      </c>
      <c r="H527" s="277">
        <v>8.0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78" t="s">
        <v>3561</v>
      </c>
      <c r="B528" s="278" t="s">
        <v>3023</v>
      </c>
      <c r="C528" s="278" t="s">
        <v>21</v>
      </c>
      <c r="D528" s="278"/>
      <c r="E528" s="279">
        <v>5.7189383519E10</v>
      </c>
      <c r="F528" s="280">
        <v>6.0</v>
      </c>
      <c r="G528" s="280">
        <v>21.0</v>
      </c>
      <c r="H528" s="280">
        <v>100.0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75" t="s">
        <v>3562</v>
      </c>
      <c r="B529" s="275" t="s">
        <v>3017</v>
      </c>
      <c r="C529" s="275" t="s">
        <v>356</v>
      </c>
      <c r="D529" s="275"/>
      <c r="E529" s="277"/>
      <c r="F529" s="277">
        <v>0.0</v>
      </c>
      <c r="G529" s="277">
        <v>0.0</v>
      </c>
      <c r="H529" s="277">
        <v>0.0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78" t="s">
        <v>3563</v>
      </c>
      <c r="B530" s="278" t="s">
        <v>3021</v>
      </c>
      <c r="C530" s="278" t="s">
        <v>218</v>
      </c>
      <c r="D530" s="278"/>
      <c r="E530" s="279">
        <v>9.533889E9</v>
      </c>
      <c r="F530" s="280">
        <v>2.0</v>
      </c>
      <c r="G530" s="280">
        <v>9.0</v>
      </c>
      <c r="H530" s="280">
        <v>8.0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75" t="s">
        <v>3564</v>
      </c>
      <c r="B531" s="275" t="s">
        <v>3017</v>
      </c>
      <c r="C531" s="275" t="s">
        <v>137</v>
      </c>
      <c r="D531" s="275"/>
      <c r="E531" s="276">
        <v>5.7209099716E10</v>
      </c>
      <c r="F531" s="277">
        <v>1.0</v>
      </c>
      <c r="G531" s="277">
        <v>3.0</v>
      </c>
      <c r="H531" s="277">
        <v>2.0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78" t="s">
        <v>3565</v>
      </c>
      <c r="B532" s="278" t="s">
        <v>3025</v>
      </c>
      <c r="C532" s="278" t="s">
        <v>71</v>
      </c>
      <c r="D532" s="278"/>
      <c r="E532" s="279">
        <v>5.7216300264E10</v>
      </c>
      <c r="F532" s="280"/>
      <c r="G532" s="280"/>
      <c r="H532" s="280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75" t="s">
        <v>3566</v>
      </c>
      <c r="B533" s="275" t="s">
        <v>3017</v>
      </c>
      <c r="C533" s="275" t="s">
        <v>60</v>
      </c>
      <c r="D533" s="275"/>
      <c r="E533" s="276">
        <v>3.57632093E10</v>
      </c>
      <c r="F533" s="277">
        <v>1.0</v>
      </c>
      <c r="G533" s="277">
        <v>4.0</v>
      </c>
      <c r="H533" s="277">
        <v>1.0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78" t="s">
        <v>3567</v>
      </c>
      <c r="B534" s="278" t="s">
        <v>3027</v>
      </c>
      <c r="C534" s="278" t="s">
        <v>91</v>
      </c>
      <c r="D534" s="278"/>
      <c r="E534" s="280"/>
      <c r="F534" s="280">
        <v>0.0</v>
      </c>
      <c r="G534" s="280">
        <v>0.0</v>
      </c>
      <c r="H534" s="280">
        <v>0.0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75" t="s">
        <v>3568</v>
      </c>
      <c r="B535" s="275" t="s">
        <v>3038</v>
      </c>
      <c r="C535" s="275" t="s">
        <v>41</v>
      </c>
      <c r="D535" s="275"/>
      <c r="E535" s="276">
        <v>3.74619518E10</v>
      </c>
      <c r="F535" s="277">
        <v>0.0</v>
      </c>
      <c r="G535" s="277">
        <v>2.0</v>
      </c>
      <c r="H535" s="277">
        <v>0.0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78" t="s">
        <v>3569</v>
      </c>
      <c r="B536" s="278" t="s">
        <v>3017</v>
      </c>
      <c r="C536" s="278" t="s">
        <v>409</v>
      </c>
      <c r="D536" s="278"/>
      <c r="E536" s="279">
        <v>1.64027176E10</v>
      </c>
      <c r="F536" s="280">
        <v>0.0</v>
      </c>
      <c r="G536" s="280">
        <v>2.0</v>
      </c>
      <c r="H536" s="280">
        <v>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75" t="s">
        <v>3570</v>
      </c>
      <c r="B537" s="275" t="s">
        <v>3038</v>
      </c>
      <c r="C537" s="275" t="s">
        <v>120</v>
      </c>
      <c r="D537" s="275"/>
      <c r="E537" s="277"/>
      <c r="F537" s="277">
        <v>0.0</v>
      </c>
      <c r="G537" s="277">
        <v>0.0</v>
      </c>
      <c r="H537" s="277">
        <v>0.0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78" t="s">
        <v>3571</v>
      </c>
      <c r="B538" s="278" t="s">
        <v>3021</v>
      </c>
      <c r="C538" s="278" t="s">
        <v>329</v>
      </c>
      <c r="D538" s="278"/>
      <c r="E538" s="279">
        <v>5.70067056E10</v>
      </c>
      <c r="F538" s="280">
        <v>3.0</v>
      </c>
      <c r="G538" s="280">
        <v>7.0</v>
      </c>
      <c r="H538" s="280">
        <v>22.0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75" t="s">
        <v>3572</v>
      </c>
      <c r="B539" s="275" t="s">
        <v>3027</v>
      </c>
      <c r="C539" s="275" t="s">
        <v>78</v>
      </c>
      <c r="D539" s="275"/>
      <c r="E539" s="277"/>
      <c r="F539" s="277">
        <v>0.0</v>
      </c>
      <c r="G539" s="277">
        <v>0.0</v>
      </c>
      <c r="H539" s="277">
        <v>0.0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78" t="s">
        <v>3573</v>
      </c>
      <c r="B540" s="278" t="s">
        <v>3027</v>
      </c>
      <c r="C540" s="278" t="s">
        <v>272</v>
      </c>
      <c r="D540" s="278"/>
      <c r="E540" s="280"/>
      <c r="F540" s="280">
        <v>0.0</v>
      </c>
      <c r="G540" s="280">
        <v>0.0</v>
      </c>
      <c r="H540" s="280">
        <v>0.0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75" t="s">
        <v>3574</v>
      </c>
      <c r="B541" s="275" t="s">
        <v>3025</v>
      </c>
      <c r="C541" s="275" t="s">
        <v>167</v>
      </c>
      <c r="D541" s="275"/>
      <c r="E541" s="276">
        <v>5.7215374156E10</v>
      </c>
      <c r="F541" s="277">
        <v>1.0</v>
      </c>
      <c r="G541" s="277">
        <v>2.0</v>
      </c>
      <c r="H541" s="277">
        <v>2.0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78" t="s">
        <v>3575</v>
      </c>
      <c r="B542" s="278" t="s">
        <v>3027</v>
      </c>
      <c r="C542" s="278" t="s">
        <v>329</v>
      </c>
      <c r="D542" s="278"/>
      <c r="E542" s="279">
        <v>5.7221949824E10</v>
      </c>
      <c r="F542" s="280">
        <v>1.0</v>
      </c>
      <c r="G542" s="280">
        <v>4.0</v>
      </c>
      <c r="H542" s="280">
        <v>1.0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75" t="s">
        <v>3576</v>
      </c>
      <c r="B543" s="275" t="s">
        <v>3025</v>
      </c>
      <c r="C543" s="275" t="s">
        <v>137</v>
      </c>
      <c r="D543" s="275"/>
      <c r="E543" s="277"/>
      <c r="F543" s="277">
        <v>0.0</v>
      </c>
      <c r="G543" s="277">
        <v>0.0</v>
      </c>
      <c r="H543" s="277">
        <v>0.0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78" t="s">
        <v>3577</v>
      </c>
      <c r="B544" s="278" t="s">
        <v>3025</v>
      </c>
      <c r="C544" s="278" t="s">
        <v>36</v>
      </c>
      <c r="D544" s="278"/>
      <c r="E544" s="279">
        <v>5.64860056E10</v>
      </c>
      <c r="F544" s="280">
        <v>0.0</v>
      </c>
      <c r="G544" s="280">
        <v>5.0</v>
      </c>
      <c r="H544" s="280">
        <v>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275" t="s">
        <v>3578</v>
      </c>
      <c r="B545" s="275" t="s">
        <v>3017</v>
      </c>
      <c r="C545" s="275" t="s">
        <v>210</v>
      </c>
      <c r="D545" s="275"/>
      <c r="E545" s="276">
        <v>3.66328982E10</v>
      </c>
      <c r="F545" s="277">
        <v>1.0</v>
      </c>
      <c r="G545" s="277">
        <v>1.0</v>
      </c>
      <c r="H545" s="277">
        <v>1.0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78" t="s">
        <v>3579</v>
      </c>
      <c r="B546" s="278" t="s">
        <v>3023</v>
      </c>
      <c r="C546" s="278" t="s">
        <v>21</v>
      </c>
      <c r="D546" s="278"/>
      <c r="E546" s="279">
        <v>5.58910272E10</v>
      </c>
      <c r="F546" s="280">
        <v>1.0</v>
      </c>
      <c r="G546" s="280">
        <v>2.0</v>
      </c>
      <c r="H546" s="280">
        <v>4.0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75" t="s">
        <v>3580</v>
      </c>
      <c r="B547" s="275" t="s">
        <v>3025</v>
      </c>
      <c r="C547" s="275" t="s">
        <v>859</v>
      </c>
      <c r="D547" s="275"/>
      <c r="E547" s="276">
        <v>5.7216183292E10</v>
      </c>
      <c r="F547" s="277">
        <v>0.0</v>
      </c>
      <c r="G547" s="277">
        <v>1.0</v>
      </c>
      <c r="H547" s="277">
        <v>0.0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78" t="s">
        <v>3581</v>
      </c>
      <c r="B548" s="278" t="s">
        <v>3027</v>
      </c>
      <c r="C548" s="278" t="s">
        <v>329</v>
      </c>
      <c r="D548" s="278"/>
      <c r="E548" s="279">
        <v>5.7209317643E10</v>
      </c>
      <c r="F548" s="280">
        <v>1.0</v>
      </c>
      <c r="G548" s="280">
        <v>1.0</v>
      </c>
      <c r="H548" s="280">
        <v>8.0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75" t="s">
        <v>3582</v>
      </c>
      <c r="B549" s="275" t="s">
        <v>3027</v>
      </c>
      <c r="C549" s="275" t="s">
        <v>272</v>
      </c>
      <c r="D549" s="275"/>
      <c r="E549" s="277"/>
      <c r="F549" s="277">
        <v>0.0</v>
      </c>
      <c r="G549" s="277">
        <v>0.0</v>
      </c>
      <c r="H549" s="277">
        <v>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278" t="s">
        <v>3583</v>
      </c>
      <c r="B550" s="278" t="s">
        <v>3038</v>
      </c>
      <c r="C550" s="278" t="s">
        <v>60</v>
      </c>
      <c r="D550" s="278"/>
      <c r="E550" s="279">
        <v>6.603686093E9</v>
      </c>
      <c r="F550" s="280"/>
      <c r="G550" s="280"/>
      <c r="H550" s="280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75" t="s">
        <v>3584</v>
      </c>
      <c r="B551" s="275" t="s">
        <v>3017</v>
      </c>
      <c r="C551" s="275" t="s">
        <v>163</v>
      </c>
      <c r="D551" s="275"/>
      <c r="E551" s="276">
        <v>5.7208907089E10</v>
      </c>
      <c r="F551" s="277">
        <v>0.0</v>
      </c>
      <c r="G551" s="277">
        <v>1.0</v>
      </c>
      <c r="H551" s="277">
        <v>0.0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278" t="s">
        <v>3585</v>
      </c>
      <c r="B552" s="278" t="s">
        <v>3017</v>
      </c>
      <c r="C552" s="278" t="s">
        <v>94</v>
      </c>
      <c r="D552" s="278"/>
      <c r="E552" s="280"/>
      <c r="F552" s="280">
        <v>0.0</v>
      </c>
      <c r="G552" s="280">
        <v>0.0</v>
      </c>
      <c r="H552" s="280">
        <v>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275" t="s">
        <v>3586</v>
      </c>
      <c r="B553" s="275" t="s">
        <v>3019</v>
      </c>
      <c r="C553" s="275" t="s">
        <v>144</v>
      </c>
      <c r="D553" s="275"/>
      <c r="E553" s="276">
        <v>5.52256759E10</v>
      </c>
      <c r="F553" s="277">
        <v>2.0</v>
      </c>
      <c r="G553" s="277">
        <v>7.0</v>
      </c>
      <c r="H553" s="277">
        <v>11.0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278" t="s">
        <v>3587</v>
      </c>
      <c r="B554" s="278" t="s">
        <v>3021</v>
      </c>
      <c r="C554" s="278" t="s">
        <v>167</v>
      </c>
      <c r="D554" s="278"/>
      <c r="E554" s="279">
        <v>5.69627268E10</v>
      </c>
      <c r="F554" s="280">
        <v>2.0</v>
      </c>
      <c r="G554" s="280">
        <v>7.0</v>
      </c>
      <c r="H554" s="280">
        <v>9.0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75" t="s">
        <v>3588</v>
      </c>
      <c r="B555" s="275" t="s">
        <v>3027</v>
      </c>
      <c r="C555" s="275" t="s">
        <v>167</v>
      </c>
      <c r="D555" s="275"/>
      <c r="E555" s="276">
        <v>2.44841323E10</v>
      </c>
      <c r="F555" s="277">
        <v>0.0</v>
      </c>
      <c r="G555" s="277">
        <v>2.0</v>
      </c>
      <c r="H555" s="277">
        <v>0.0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278" t="s">
        <v>3589</v>
      </c>
      <c r="B556" s="278" t="s">
        <v>3017</v>
      </c>
      <c r="C556" s="278" t="s">
        <v>36</v>
      </c>
      <c r="D556" s="278"/>
      <c r="E556" s="280"/>
      <c r="F556" s="280">
        <v>0.0</v>
      </c>
      <c r="G556" s="280">
        <v>0.0</v>
      </c>
      <c r="H556" s="280">
        <v>0.0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75" t="s">
        <v>3590</v>
      </c>
      <c r="B557" s="275" t="s">
        <v>3025</v>
      </c>
      <c r="C557" s="275" t="s">
        <v>108</v>
      </c>
      <c r="D557" s="275"/>
      <c r="E557" s="276">
        <v>5.59760392E10</v>
      </c>
      <c r="F557" s="277">
        <v>0.0</v>
      </c>
      <c r="G557" s="277">
        <v>2.0</v>
      </c>
      <c r="H557" s="277">
        <v>0.0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78" t="s">
        <v>3591</v>
      </c>
      <c r="B558" s="278" t="s">
        <v>3017</v>
      </c>
      <c r="C558" s="278" t="s">
        <v>41</v>
      </c>
      <c r="D558" s="278"/>
      <c r="E558" s="279">
        <v>5.720221025E10</v>
      </c>
      <c r="F558" s="280">
        <v>1.0</v>
      </c>
      <c r="G558" s="280">
        <v>2.0</v>
      </c>
      <c r="H558" s="280">
        <v>8.0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75" t="s">
        <v>3592</v>
      </c>
      <c r="B559" s="275" t="s">
        <v>3017</v>
      </c>
      <c r="C559" s="275" t="s">
        <v>36</v>
      </c>
      <c r="D559" s="275"/>
      <c r="E559" s="276">
        <v>2.44840913E10</v>
      </c>
      <c r="F559" s="277">
        <v>16.0</v>
      </c>
      <c r="G559" s="277">
        <v>52.0</v>
      </c>
      <c r="H559" s="277">
        <v>549.0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78" t="s">
        <v>3593</v>
      </c>
      <c r="B560" s="278" t="s">
        <v>3027</v>
      </c>
      <c r="C560" s="278" t="s">
        <v>71</v>
      </c>
      <c r="D560" s="278"/>
      <c r="E560" s="279">
        <v>5.718937628E10</v>
      </c>
      <c r="F560" s="280">
        <v>1.0</v>
      </c>
      <c r="G560" s="280">
        <v>2.0</v>
      </c>
      <c r="H560" s="280">
        <v>5.0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75" t="s">
        <v>3594</v>
      </c>
      <c r="B561" s="275" t="s">
        <v>3017</v>
      </c>
      <c r="C561" s="275" t="s">
        <v>60</v>
      </c>
      <c r="D561" s="275"/>
      <c r="E561" s="276">
        <v>2.44616624E10</v>
      </c>
      <c r="F561" s="277">
        <v>1.0</v>
      </c>
      <c r="G561" s="277">
        <v>4.0</v>
      </c>
      <c r="H561" s="277">
        <v>3.0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78" t="s">
        <v>3595</v>
      </c>
      <c r="B562" s="278" t="s">
        <v>3023</v>
      </c>
      <c r="C562" s="278" t="s">
        <v>144</v>
      </c>
      <c r="D562" s="278"/>
      <c r="E562" s="279">
        <v>6.602413184E9</v>
      </c>
      <c r="F562" s="280">
        <v>2.0</v>
      </c>
      <c r="G562" s="280">
        <v>12.0</v>
      </c>
      <c r="H562" s="280">
        <v>8.0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75" t="s">
        <v>3596</v>
      </c>
      <c r="B563" s="275" t="s">
        <v>3017</v>
      </c>
      <c r="C563" s="275" t="s">
        <v>46</v>
      </c>
      <c r="D563" s="275"/>
      <c r="E563" s="276">
        <v>2.78677816E10</v>
      </c>
      <c r="F563" s="277">
        <v>3.0</v>
      </c>
      <c r="G563" s="277">
        <v>14.0</v>
      </c>
      <c r="H563" s="277">
        <v>16.0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78" t="s">
        <v>3597</v>
      </c>
      <c r="B564" s="278" t="s">
        <v>3017</v>
      </c>
      <c r="C564" s="278" t="s">
        <v>137</v>
      </c>
      <c r="D564" s="278"/>
      <c r="E564" s="279">
        <v>5.7219987835E10</v>
      </c>
      <c r="F564" s="280">
        <v>0.0</v>
      </c>
      <c r="G564" s="280">
        <v>2.0</v>
      </c>
      <c r="H564" s="280">
        <v>0.0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75" t="s">
        <v>3598</v>
      </c>
      <c r="B565" s="275" t="s">
        <v>3017</v>
      </c>
      <c r="C565" s="275" t="s">
        <v>41</v>
      </c>
      <c r="D565" s="275"/>
      <c r="E565" s="276">
        <v>2.44800105E10</v>
      </c>
      <c r="F565" s="277">
        <v>1.0</v>
      </c>
      <c r="G565" s="277">
        <v>8.0</v>
      </c>
      <c r="H565" s="277">
        <v>7.0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78" t="s">
        <v>3599</v>
      </c>
      <c r="B566" s="278" t="s">
        <v>3017</v>
      </c>
      <c r="C566" s="278" t="s">
        <v>94</v>
      </c>
      <c r="D566" s="278"/>
      <c r="E566" s="279">
        <v>1.50720389E10</v>
      </c>
      <c r="F566" s="280">
        <v>0.0</v>
      </c>
      <c r="G566" s="280">
        <v>3.0</v>
      </c>
      <c r="H566" s="280">
        <v>0.0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75" t="s">
        <v>3600</v>
      </c>
      <c r="B567" s="275" t="s">
        <v>3017</v>
      </c>
      <c r="C567" s="275" t="s">
        <v>137</v>
      </c>
      <c r="D567" s="275"/>
      <c r="E567" s="276">
        <v>5.7211976635E10</v>
      </c>
      <c r="F567" s="277">
        <v>3.0</v>
      </c>
      <c r="G567" s="277">
        <v>7.0</v>
      </c>
      <c r="H567" s="277">
        <v>24.0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78" t="s">
        <v>3601</v>
      </c>
      <c r="B568" s="278" t="s">
        <v>3017</v>
      </c>
      <c r="C568" s="278" t="s">
        <v>859</v>
      </c>
      <c r="D568" s="278"/>
      <c r="E568" s="279">
        <v>5.7216346667E10</v>
      </c>
      <c r="F568" s="280">
        <v>1.0</v>
      </c>
      <c r="G568" s="280">
        <v>3.0</v>
      </c>
      <c r="H568" s="280">
        <v>1.0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75" t="s">
        <v>3602</v>
      </c>
      <c r="B569" s="275" t="s">
        <v>3027</v>
      </c>
      <c r="C569" s="275" t="s">
        <v>78</v>
      </c>
      <c r="D569" s="275"/>
      <c r="E569" s="277"/>
      <c r="F569" s="277">
        <v>0.0</v>
      </c>
      <c r="G569" s="277">
        <v>0.0</v>
      </c>
      <c r="H569" s="277">
        <v>0.0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278" t="s">
        <v>3603</v>
      </c>
      <c r="B570" s="278" t="s">
        <v>3027</v>
      </c>
      <c r="C570" s="278" t="s">
        <v>46</v>
      </c>
      <c r="D570" s="278"/>
      <c r="E570" s="279">
        <v>3.57634514E10</v>
      </c>
      <c r="F570" s="280">
        <v>2.0</v>
      </c>
      <c r="G570" s="280">
        <v>5.0</v>
      </c>
      <c r="H570" s="280">
        <v>7.0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275" t="s">
        <v>3604</v>
      </c>
      <c r="B571" s="275" t="s">
        <v>3027</v>
      </c>
      <c r="C571" s="275" t="s">
        <v>91</v>
      </c>
      <c r="D571" s="275"/>
      <c r="E571" s="277"/>
      <c r="F571" s="277">
        <v>0.0</v>
      </c>
      <c r="G571" s="277">
        <v>0.0</v>
      </c>
      <c r="H571" s="277">
        <v>0.0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78" t="s">
        <v>3605</v>
      </c>
      <c r="B572" s="278" t="s">
        <v>3019</v>
      </c>
      <c r="C572" s="278" t="s">
        <v>71</v>
      </c>
      <c r="D572" s="278"/>
      <c r="E572" s="280"/>
      <c r="F572" s="280">
        <v>0.0</v>
      </c>
      <c r="G572" s="280">
        <v>0.0</v>
      </c>
      <c r="H572" s="280">
        <v>0.0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275" t="s">
        <v>3606</v>
      </c>
      <c r="B573" s="275" t="s">
        <v>3054</v>
      </c>
      <c r="C573" s="275" t="s">
        <v>75</v>
      </c>
      <c r="D573" s="275"/>
      <c r="E573" s="276">
        <v>5.7207762874E10</v>
      </c>
      <c r="F573" s="277">
        <v>0.0</v>
      </c>
      <c r="G573" s="277">
        <v>1.0</v>
      </c>
      <c r="H573" s="277">
        <v>0.0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278" t="s">
        <v>3607</v>
      </c>
      <c r="B574" s="278" t="s">
        <v>3019</v>
      </c>
      <c r="C574" s="278" t="s">
        <v>3608</v>
      </c>
      <c r="D574" s="278"/>
      <c r="E574" s="279">
        <v>8.912359E9</v>
      </c>
      <c r="F574" s="280">
        <v>15.0</v>
      </c>
      <c r="G574" s="280">
        <v>63.0</v>
      </c>
      <c r="H574" s="280">
        <v>717.0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275" t="s">
        <v>3609</v>
      </c>
      <c r="B575" s="275" t="s">
        <v>3025</v>
      </c>
      <c r="C575" s="275" t="s">
        <v>409</v>
      </c>
      <c r="D575" s="275"/>
      <c r="E575" s="277"/>
      <c r="F575" s="277">
        <v>0.0</v>
      </c>
      <c r="G575" s="277">
        <v>0.0</v>
      </c>
      <c r="H575" s="277">
        <v>0.0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278" t="s">
        <v>3610</v>
      </c>
      <c r="B576" s="278" t="s">
        <v>3017</v>
      </c>
      <c r="C576" s="278" t="s">
        <v>60</v>
      </c>
      <c r="D576" s="278"/>
      <c r="E576" s="279">
        <v>6.507247411E9</v>
      </c>
      <c r="F576" s="280">
        <v>0.0</v>
      </c>
      <c r="G576" s="280">
        <v>1.0</v>
      </c>
      <c r="H576" s="280">
        <v>0.0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75" t="s">
        <v>3611</v>
      </c>
      <c r="B577" s="275" t="s">
        <v>3027</v>
      </c>
      <c r="C577" s="275" t="s">
        <v>71</v>
      </c>
      <c r="D577" s="275"/>
      <c r="E577" s="276">
        <v>5.7203139749E10</v>
      </c>
      <c r="F577" s="277">
        <v>2.0</v>
      </c>
      <c r="G577" s="277">
        <v>7.0</v>
      </c>
      <c r="H577" s="277">
        <v>12.0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78" t="s">
        <v>3612</v>
      </c>
      <c r="B578" s="278" t="s">
        <v>3496</v>
      </c>
      <c r="C578" s="278" t="s">
        <v>1493</v>
      </c>
      <c r="D578" s="278"/>
      <c r="E578" s="279">
        <v>5.7207769187E10</v>
      </c>
      <c r="F578" s="280">
        <v>1.0</v>
      </c>
      <c r="G578" s="280">
        <v>3.0</v>
      </c>
      <c r="H578" s="280">
        <v>1.0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75" t="s">
        <v>3613</v>
      </c>
      <c r="B579" s="282" t="s">
        <v>3019</v>
      </c>
      <c r="C579" s="282" t="s">
        <v>71</v>
      </c>
      <c r="D579" s="275"/>
      <c r="E579" s="276">
        <v>7.004018101E9</v>
      </c>
      <c r="F579" s="277">
        <v>8.0</v>
      </c>
      <c r="G579" s="277">
        <v>36.0</v>
      </c>
      <c r="H579" s="277">
        <v>176.0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278" t="s">
        <v>3614</v>
      </c>
      <c r="B580" s="278" t="s">
        <v>3017</v>
      </c>
      <c r="C580" s="278" t="s">
        <v>167</v>
      </c>
      <c r="D580" s="278"/>
      <c r="E580" s="279">
        <v>5.64394845E10</v>
      </c>
      <c r="F580" s="280">
        <v>2.0</v>
      </c>
      <c r="G580" s="280">
        <v>3.0</v>
      </c>
      <c r="H580" s="280">
        <v>10.0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75" t="s">
        <v>3615</v>
      </c>
      <c r="B581" s="275" t="s">
        <v>3021</v>
      </c>
      <c r="C581" s="275" t="s">
        <v>51</v>
      </c>
      <c r="D581" s="275"/>
      <c r="E581" s="276">
        <v>7.005837246E9</v>
      </c>
      <c r="F581" s="277">
        <v>4.0</v>
      </c>
      <c r="G581" s="277">
        <v>57.0</v>
      </c>
      <c r="H581" s="277">
        <v>63.0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278" t="s">
        <v>3616</v>
      </c>
      <c r="B582" s="278" t="s">
        <v>3023</v>
      </c>
      <c r="C582" s="278" t="s">
        <v>356</v>
      </c>
      <c r="D582" s="278"/>
      <c r="E582" s="279">
        <v>3.60697432E10</v>
      </c>
      <c r="F582" s="280">
        <v>4.0</v>
      </c>
      <c r="G582" s="280">
        <v>10.0</v>
      </c>
      <c r="H582" s="280">
        <v>38.0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75" t="s">
        <v>3617</v>
      </c>
      <c r="B583" s="275" t="s">
        <v>3019</v>
      </c>
      <c r="C583" s="275" t="s">
        <v>64</v>
      </c>
      <c r="D583" s="275"/>
      <c r="E583" s="276">
        <v>1.64265334E10</v>
      </c>
      <c r="F583" s="277">
        <v>6.0</v>
      </c>
      <c r="G583" s="277">
        <v>44.0</v>
      </c>
      <c r="H583" s="277">
        <v>96.0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278" t="s">
        <v>3618</v>
      </c>
      <c r="B584" s="278" t="s">
        <v>3061</v>
      </c>
      <c r="C584" s="278" t="s">
        <v>94</v>
      </c>
      <c r="D584" s="278"/>
      <c r="E584" s="279">
        <v>6.507141222E9</v>
      </c>
      <c r="F584" s="280">
        <v>3.0</v>
      </c>
      <c r="G584" s="280">
        <v>13.0</v>
      </c>
      <c r="H584" s="280">
        <v>21.0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75" t="s">
        <v>3619</v>
      </c>
      <c r="B585" s="275" t="s">
        <v>3017</v>
      </c>
      <c r="C585" s="275" t="s">
        <v>41</v>
      </c>
      <c r="D585" s="275"/>
      <c r="E585" s="276">
        <v>1.43223235E10</v>
      </c>
      <c r="F585" s="277">
        <v>5.0</v>
      </c>
      <c r="G585" s="277">
        <v>13.0</v>
      </c>
      <c r="H585" s="277">
        <v>37.0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78" t="s">
        <v>3620</v>
      </c>
      <c r="B586" s="278" t="s">
        <v>3023</v>
      </c>
      <c r="C586" s="278" t="s">
        <v>41</v>
      </c>
      <c r="D586" s="278"/>
      <c r="E586" s="279">
        <v>6.507534086E9</v>
      </c>
      <c r="F586" s="280">
        <v>6.0</v>
      </c>
      <c r="G586" s="280">
        <v>34.0</v>
      </c>
      <c r="H586" s="280">
        <v>99.0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75" t="s">
        <v>3621</v>
      </c>
      <c r="B587" s="275" t="s">
        <v>3023</v>
      </c>
      <c r="C587" s="275" t="s">
        <v>186</v>
      </c>
      <c r="D587" s="275"/>
      <c r="E587" s="276">
        <v>5.7224189646E10</v>
      </c>
      <c r="F587" s="277">
        <v>0.0</v>
      </c>
      <c r="G587" s="277">
        <v>1.0</v>
      </c>
      <c r="H587" s="277">
        <v>0.0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78" t="s">
        <v>3622</v>
      </c>
      <c r="B588" s="278" t="s">
        <v>3023</v>
      </c>
      <c r="C588" s="278" t="s">
        <v>137</v>
      </c>
      <c r="D588" s="278"/>
      <c r="E588" s="280"/>
      <c r="F588" s="280">
        <v>0.0</v>
      </c>
      <c r="G588" s="280">
        <v>0.0</v>
      </c>
      <c r="H588" s="280">
        <v>0.0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75" t="s">
        <v>3623</v>
      </c>
      <c r="B589" s="275" t="s">
        <v>3017</v>
      </c>
      <c r="C589" s="275" t="s">
        <v>36</v>
      </c>
      <c r="D589" s="275"/>
      <c r="E589" s="276">
        <v>5.64861419E10</v>
      </c>
      <c r="F589" s="277">
        <v>2.0</v>
      </c>
      <c r="G589" s="277">
        <v>4.0</v>
      </c>
      <c r="H589" s="277">
        <v>6.0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78" t="s">
        <v>3624</v>
      </c>
      <c r="B590" s="278" t="s">
        <v>3027</v>
      </c>
      <c r="C590" s="278" t="s">
        <v>210</v>
      </c>
      <c r="D590" s="278"/>
      <c r="E590" s="279">
        <v>1.58381323E10</v>
      </c>
      <c r="F590" s="280">
        <v>0.0</v>
      </c>
      <c r="G590" s="280">
        <v>3.0</v>
      </c>
      <c r="H590" s="280">
        <v>0.0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275" t="s">
        <v>3625</v>
      </c>
      <c r="B591" s="275" t="s">
        <v>3027</v>
      </c>
      <c r="C591" s="275" t="s">
        <v>91</v>
      </c>
      <c r="D591" s="275"/>
      <c r="E591" s="277"/>
      <c r="F591" s="277">
        <v>0.0</v>
      </c>
      <c r="G591" s="277">
        <v>0.0</v>
      </c>
      <c r="H591" s="277">
        <v>0.0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278" t="s">
        <v>3626</v>
      </c>
      <c r="B592" s="278" t="s">
        <v>3023</v>
      </c>
      <c r="C592" s="278" t="s">
        <v>218</v>
      </c>
      <c r="D592" s="278"/>
      <c r="E592" s="279">
        <v>3.61821045E10</v>
      </c>
      <c r="F592" s="280">
        <v>1.0</v>
      </c>
      <c r="G592" s="280">
        <v>8.0</v>
      </c>
      <c r="H592" s="280">
        <v>7.0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275" t="s">
        <v>3627</v>
      </c>
      <c r="B593" s="275" t="s">
        <v>3027</v>
      </c>
      <c r="C593" s="275" t="s">
        <v>36</v>
      </c>
      <c r="D593" s="275"/>
      <c r="E593" s="277"/>
      <c r="F593" s="277">
        <v>0.0</v>
      </c>
      <c r="G593" s="277">
        <v>0.0</v>
      </c>
      <c r="H593" s="277">
        <v>0.0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78" t="s">
        <v>3628</v>
      </c>
      <c r="B594" s="278" t="s">
        <v>3017</v>
      </c>
      <c r="C594" s="278" t="s">
        <v>64</v>
      </c>
      <c r="D594" s="278"/>
      <c r="E594" s="279">
        <v>5.7210371663E10</v>
      </c>
      <c r="F594" s="280">
        <v>3.0</v>
      </c>
      <c r="G594" s="280">
        <v>5.0</v>
      </c>
      <c r="H594" s="280">
        <v>23.0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75" t="s">
        <v>3629</v>
      </c>
      <c r="B595" s="275" t="s">
        <v>3017</v>
      </c>
      <c r="C595" s="275" t="s">
        <v>167</v>
      </c>
      <c r="D595" s="275"/>
      <c r="E595" s="277"/>
      <c r="F595" s="277">
        <v>0.0</v>
      </c>
      <c r="G595" s="277">
        <v>0.0</v>
      </c>
      <c r="H595" s="277">
        <v>0.0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78" t="s">
        <v>3630</v>
      </c>
      <c r="B596" s="272" t="s">
        <v>3019</v>
      </c>
      <c r="C596" s="278" t="s">
        <v>75</v>
      </c>
      <c r="D596" s="278"/>
      <c r="E596" s="279">
        <v>1.57702813E10</v>
      </c>
      <c r="F596" s="280">
        <v>1.0</v>
      </c>
      <c r="G596" s="280">
        <v>12.0</v>
      </c>
      <c r="H596" s="280">
        <v>5.0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75" t="s">
        <v>3631</v>
      </c>
      <c r="B597" s="275" t="s">
        <v>3027</v>
      </c>
      <c r="C597" s="275" t="s">
        <v>41</v>
      </c>
      <c r="D597" s="275"/>
      <c r="E597" s="277"/>
      <c r="F597" s="277">
        <v>0.0</v>
      </c>
      <c r="G597" s="277">
        <v>0.0</v>
      </c>
      <c r="H597" s="277">
        <v>0.0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78" t="s">
        <v>3632</v>
      </c>
      <c r="B598" s="278" t="s">
        <v>3017</v>
      </c>
      <c r="C598" s="278" t="s">
        <v>41</v>
      </c>
      <c r="D598" s="278"/>
      <c r="E598" s="280"/>
      <c r="F598" s="280">
        <v>0.0</v>
      </c>
      <c r="G598" s="280">
        <v>0.0</v>
      </c>
      <c r="H598" s="280">
        <v>0.0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75" t="s">
        <v>3633</v>
      </c>
      <c r="B599" s="275" t="s">
        <v>3038</v>
      </c>
      <c r="C599" s="275" t="s">
        <v>71</v>
      </c>
      <c r="D599" s="275"/>
      <c r="E599" s="276">
        <v>9.6379282E9</v>
      </c>
      <c r="F599" s="277">
        <v>0.0</v>
      </c>
      <c r="G599" s="277">
        <v>1.0</v>
      </c>
      <c r="H599" s="277">
        <v>0.0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85" t="s">
        <v>3634</v>
      </c>
      <c r="B600" s="285" t="s">
        <v>3027</v>
      </c>
      <c r="C600" s="285" t="s">
        <v>91</v>
      </c>
      <c r="D600" s="285"/>
      <c r="E600" s="287"/>
      <c r="F600" s="287">
        <v>0.0</v>
      </c>
      <c r="G600" s="287">
        <v>0.0</v>
      </c>
      <c r="H600" s="287">
        <v>0.0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75" t="s">
        <v>3635</v>
      </c>
      <c r="B601" s="275" t="s">
        <v>3061</v>
      </c>
      <c r="C601" s="275" t="s">
        <v>36</v>
      </c>
      <c r="D601" s="275"/>
      <c r="E601" s="277"/>
      <c r="F601" s="277">
        <v>0.0</v>
      </c>
      <c r="G601" s="277">
        <v>0.0</v>
      </c>
      <c r="H601" s="277">
        <v>0.0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72" t="s">
        <v>3636</v>
      </c>
      <c r="B602" s="272" t="s">
        <v>3021</v>
      </c>
      <c r="C602" s="272" t="s">
        <v>381</v>
      </c>
      <c r="D602" s="272"/>
      <c r="E602" s="273">
        <v>2.39740327E10</v>
      </c>
      <c r="F602" s="274">
        <v>9.0</v>
      </c>
      <c r="G602" s="274">
        <v>38.0</v>
      </c>
      <c r="H602" s="274">
        <v>184.0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75" t="s">
        <v>3637</v>
      </c>
      <c r="B603" s="275" t="s">
        <v>3025</v>
      </c>
      <c r="C603" s="275" t="s">
        <v>71</v>
      </c>
      <c r="D603" s="275"/>
      <c r="E603" s="276">
        <v>5.7203148553E10</v>
      </c>
      <c r="F603" s="277">
        <v>2.0</v>
      </c>
      <c r="G603" s="277">
        <v>2.0</v>
      </c>
      <c r="H603" s="277">
        <v>15.0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278" t="s">
        <v>3638</v>
      </c>
      <c r="B604" s="278" t="s">
        <v>3017</v>
      </c>
      <c r="C604" s="278" t="s">
        <v>108</v>
      </c>
      <c r="D604" s="278"/>
      <c r="E604" s="280"/>
      <c r="F604" s="280">
        <v>0.0</v>
      </c>
      <c r="G604" s="280">
        <v>0.0</v>
      </c>
      <c r="H604" s="280">
        <v>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275" t="s">
        <v>3639</v>
      </c>
      <c r="B605" s="275" t="s">
        <v>3025</v>
      </c>
      <c r="C605" s="275" t="s">
        <v>218</v>
      </c>
      <c r="D605" s="275"/>
      <c r="E605" s="277"/>
      <c r="F605" s="277">
        <v>0.0</v>
      </c>
      <c r="G605" s="277">
        <v>0.0</v>
      </c>
      <c r="H605" s="277">
        <v>0.0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78" t="s">
        <v>3640</v>
      </c>
      <c r="B606" s="278" t="s">
        <v>3054</v>
      </c>
      <c r="C606" s="278" t="s">
        <v>71</v>
      </c>
      <c r="D606" s="278"/>
      <c r="E606" s="280"/>
      <c r="F606" s="280">
        <v>0.0</v>
      </c>
      <c r="G606" s="280">
        <v>0.0</v>
      </c>
      <c r="H606" s="280">
        <v>0.0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75" t="s">
        <v>3641</v>
      </c>
      <c r="B607" s="275" t="s">
        <v>3023</v>
      </c>
      <c r="C607" s="275" t="s">
        <v>60</v>
      </c>
      <c r="D607" s="275"/>
      <c r="E607" s="276">
        <v>1.55196738E10</v>
      </c>
      <c r="F607" s="277">
        <v>1.0</v>
      </c>
      <c r="G607" s="277">
        <v>3.0</v>
      </c>
      <c r="H607" s="277">
        <v>1.0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78" t="s">
        <v>3642</v>
      </c>
      <c r="B608" s="278" t="s">
        <v>3038</v>
      </c>
      <c r="C608" s="278" t="s">
        <v>36</v>
      </c>
      <c r="D608" s="278"/>
      <c r="E608" s="279">
        <v>2.04345005E10</v>
      </c>
      <c r="F608" s="280">
        <v>1.0</v>
      </c>
      <c r="G608" s="280">
        <v>3.0</v>
      </c>
      <c r="H608" s="280">
        <v>4.0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75" t="s">
        <v>3643</v>
      </c>
      <c r="B609" s="275" t="s">
        <v>3027</v>
      </c>
      <c r="C609" s="275" t="s">
        <v>21</v>
      </c>
      <c r="D609" s="275"/>
      <c r="E609" s="276">
        <v>5.7191737209E10</v>
      </c>
      <c r="F609" s="277">
        <v>3.0</v>
      </c>
      <c r="G609" s="277">
        <v>8.0</v>
      </c>
      <c r="H609" s="277">
        <v>22.0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78" t="s">
        <v>3644</v>
      </c>
      <c r="B610" s="278" t="s">
        <v>3027</v>
      </c>
      <c r="C610" s="278" t="s">
        <v>272</v>
      </c>
      <c r="D610" s="278"/>
      <c r="E610" s="280"/>
      <c r="F610" s="280">
        <v>0.0</v>
      </c>
      <c r="G610" s="280">
        <v>0.0</v>
      </c>
      <c r="H610" s="280">
        <v>0.0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75" t="s">
        <v>3645</v>
      </c>
      <c r="B611" s="282" t="s">
        <v>3019</v>
      </c>
      <c r="C611" s="282" t="s">
        <v>21</v>
      </c>
      <c r="D611" s="275"/>
      <c r="E611" s="276">
        <v>2.59295927E10</v>
      </c>
      <c r="F611" s="277">
        <v>5.0</v>
      </c>
      <c r="G611" s="277">
        <v>44.0</v>
      </c>
      <c r="H611" s="277">
        <v>84.0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278" t="s">
        <v>3646</v>
      </c>
      <c r="B612" s="278" t="s">
        <v>3027</v>
      </c>
      <c r="C612" s="278" t="s">
        <v>91</v>
      </c>
      <c r="D612" s="278"/>
      <c r="E612" s="280"/>
      <c r="F612" s="280">
        <v>0.0</v>
      </c>
      <c r="G612" s="280">
        <v>0.0</v>
      </c>
      <c r="H612" s="280">
        <v>0.0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75" t="s">
        <v>3647</v>
      </c>
      <c r="B613" s="275" t="s">
        <v>3027</v>
      </c>
      <c r="C613" s="275" t="s">
        <v>116</v>
      </c>
      <c r="D613" s="275"/>
      <c r="E613" s="277"/>
      <c r="F613" s="277">
        <v>0.0</v>
      </c>
      <c r="G613" s="277">
        <v>0.0</v>
      </c>
      <c r="H613" s="277">
        <v>0.0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78" t="s">
        <v>3648</v>
      </c>
      <c r="B614" s="278" t="s">
        <v>3021</v>
      </c>
      <c r="C614" s="278" t="s">
        <v>594</v>
      </c>
      <c r="D614" s="278"/>
      <c r="E614" s="279">
        <v>5.7214469857E10</v>
      </c>
      <c r="F614" s="280">
        <v>0.0</v>
      </c>
      <c r="G614" s="280">
        <v>5.0</v>
      </c>
      <c r="H614" s="280">
        <v>0.0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275" t="s">
        <v>3649</v>
      </c>
      <c r="B615" s="275" t="s">
        <v>3027</v>
      </c>
      <c r="C615" s="275" t="s">
        <v>91</v>
      </c>
      <c r="D615" s="275"/>
      <c r="E615" s="277"/>
      <c r="F615" s="277">
        <v>0.0</v>
      </c>
      <c r="G615" s="277">
        <v>0.0</v>
      </c>
      <c r="H615" s="277">
        <v>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278" t="s">
        <v>3650</v>
      </c>
      <c r="B616" s="278" t="s">
        <v>3027</v>
      </c>
      <c r="C616" s="278" t="s">
        <v>128</v>
      </c>
      <c r="D616" s="278"/>
      <c r="E616" s="280"/>
      <c r="F616" s="280">
        <v>0.0</v>
      </c>
      <c r="G616" s="280">
        <v>0.0</v>
      </c>
      <c r="H616" s="280">
        <v>0.0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75" t="s">
        <v>3651</v>
      </c>
      <c r="B617" s="275" t="s">
        <v>3017</v>
      </c>
      <c r="C617" s="275" t="s">
        <v>51</v>
      </c>
      <c r="D617" s="275"/>
      <c r="E617" s="276">
        <v>5.721542976E10</v>
      </c>
      <c r="F617" s="277">
        <v>1.0</v>
      </c>
      <c r="G617" s="277">
        <v>4.0</v>
      </c>
      <c r="H617" s="277">
        <v>3.0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78" t="s">
        <v>3652</v>
      </c>
      <c r="B618" s="278" t="s">
        <v>3027</v>
      </c>
      <c r="C618" s="278" t="s">
        <v>91</v>
      </c>
      <c r="D618" s="278"/>
      <c r="E618" s="280"/>
      <c r="F618" s="280">
        <v>0.0</v>
      </c>
      <c r="G618" s="280">
        <v>0.0</v>
      </c>
      <c r="H618" s="280">
        <v>0.0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75" t="s">
        <v>3653</v>
      </c>
      <c r="B619" s="275" t="s">
        <v>3027</v>
      </c>
      <c r="C619" s="275" t="s">
        <v>428</v>
      </c>
      <c r="D619" s="275"/>
      <c r="E619" s="277"/>
      <c r="F619" s="277">
        <v>0.0</v>
      </c>
      <c r="G619" s="277">
        <v>0.0</v>
      </c>
      <c r="H619" s="277">
        <v>0.0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78" t="s">
        <v>3654</v>
      </c>
      <c r="B620" s="278" t="s">
        <v>3025</v>
      </c>
      <c r="C620" s="278" t="s">
        <v>218</v>
      </c>
      <c r="D620" s="278"/>
      <c r="E620" s="280"/>
      <c r="F620" s="280">
        <v>0.0</v>
      </c>
      <c r="G620" s="280">
        <v>0.0</v>
      </c>
      <c r="H620" s="280">
        <v>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75" t="s">
        <v>3655</v>
      </c>
      <c r="B621" s="275" t="s">
        <v>3017</v>
      </c>
      <c r="C621" s="275" t="s">
        <v>356</v>
      </c>
      <c r="D621" s="275"/>
      <c r="E621" s="277"/>
      <c r="F621" s="277">
        <v>0.0</v>
      </c>
      <c r="G621" s="277">
        <v>0.0</v>
      </c>
      <c r="H621" s="277">
        <v>0.0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78" t="s">
        <v>3656</v>
      </c>
      <c r="B622" s="278" t="s">
        <v>3061</v>
      </c>
      <c r="C622" s="278" t="s">
        <v>272</v>
      </c>
      <c r="D622" s="278"/>
      <c r="E622" s="280"/>
      <c r="F622" s="280">
        <v>0.0</v>
      </c>
      <c r="G622" s="280">
        <v>0.0</v>
      </c>
      <c r="H622" s="280">
        <v>0.0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275" t="s">
        <v>3657</v>
      </c>
      <c r="B623" s="275" t="s">
        <v>3023</v>
      </c>
      <c r="C623" s="275" t="s">
        <v>428</v>
      </c>
      <c r="D623" s="275"/>
      <c r="E623" s="276">
        <v>5.7205124595E10</v>
      </c>
      <c r="F623" s="277">
        <v>1.0</v>
      </c>
      <c r="G623" s="277">
        <v>5.0</v>
      </c>
      <c r="H623" s="277">
        <v>3.0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278" t="s">
        <v>3658</v>
      </c>
      <c r="B624" s="278" t="s">
        <v>3027</v>
      </c>
      <c r="C624" s="278" t="s">
        <v>78</v>
      </c>
      <c r="D624" s="278"/>
      <c r="E624" s="280"/>
      <c r="F624" s="280">
        <v>0.0</v>
      </c>
      <c r="G624" s="280">
        <v>0.0</v>
      </c>
      <c r="H624" s="280">
        <v>0.0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75" t="s">
        <v>3659</v>
      </c>
      <c r="B625" s="275" t="s">
        <v>3027</v>
      </c>
      <c r="C625" s="275" t="s">
        <v>91</v>
      </c>
      <c r="D625" s="275"/>
      <c r="E625" s="277"/>
      <c r="F625" s="277">
        <v>0.0</v>
      </c>
      <c r="G625" s="277">
        <v>0.0</v>
      </c>
      <c r="H625" s="277">
        <v>0.0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78" t="s">
        <v>3660</v>
      </c>
      <c r="B626" s="278" t="s">
        <v>3019</v>
      </c>
      <c r="C626" s="278" t="s">
        <v>210</v>
      </c>
      <c r="D626" s="278"/>
      <c r="E626" s="280"/>
      <c r="F626" s="280">
        <v>0.0</v>
      </c>
      <c r="G626" s="280">
        <v>0.0</v>
      </c>
      <c r="H626" s="280">
        <v>0.0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275" t="s">
        <v>3661</v>
      </c>
      <c r="B627" s="275" t="s">
        <v>3023</v>
      </c>
      <c r="C627" s="275" t="s">
        <v>137</v>
      </c>
      <c r="D627" s="275"/>
      <c r="E627" s="276">
        <v>1.63025348E10</v>
      </c>
      <c r="F627" s="277">
        <v>2.0</v>
      </c>
      <c r="G627" s="277">
        <v>17.0</v>
      </c>
      <c r="H627" s="277">
        <v>17.0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78" t="s">
        <v>3662</v>
      </c>
      <c r="B628" s="278" t="s">
        <v>3017</v>
      </c>
      <c r="C628" s="278" t="s">
        <v>137</v>
      </c>
      <c r="D628" s="278"/>
      <c r="E628" s="279">
        <v>6.507396215E9</v>
      </c>
      <c r="F628" s="280">
        <v>1.0</v>
      </c>
      <c r="G628" s="280">
        <v>2.0</v>
      </c>
      <c r="H628" s="280">
        <v>1.0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275" t="s">
        <v>3663</v>
      </c>
      <c r="B629" s="275" t="s">
        <v>3027</v>
      </c>
      <c r="C629" s="275" t="s">
        <v>60</v>
      </c>
      <c r="D629" s="275"/>
      <c r="E629" s="276">
        <v>1.66472835E10</v>
      </c>
      <c r="F629" s="277">
        <v>4.0</v>
      </c>
      <c r="G629" s="277">
        <v>23.0</v>
      </c>
      <c r="H629" s="277">
        <v>37.0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278" t="s">
        <v>3664</v>
      </c>
      <c r="B630" s="278" t="s">
        <v>3023</v>
      </c>
      <c r="C630" s="278" t="s">
        <v>210</v>
      </c>
      <c r="D630" s="278"/>
      <c r="E630" s="279">
        <v>1.58380977E10</v>
      </c>
      <c r="F630" s="280">
        <v>0.0</v>
      </c>
      <c r="G630" s="280">
        <v>5.0</v>
      </c>
      <c r="H630" s="280">
        <v>0.0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75" t="s">
        <v>3665</v>
      </c>
      <c r="B631" s="275" t="s">
        <v>3017</v>
      </c>
      <c r="C631" s="275" t="s">
        <v>167</v>
      </c>
      <c r="D631" s="275"/>
      <c r="E631" s="276">
        <v>5.7216613691E10</v>
      </c>
      <c r="F631" s="277"/>
      <c r="G631" s="277"/>
      <c r="H631" s="277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78" t="s">
        <v>3666</v>
      </c>
      <c r="B632" s="278" t="s">
        <v>3023</v>
      </c>
      <c r="C632" s="278" t="s">
        <v>60</v>
      </c>
      <c r="D632" s="278"/>
      <c r="E632" s="280"/>
      <c r="F632" s="280">
        <v>0.0</v>
      </c>
      <c r="G632" s="280">
        <v>0.0</v>
      </c>
      <c r="H632" s="280">
        <v>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75" t="s">
        <v>3667</v>
      </c>
      <c r="B633" s="275" t="s">
        <v>3054</v>
      </c>
      <c r="C633" s="275" t="s">
        <v>356</v>
      </c>
      <c r="D633" s="275"/>
      <c r="E633" s="277"/>
      <c r="F633" s="277">
        <v>0.0</v>
      </c>
      <c r="G633" s="277">
        <v>0.0</v>
      </c>
      <c r="H633" s="277">
        <v>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78" t="s">
        <v>3668</v>
      </c>
      <c r="B634" s="278" t="s">
        <v>3027</v>
      </c>
      <c r="C634" s="278" t="s">
        <v>21</v>
      </c>
      <c r="D634" s="278"/>
      <c r="E634" s="280"/>
      <c r="F634" s="280">
        <v>0.0</v>
      </c>
      <c r="G634" s="280">
        <v>0.0</v>
      </c>
      <c r="H634" s="280">
        <v>0.0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75" t="s">
        <v>3669</v>
      </c>
      <c r="B635" s="275" t="s">
        <v>3027</v>
      </c>
      <c r="C635" s="275" t="s">
        <v>41</v>
      </c>
      <c r="D635" s="275"/>
      <c r="E635" s="276">
        <v>5.7208908545E10</v>
      </c>
      <c r="F635" s="277">
        <v>1.0</v>
      </c>
      <c r="G635" s="277">
        <v>5.0</v>
      </c>
      <c r="H635" s="277">
        <v>4.0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78" t="s">
        <v>3670</v>
      </c>
      <c r="B636" s="278" t="s">
        <v>3017</v>
      </c>
      <c r="C636" s="278" t="s">
        <v>144</v>
      </c>
      <c r="D636" s="278"/>
      <c r="E636" s="279">
        <v>3.60700412E10</v>
      </c>
      <c r="F636" s="280">
        <v>1.0</v>
      </c>
      <c r="G636" s="280">
        <v>7.0</v>
      </c>
      <c r="H636" s="280">
        <v>4.0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75" t="s">
        <v>3671</v>
      </c>
      <c r="B637" s="275" t="s">
        <v>3025</v>
      </c>
      <c r="C637" s="275" t="s">
        <v>41</v>
      </c>
      <c r="D637" s="275"/>
      <c r="E637" s="276">
        <v>5.7207770012E10</v>
      </c>
      <c r="F637" s="277">
        <v>2.0</v>
      </c>
      <c r="G637" s="277">
        <v>3.0</v>
      </c>
      <c r="H637" s="277">
        <v>6.0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78" t="s">
        <v>3672</v>
      </c>
      <c r="B638" s="278" t="s">
        <v>3023</v>
      </c>
      <c r="C638" s="278" t="s">
        <v>41</v>
      </c>
      <c r="D638" s="278"/>
      <c r="E638" s="279">
        <v>5.7203149663E10</v>
      </c>
      <c r="F638" s="280">
        <v>8.0</v>
      </c>
      <c r="G638" s="280">
        <v>19.0</v>
      </c>
      <c r="H638" s="280">
        <v>125.0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75" t="s">
        <v>3673</v>
      </c>
      <c r="B639" s="275" t="s">
        <v>3019</v>
      </c>
      <c r="C639" s="275" t="s">
        <v>71</v>
      </c>
      <c r="D639" s="275"/>
      <c r="E639" s="276">
        <v>2.45276176E10</v>
      </c>
      <c r="F639" s="277">
        <v>1.0</v>
      </c>
      <c r="G639" s="277">
        <v>8.0</v>
      </c>
      <c r="H639" s="277">
        <v>4.0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78" t="s">
        <v>3674</v>
      </c>
      <c r="B640" s="278" t="s">
        <v>3027</v>
      </c>
      <c r="C640" s="278" t="s">
        <v>91</v>
      </c>
      <c r="D640" s="278"/>
      <c r="E640" s="280"/>
      <c r="F640" s="280">
        <v>0.0</v>
      </c>
      <c r="G640" s="280">
        <v>0.0</v>
      </c>
      <c r="H640" s="280">
        <v>0.0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75" t="s">
        <v>3675</v>
      </c>
      <c r="B641" s="275" t="s">
        <v>3061</v>
      </c>
      <c r="C641" s="275" t="s">
        <v>128</v>
      </c>
      <c r="D641" s="275"/>
      <c r="E641" s="277"/>
      <c r="F641" s="277">
        <v>0.0</v>
      </c>
      <c r="G641" s="277">
        <v>0.0</v>
      </c>
      <c r="H641" s="277">
        <v>0.0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278" t="s">
        <v>3676</v>
      </c>
      <c r="B642" s="272" t="s">
        <v>3038</v>
      </c>
      <c r="C642" s="278" t="s">
        <v>36</v>
      </c>
      <c r="D642" s="278"/>
      <c r="E642" s="279">
        <v>5.58164091E10</v>
      </c>
      <c r="F642" s="280">
        <v>4.0</v>
      </c>
      <c r="G642" s="280">
        <v>13.0</v>
      </c>
      <c r="H642" s="280">
        <v>46.0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275" t="s">
        <v>3677</v>
      </c>
      <c r="B643" s="275" t="s">
        <v>3017</v>
      </c>
      <c r="C643" s="275" t="s">
        <v>21</v>
      </c>
      <c r="D643" s="275"/>
      <c r="E643" s="276">
        <v>2.47595127E10</v>
      </c>
      <c r="F643" s="277">
        <v>6.0</v>
      </c>
      <c r="G643" s="277">
        <v>16.0</v>
      </c>
      <c r="H643" s="277">
        <v>74.0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78" t="s">
        <v>3678</v>
      </c>
      <c r="B644" s="278" t="s">
        <v>3023</v>
      </c>
      <c r="C644" s="278" t="s">
        <v>94</v>
      </c>
      <c r="D644" s="278"/>
      <c r="E644" s="279">
        <v>5.720758876E10</v>
      </c>
      <c r="F644" s="280">
        <v>1.0</v>
      </c>
      <c r="G644" s="280">
        <v>7.0</v>
      </c>
      <c r="H644" s="280">
        <v>2.0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75" t="s">
        <v>3679</v>
      </c>
      <c r="B645" s="275" t="s">
        <v>3023</v>
      </c>
      <c r="C645" s="275" t="s">
        <v>329</v>
      </c>
      <c r="D645" s="275"/>
      <c r="E645" s="276">
        <v>5.7211228551E10</v>
      </c>
      <c r="F645" s="277">
        <v>3.0</v>
      </c>
      <c r="G645" s="277">
        <v>6.0</v>
      </c>
      <c r="H645" s="277">
        <v>48.0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78" t="s">
        <v>3680</v>
      </c>
      <c r="B646" s="278" t="s">
        <v>3027</v>
      </c>
      <c r="C646" s="278" t="s">
        <v>41</v>
      </c>
      <c r="D646" s="278"/>
      <c r="E646" s="280"/>
      <c r="F646" s="280">
        <v>0.0</v>
      </c>
      <c r="G646" s="280">
        <v>0.0</v>
      </c>
      <c r="H646" s="280">
        <v>0.0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75" t="s">
        <v>3681</v>
      </c>
      <c r="B647" s="275" t="s">
        <v>3021</v>
      </c>
      <c r="C647" s="275" t="s">
        <v>385</v>
      </c>
      <c r="D647" s="275"/>
      <c r="E647" s="277"/>
      <c r="F647" s="277">
        <v>0.0</v>
      </c>
      <c r="G647" s="277">
        <v>0.0</v>
      </c>
      <c r="H647" s="277">
        <v>0.0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78" t="s">
        <v>3682</v>
      </c>
      <c r="B648" s="278" t="s">
        <v>3061</v>
      </c>
      <c r="C648" s="278" t="s">
        <v>329</v>
      </c>
      <c r="D648" s="278"/>
      <c r="E648" s="280"/>
      <c r="F648" s="280">
        <v>0.0</v>
      </c>
      <c r="G648" s="280">
        <v>0.0</v>
      </c>
      <c r="H648" s="280">
        <v>0.0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75" t="s">
        <v>3683</v>
      </c>
      <c r="B649" s="275" t="s">
        <v>3027</v>
      </c>
      <c r="C649" s="275" t="s">
        <v>71</v>
      </c>
      <c r="D649" s="275"/>
      <c r="E649" s="276">
        <v>5.55745201E10</v>
      </c>
      <c r="F649" s="277">
        <v>0.0</v>
      </c>
      <c r="G649" s="277">
        <v>3.0</v>
      </c>
      <c r="H649" s="277">
        <v>0.0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78" t="s">
        <v>3684</v>
      </c>
      <c r="B650" s="278" t="s">
        <v>3017</v>
      </c>
      <c r="C650" s="278" t="s">
        <v>60</v>
      </c>
      <c r="D650" s="278"/>
      <c r="E650" s="279">
        <v>5.719345341E10</v>
      </c>
      <c r="F650" s="280">
        <v>4.0</v>
      </c>
      <c r="G650" s="280">
        <v>16.0</v>
      </c>
      <c r="H650" s="280">
        <v>48.0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75" t="s">
        <v>3685</v>
      </c>
      <c r="B651" s="275" t="s">
        <v>3038</v>
      </c>
      <c r="C651" s="275" t="s">
        <v>210</v>
      </c>
      <c r="D651" s="275"/>
      <c r="E651" s="276">
        <v>1.6403395E10</v>
      </c>
      <c r="F651" s="277"/>
      <c r="G651" s="277"/>
      <c r="H651" s="277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78" t="s">
        <v>3686</v>
      </c>
      <c r="B652" s="278" t="s">
        <v>3017</v>
      </c>
      <c r="C652" s="278" t="s">
        <v>428</v>
      </c>
      <c r="D652" s="278"/>
      <c r="E652" s="280"/>
      <c r="F652" s="280">
        <v>0.0</v>
      </c>
      <c r="G652" s="280">
        <v>0.0</v>
      </c>
      <c r="H652" s="280">
        <v>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75" t="s">
        <v>3687</v>
      </c>
      <c r="B653" s="275" t="s">
        <v>3017</v>
      </c>
      <c r="C653" s="275" t="s">
        <v>120</v>
      </c>
      <c r="D653" s="275"/>
      <c r="E653" s="277"/>
      <c r="F653" s="277">
        <v>0.0</v>
      </c>
      <c r="G653" s="277">
        <v>0.0</v>
      </c>
      <c r="H653" s="277">
        <v>0.0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78" t="s">
        <v>3688</v>
      </c>
      <c r="B654" s="278" t="s">
        <v>3017</v>
      </c>
      <c r="C654" s="278" t="s">
        <v>60</v>
      </c>
      <c r="D654" s="278"/>
      <c r="E654" s="280"/>
      <c r="F654" s="280">
        <v>0.0</v>
      </c>
      <c r="G654" s="280">
        <v>0.0</v>
      </c>
      <c r="H654" s="280">
        <v>0.0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75" t="s">
        <v>3689</v>
      </c>
      <c r="B655" s="275" t="s">
        <v>3017</v>
      </c>
      <c r="C655" s="275" t="s">
        <v>329</v>
      </c>
      <c r="D655" s="275"/>
      <c r="E655" s="277"/>
      <c r="F655" s="277">
        <v>0.0</v>
      </c>
      <c r="G655" s="277">
        <v>0.0</v>
      </c>
      <c r="H655" s="277">
        <v>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78" t="s">
        <v>3690</v>
      </c>
      <c r="B656" s="278" t="s">
        <v>3021</v>
      </c>
      <c r="C656" s="278" t="s">
        <v>163</v>
      </c>
      <c r="D656" s="278"/>
      <c r="E656" s="279">
        <v>5.7191968506E10</v>
      </c>
      <c r="F656" s="280">
        <v>2.0</v>
      </c>
      <c r="G656" s="280">
        <v>3.0</v>
      </c>
      <c r="H656" s="280">
        <v>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75" t="s">
        <v>3691</v>
      </c>
      <c r="B657" s="275" t="s">
        <v>3017</v>
      </c>
      <c r="C657" s="275" t="s">
        <v>94</v>
      </c>
      <c r="D657" s="275"/>
      <c r="E657" s="276">
        <v>5.52632342E10</v>
      </c>
      <c r="F657" s="277">
        <v>3.0</v>
      </c>
      <c r="G657" s="277">
        <v>29.0</v>
      </c>
      <c r="H657" s="277">
        <v>48.0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78" t="s">
        <v>3692</v>
      </c>
      <c r="B658" s="278" t="s">
        <v>3023</v>
      </c>
      <c r="C658" s="278" t="s">
        <v>859</v>
      </c>
      <c r="D658" s="278"/>
      <c r="E658" s="279">
        <v>5.67281758E10</v>
      </c>
      <c r="F658" s="280">
        <v>1.0</v>
      </c>
      <c r="G658" s="280">
        <v>17.0</v>
      </c>
      <c r="H658" s="280">
        <v>1.0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75" t="s">
        <v>3693</v>
      </c>
      <c r="B659" s="275" t="s">
        <v>3017</v>
      </c>
      <c r="C659" s="275" t="s">
        <v>329</v>
      </c>
      <c r="D659" s="275"/>
      <c r="E659" s="276">
        <v>5.7205541384E10</v>
      </c>
      <c r="F659" s="277">
        <v>2.0</v>
      </c>
      <c r="G659" s="277">
        <v>3.0</v>
      </c>
      <c r="H659" s="277">
        <v>20.0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78" t="s">
        <v>3694</v>
      </c>
      <c r="B660" s="278" t="s">
        <v>3017</v>
      </c>
      <c r="C660" s="278" t="s">
        <v>91</v>
      </c>
      <c r="D660" s="278"/>
      <c r="E660" s="280"/>
      <c r="F660" s="280">
        <v>0.0</v>
      </c>
      <c r="G660" s="280">
        <v>0.0</v>
      </c>
      <c r="H660" s="280">
        <v>0.0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75" t="s">
        <v>3695</v>
      </c>
      <c r="B661" s="275" t="s">
        <v>3019</v>
      </c>
      <c r="C661" s="275" t="s">
        <v>428</v>
      </c>
      <c r="D661" s="275"/>
      <c r="E661" s="276">
        <v>6.603919004E9</v>
      </c>
      <c r="F661" s="277">
        <v>21.0</v>
      </c>
      <c r="G661" s="277">
        <v>79.0</v>
      </c>
      <c r="H661" s="277">
        <v>1133.0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78" t="s">
        <v>3696</v>
      </c>
      <c r="B662" s="278" t="s">
        <v>3017</v>
      </c>
      <c r="C662" s="278" t="s">
        <v>75</v>
      </c>
      <c r="D662" s="278"/>
      <c r="E662" s="279">
        <v>2.44802252E10</v>
      </c>
      <c r="F662" s="280">
        <v>2.0</v>
      </c>
      <c r="G662" s="280">
        <v>16.0</v>
      </c>
      <c r="H662" s="280">
        <v>13.0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275" t="s">
        <v>3697</v>
      </c>
      <c r="B663" s="275" t="s">
        <v>3023</v>
      </c>
      <c r="C663" s="275" t="s">
        <v>108</v>
      </c>
      <c r="D663" s="275"/>
      <c r="E663" s="276">
        <v>6.701878527E9</v>
      </c>
      <c r="F663" s="277">
        <v>3.0</v>
      </c>
      <c r="G663" s="277">
        <v>12.0</v>
      </c>
      <c r="H663" s="277">
        <v>16.0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278" t="s">
        <v>3698</v>
      </c>
      <c r="B664" s="278" t="s">
        <v>3025</v>
      </c>
      <c r="C664" s="278" t="s">
        <v>186</v>
      </c>
      <c r="D664" s="278"/>
      <c r="E664" s="280"/>
      <c r="F664" s="280">
        <v>0.0</v>
      </c>
      <c r="G664" s="280">
        <v>0.0</v>
      </c>
      <c r="H664" s="280">
        <v>0.0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75" t="s">
        <v>3699</v>
      </c>
      <c r="B665" s="275" t="s">
        <v>3054</v>
      </c>
      <c r="C665" s="275" t="s">
        <v>210</v>
      </c>
      <c r="D665" s="275"/>
      <c r="E665" s="277"/>
      <c r="F665" s="277">
        <v>0.0</v>
      </c>
      <c r="G665" s="277">
        <v>0.0</v>
      </c>
      <c r="H665" s="277">
        <v>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78" t="s">
        <v>3700</v>
      </c>
      <c r="B666" s="278" t="s">
        <v>3021</v>
      </c>
      <c r="C666" s="278" t="s">
        <v>91</v>
      </c>
      <c r="D666" s="278"/>
      <c r="E666" s="280"/>
      <c r="F666" s="280">
        <v>0.0</v>
      </c>
      <c r="G666" s="280">
        <v>0.0</v>
      </c>
      <c r="H666" s="280">
        <v>0.0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75" t="s">
        <v>3701</v>
      </c>
      <c r="B667" s="275" t="s">
        <v>3038</v>
      </c>
      <c r="C667" s="275" t="s">
        <v>210</v>
      </c>
      <c r="D667" s="275"/>
      <c r="E667" s="277"/>
      <c r="F667" s="277">
        <v>0.0</v>
      </c>
      <c r="G667" s="277">
        <v>0.0</v>
      </c>
      <c r="H667" s="277">
        <v>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78" t="s">
        <v>3702</v>
      </c>
      <c r="B668" s="278" t="s">
        <v>3027</v>
      </c>
      <c r="C668" s="278" t="s">
        <v>36</v>
      </c>
      <c r="D668" s="278"/>
      <c r="E668" s="279">
        <v>5.58169012E10</v>
      </c>
      <c r="F668" s="280">
        <v>4.0</v>
      </c>
      <c r="G668" s="280">
        <v>12.0</v>
      </c>
      <c r="H668" s="280">
        <v>50.0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75" t="s">
        <v>3703</v>
      </c>
      <c r="B669" s="275" t="s">
        <v>3027</v>
      </c>
      <c r="C669" s="275" t="s">
        <v>21</v>
      </c>
      <c r="D669" s="275"/>
      <c r="E669" s="276">
        <v>5.61127376E10</v>
      </c>
      <c r="F669" s="277">
        <v>2.0</v>
      </c>
      <c r="G669" s="277">
        <v>4.0</v>
      </c>
      <c r="H669" s="277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78" t="s">
        <v>3704</v>
      </c>
      <c r="B670" s="278" t="s">
        <v>3027</v>
      </c>
      <c r="C670" s="278" t="s">
        <v>171</v>
      </c>
      <c r="D670" s="278"/>
      <c r="E670" s="279">
        <v>5.719448093E10</v>
      </c>
      <c r="F670" s="280">
        <v>2.0</v>
      </c>
      <c r="G670" s="280">
        <v>4.0</v>
      </c>
      <c r="H670" s="280">
        <v>95.0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75" t="s">
        <v>3705</v>
      </c>
      <c r="B671" s="275" t="s">
        <v>3017</v>
      </c>
      <c r="C671" s="275" t="s">
        <v>272</v>
      </c>
      <c r="D671" s="275"/>
      <c r="E671" s="277"/>
      <c r="F671" s="277">
        <v>0.0</v>
      </c>
      <c r="G671" s="277">
        <v>0.0</v>
      </c>
      <c r="H671" s="277">
        <v>0.0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78" t="s">
        <v>3706</v>
      </c>
      <c r="B672" s="278" t="s">
        <v>3025</v>
      </c>
      <c r="C672" s="278" t="s">
        <v>329</v>
      </c>
      <c r="D672" s="278"/>
      <c r="E672" s="280"/>
      <c r="F672" s="280">
        <v>0.0</v>
      </c>
      <c r="G672" s="280">
        <v>0.0</v>
      </c>
      <c r="H672" s="280">
        <v>0.0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75" t="s">
        <v>3707</v>
      </c>
      <c r="B673" s="275" t="s">
        <v>3019</v>
      </c>
      <c r="C673" s="275" t="s">
        <v>102</v>
      </c>
      <c r="D673" s="275"/>
      <c r="E673" s="276">
        <v>3.55774926E10</v>
      </c>
      <c r="F673" s="277"/>
      <c r="G673" s="277"/>
      <c r="H673" s="277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278" t="s">
        <v>3708</v>
      </c>
      <c r="B674" s="278" t="s">
        <v>3025</v>
      </c>
      <c r="C674" s="278" t="s">
        <v>144</v>
      </c>
      <c r="D674" s="278"/>
      <c r="E674" s="279">
        <v>5.7188571542E10</v>
      </c>
      <c r="F674" s="280">
        <v>4.0</v>
      </c>
      <c r="G674" s="280">
        <v>11.0</v>
      </c>
      <c r="H674" s="280">
        <v>53.0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275" t="s">
        <v>3709</v>
      </c>
      <c r="B675" s="275" t="s">
        <v>3017</v>
      </c>
      <c r="C675" s="275" t="s">
        <v>167</v>
      </c>
      <c r="D675" s="275"/>
      <c r="E675" s="276">
        <v>5.7211556518E10</v>
      </c>
      <c r="F675" s="277">
        <v>5.0</v>
      </c>
      <c r="G675" s="277">
        <v>17.0</v>
      </c>
      <c r="H675" s="277">
        <v>63.0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78" t="s">
        <v>3710</v>
      </c>
      <c r="B676" s="278" t="s">
        <v>3021</v>
      </c>
      <c r="C676" s="278" t="s">
        <v>428</v>
      </c>
      <c r="D676" s="278"/>
      <c r="E676" s="279">
        <v>8.2148965E9</v>
      </c>
      <c r="F676" s="280">
        <v>2.0</v>
      </c>
      <c r="G676" s="280">
        <v>15.0</v>
      </c>
      <c r="H676" s="280">
        <v>25.0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75" t="s">
        <v>3711</v>
      </c>
      <c r="B677" s="275" t="s">
        <v>3027</v>
      </c>
      <c r="C677" s="275" t="s">
        <v>91</v>
      </c>
      <c r="D677" s="275"/>
      <c r="E677" s="277"/>
      <c r="F677" s="277">
        <v>0.0</v>
      </c>
      <c r="G677" s="277">
        <v>0.0</v>
      </c>
      <c r="H677" s="277">
        <v>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78" t="s">
        <v>3712</v>
      </c>
      <c r="B678" s="278" t="s">
        <v>3025</v>
      </c>
      <c r="C678" s="278" t="s">
        <v>41</v>
      </c>
      <c r="D678" s="278"/>
      <c r="E678" s="279">
        <v>5.7207767352E10</v>
      </c>
      <c r="F678" s="280">
        <v>2.0</v>
      </c>
      <c r="G678" s="280">
        <v>5.0</v>
      </c>
      <c r="H678" s="280">
        <v>14.0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75" t="s">
        <v>3713</v>
      </c>
      <c r="B679" s="275" t="s">
        <v>3017</v>
      </c>
      <c r="C679" s="275" t="s">
        <v>36</v>
      </c>
      <c r="D679" s="275"/>
      <c r="E679" s="276">
        <v>5.7194035858E10</v>
      </c>
      <c r="F679" s="277">
        <v>1.0</v>
      </c>
      <c r="G679" s="277">
        <v>3.0</v>
      </c>
      <c r="H679" s="277">
        <v>3.0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78" t="s">
        <v>3714</v>
      </c>
      <c r="B680" s="278" t="s">
        <v>3715</v>
      </c>
      <c r="C680" s="278" t="s">
        <v>186</v>
      </c>
      <c r="D680" s="278"/>
      <c r="E680" s="279">
        <v>6.602841726E9</v>
      </c>
      <c r="F680" s="280">
        <v>14.0</v>
      </c>
      <c r="G680" s="280">
        <v>86.0</v>
      </c>
      <c r="H680" s="280">
        <v>887.0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75" t="s">
        <v>3716</v>
      </c>
      <c r="B681" s="275" t="s">
        <v>3025</v>
      </c>
      <c r="C681" s="275" t="s">
        <v>60</v>
      </c>
      <c r="D681" s="275"/>
      <c r="E681" s="276">
        <v>5.7211145204E10</v>
      </c>
      <c r="F681" s="277">
        <v>1.0</v>
      </c>
      <c r="G681" s="277">
        <v>2.0</v>
      </c>
      <c r="H681" s="277">
        <v>2.0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78" t="s">
        <v>3717</v>
      </c>
      <c r="B682" s="278" t="s">
        <v>3027</v>
      </c>
      <c r="C682" s="278" t="s">
        <v>21</v>
      </c>
      <c r="D682" s="278"/>
      <c r="E682" s="279">
        <v>5.66857048E10</v>
      </c>
      <c r="F682" s="280">
        <v>5.0</v>
      </c>
      <c r="G682" s="280">
        <v>15.0</v>
      </c>
      <c r="H682" s="280">
        <v>84.0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75" t="s">
        <v>3718</v>
      </c>
      <c r="B683" s="275" t="s">
        <v>3023</v>
      </c>
      <c r="C683" s="275" t="s">
        <v>210</v>
      </c>
      <c r="D683" s="275"/>
      <c r="E683" s="276">
        <v>5.7193824829E10</v>
      </c>
      <c r="F683" s="277">
        <v>1.0</v>
      </c>
      <c r="G683" s="277">
        <v>1.0</v>
      </c>
      <c r="H683" s="277">
        <v>1.0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78" t="s">
        <v>3719</v>
      </c>
      <c r="B684" s="278" t="s">
        <v>3025</v>
      </c>
      <c r="C684" s="278" t="s">
        <v>60</v>
      </c>
      <c r="D684" s="278"/>
      <c r="E684" s="279">
        <v>1.45236152E10</v>
      </c>
      <c r="F684" s="280">
        <v>4.0</v>
      </c>
      <c r="G684" s="280">
        <v>16.0</v>
      </c>
      <c r="H684" s="280">
        <v>274.0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275" t="s">
        <v>3720</v>
      </c>
      <c r="B685" s="275" t="s">
        <v>3023</v>
      </c>
      <c r="C685" s="275" t="s">
        <v>144</v>
      </c>
      <c r="D685" s="275"/>
      <c r="E685" s="276">
        <v>1.27973053E10</v>
      </c>
      <c r="F685" s="277">
        <v>3.0</v>
      </c>
      <c r="G685" s="277">
        <v>26.0</v>
      </c>
      <c r="H685" s="277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278" t="s">
        <v>3721</v>
      </c>
      <c r="B686" s="278" t="s">
        <v>3023</v>
      </c>
      <c r="C686" s="278" t="s">
        <v>36</v>
      </c>
      <c r="D686" s="278"/>
      <c r="E686" s="279">
        <v>2.31358848E10</v>
      </c>
      <c r="F686" s="280">
        <v>9.0</v>
      </c>
      <c r="G686" s="280">
        <v>160.0</v>
      </c>
      <c r="H686" s="280">
        <v>349.0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75" t="s">
        <v>3722</v>
      </c>
      <c r="B687" s="275" t="s">
        <v>3017</v>
      </c>
      <c r="C687" s="275" t="s">
        <v>137</v>
      </c>
      <c r="D687" s="275"/>
      <c r="E687" s="276">
        <v>3.57631235E10</v>
      </c>
      <c r="F687" s="277">
        <v>1.0</v>
      </c>
      <c r="G687" s="277">
        <v>4.0</v>
      </c>
      <c r="H687" s="277">
        <v>4.0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78" t="s">
        <v>3723</v>
      </c>
      <c r="B688" s="278" t="s">
        <v>3017</v>
      </c>
      <c r="C688" s="278" t="s">
        <v>167</v>
      </c>
      <c r="D688" s="278"/>
      <c r="E688" s="279">
        <v>5.7190664123E10</v>
      </c>
      <c r="F688" s="280">
        <v>2.0</v>
      </c>
      <c r="G688" s="280">
        <v>7.0</v>
      </c>
      <c r="H688" s="280">
        <v>11.0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75" t="s">
        <v>3724</v>
      </c>
      <c r="B689" s="275" t="s">
        <v>3023</v>
      </c>
      <c r="C689" s="275" t="s">
        <v>120</v>
      </c>
      <c r="D689" s="275"/>
      <c r="E689" s="277"/>
      <c r="F689" s="277">
        <v>0.0</v>
      </c>
      <c r="G689" s="277">
        <v>0.0</v>
      </c>
      <c r="H689" s="277">
        <v>0.0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78" t="s">
        <v>3725</v>
      </c>
      <c r="B690" s="278" t="s">
        <v>3025</v>
      </c>
      <c r="C690" s="278" t="s">
        <v>381</v>
      </c>
      <c r="D690" s="278"/>
      <c r="E690" s="280"/>
      <c r="F690" s="280">
        <v>0.0</v>
      </c>
      <c r="G690" s="280">
        <v>0.0</v>
      </c>
      <c r="H690" s="280">
        <v>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275" t="s">
        <v>3726</v>
      </c>
      <c r="B691" s="275" t="s">
        <v>3027</v>
      </c>
      <c r="C691" s="275" t="s">
        <v>78</v>
      </c>
      <c r="D691" s="275"/>
      <c r="E691" s="277"/>
      <c r="F691" s="277">
        <v>0.0</v>
      </c>
      <c r="G691" s="277">
        <v>0.0</v>
      </c>
      <c r="H691" s="277">
        <v>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278" t="s">
        <v>3727</v>
      </c>
      <c r="B692" s="278" t="s">
        <v>3021</v>
      </c>
      <c r="C692" s="278" t="s">
        <v>171</v>
      </c>
      <c r="D692" s="278"/>
      <c r="E692" s="279">
        <v>5.7194038934E10</v>
      </c>
      <c r="F692" s="280">
        <v>2.0</v>
      </c>
      <c r="G692" s="280">
        <v>6.0</v>
      </c>
      <c r="H692" s="280">
        <v>19.0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275" t="s">
        <v>3728</v>
      </c>
      <c r="B693" s="275" t="s">
        <v>3017</v>
      </c>
      <c r="C693" s="275" t="s">
        <v>71</v>
      </c>
      <c r="D693" s="275"/>
      <c r="E693" s="276">
        <v>5.64858594E10</v>
      </c>
      <c r="F693" s="277">
        <v>6.0</v>
      </c>
      <c r="G693" s="277">
        <v>16.0</v>
      </c>
      <c r="H693" s="277">
        <v>100.0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78" t="s">
        <v>3729</v>
      </c>
      <c r="B694" s="278" t="s">
        <v>3038</v>
      </c>
      <c r="C694" s="278" t="s">
        <v>71</v>
      </c>
      <c r="D694" s="278"/>
      <c r="E694" s="279">
        <v>5.7217062527E10</v>
      </c>
      <c r="F694" s="280">
        <v>2.0</v>
      </c>
      <c r="G694" s="280">
        <v>5.0</v>
      </c>
      <c r="H694" s="280">
        <v>20.0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275" t="s">
        <v>3730</v>
      </c>
      <c r="B695" s="275" t="s">
        <v>3027</v>
      </c>
      <c r="C695" s="275" t="s">
        <v>272</v>
      </c>
      <c r="D695" s="275"/>
      <c r="E695" s="277"/>
      <c r="F695" s="277">
        <v>0.0</v>
      </c>
      <c r="G695" s="277">
        <v>0.0</v>
      </c>
      <c r="H695" s="277">
        <v>0.0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278" t="s">
        <v>3731</v>
      </c>
      <c r="B696" s="278" t="s">
        <v>3017</v>
      </c>
      <c r="C696" s="278" t="s">
        <v>36</v>
      </c>
      <c r="D696" s="278"/>
      <c r="E696" s="279">
        <v>5.7194045937E10</v>
      </c>
      <c r="F696" s="280">
        <v>0.0</v>
      </c>
      <c r="G696" s="280">
        <v>3.0</v>
      </c>
      <c r="H696" s="280">
        <v>0.0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275" t="s">
        <v>3732</v>
      </c>
      <c r="B697" s="275" t="s">
        <v>3017</v>
      </c>
      <c r="C697" s="275" t="s">
        <v>71</v>
      </c>
      <c r="D697" s="275"/>
      <c r="E697" s="276">
        <v>5.7188622143E10</v>
      </c>
      <c r="F697" s="277">
        <v>5.0</v>
      </c>
      <c r="G697" s="277">
        <v>10.0</v>
      </c>
      <c r="H697" s="277">
        <v>51.0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78" t="s">
        <v>3733</v>
      </c>
      <c r="B698" s="278" t="s">
        <v>3017</v>
      </c>
      <c r="C698" s="278" t="s">
        <v>60</v>
      </c>
      <c r="D698" s="278"/>
      <c r="E698" s="279">
        <v>5.7201648823E10</v>
      </c>
      <c r="F698" s="280">
        <v>1.0</v>
      </c>
      <c r="G698" s="280">
        <v>4.0</v>
      </c>
      <c r="H698" s="280">
        <v>3.0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75" t="s">
        <v>3734</v>
      </c>
      <c r="B699" s="275" t="s">
        <v>3019</v>
      </c>
      <c r="C699" s="275" t="s">
        <v>75</v>
      </c>
      <c r="D699" s="275"/>
      <c r="E699" s="276">
        <v>2.43422583E10</v>
      </c>
      <c r="F699" s="277">
        <v>6.0</v>
      </c>
      <c r="G699" s="277">
        <v>46.0</v>
      </c>
      <c r="H699" s="277">
        <v>177.0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78" t="s">
        <v>3735</v>
      </c>
      <c r="B700" s="278" t="s">
        <v>3027</v>
      </c>
      <c r="C700" s="278" t="s">
        <v>210</v>
      </c>
      <c r="D700" s="278"/>
      <c r="E700" s="279">
        <v>5.67843344E10</v>
      </c>
      <c r="F700" s="280">
        <v>3.0</v>
      </c>
      <c r="G700" s="280">
        <v>7.0</v>
      </c>
      <c r="H700" s="280">
        <v>11.0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75" t="s">
        <v>3736</v>
      </c>
      <c r="B701" s="275" t="s">
        <v>3054</v>
      </c>
      <c r="C701" s="275" t="s">
        <v>144</v>
      </c>
      <c r="D701" s="275"/>
      <c r="E701" s="277"/>
      <c r="F701" s="277">
        <v>0.0</v>
      </c>
      <c r="G701" s="277">
        <v>0.0</v>
      </c>
      <c r="H701" s="277">
        <v>0.0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72" t="s">
        <v>3737</v>
      </c>
      <c r="B702" s="272" t="s">
        <v>3023</v>
      </c>
      <c r="C702" s="272" t="s">
        <v>71</v>
      </c>
      <c r="D702" s="272"/>
      <c r="E702" s="273">
        <v>5.7191962512E10</v>
      </c>
      <c r="F702" s="274">
        <v>0.0</v>
      </c>
      <c r="G702" s="274">
        <v>1.0</v>
      </c>
      <c r="H702" s="274">
        <v>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75" t="s">
        <v>3738</v>
      </c>
      <c r="B703" s="275" t="s">
        <v>3061</v>
      </c>
      <c r="C703" s="275" t="s">
        <v>329</v>
      </c>
      <c r="D703" s="275"/>
      <c r="E703" s="277"/>
      <c r="F703" s="277">
        <v>0.0</v>
      </c>
      <c r="G703" s="277">
        <v>0.0</v>
      </c>
      <c r="H703" s="277">
        <v>0.0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78" t="s">
        <v>3739</v>
      </c>
      <c r="B704" s="278" t="s">
        <v>3017</v>
      </c>
      <c r="C704" s="278" t="s">
        <v>128</v>
      </c>
      <c r="D704" s="278"/>
      <c r="E704" s="280"/>
      <c r="F704" s="280">
        <v>0.0</v>
      </c>
      <c r="G704" s="280">
        <v>0.0</v>
      </c>
      <c r="H704" s="280">
        <v>0.0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75" t="s">
        <v>3740</v>
      </c>
      <c r="B705" s="275" t="s">
        <v>3061</v>
      </c>
      <c r="C705" s="275" t="s">
        <v>41</v>
      </c>
      <c r="D705" s="275"/>
      <c r="E705" s="277"/>
      <c r="F705" s="277">
        <v>0.0</v>
      </c>
      <c r="G705" s="277">
        <v>0.0</v>
      </c>
      <c r="H705" s="277">
        <v>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78" t="s">
        <v>3741</v>
      </c>
      <c r="B706" s="278" t="s">
        <v>3025</v>
      </c>
      <c r="C706" s="278" t="s">
        <v>21</v>
      </c>
      <c r="D706" s="278"/>
      <c r="E706" s="279">
        <v>5.7195684561E10</v>
      </c>
      <c r="F706" s="280">
        <v>0.0</v>
      </c>
      <c r="G706" s="280">
        <v>1.0</v>
      </c>
      <c r="H706" s="280">
        <v>0.0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275" t="s">
        <v>3742</v>
      </c>
      <c r="B707" s="275" t="s">
        <v>3017</v>
      </c>
      <c r="C707" s="275" t="s">
        <v>41</v>
      </c>
      <c r="D707" s="275"/>
      <c r="E707" s="276">
        <v>5.7189377891E10</v>
      </c>
      <c r="F707" s="277">
        <v>3.0</v>
      </c>
      <c r="G707" s="277">
        <v>8.0</v>
      </c>
      <c r="H707" s="277">
        <v>15.0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78" t="s">
        <v>3743</v>
      </c>
      <c r="B708" s="278" t="s">
        <v>3017</v>
      </c>
      <c r="C708" s="278" t="s">
        <v>120</v>
      </c>
      <c r="D708" s="278"/>
      <c r="E708" s="279">
        <v>5.7217589878E10</v>
      </c>
      <c r="F708" s="280"/>
      <c r="G708" s="280"/>
      <c r="H708" s="280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75" t="s">
        <v>3744</v>
      </c>
      <c r="B709" s="275" t="s">
        <v>3038</v>
      </c>
      <c r="C709" s="275" t="s">
        <v>186</v>
      </c>
      <c r="D709" s="275"/>
      <c r="E709" s="276">
        <v>5.7201780269E10</v>
      </c>
      <c r="F709" s="277">
        <v>1.0</v>
      </c>
      <c r="G709" s="277">
        <v>3.0</v>
      </c>
      <c r="H709" s="277">
        <v>2.0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78" t="s">
        <v>3745</v>
      </c>
      <c r="B710" s="278" t="s">
        <v>3027</v>
      </c>
      <c r="C710" s="278" t="s">
        <v>91</v>
      </c>
      <c r="D710" s="278"/>
      <c r="E710" s="279">
        <v>5.7188701728E10</v>
      </c>
      <c r="F710" s="280">
        <v>1.0</v>
      </c>
      <c r="G710" s="280">
        <v>1.0</v>
      </c>
      <c r="H710" s="280">
        <v>4.0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75" t="s">
        <v>3746</v>
      </c>
      <c r="B711" s="275" t="s">
        <v>3017</v>
      </c>
      <c r="C711" s="275" t="s">
        <v>409</v>
      </c>
      <c r="D711" s="275"/>
      <c r="E711" s="276">
        <v>5.7211750103E10</v>
      </c>
      <c r="F711" s="277">
        <v>2.0</v>
      </c>
      <c r="G711" s="277">
        <v>2.0</v>
      </c>
      <c r="H711" s="277">
        <v>12.0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78" t="s">
        <v>3747</v>
      </c>
      <c r="B712" s="278" t="s">
        <v>3027</v>
      </c>
      <c r="C712" s="278" t="s">
        <v>137</v>
      </c>
      <c r="D712" s="278"/>
      <c r="E712" s="279">
        <v>5.720148335E10</v>
      </c>
      <c r="F712" s="280">
        <v>4.0</v>
      </c>
      <c r="G712" s="280">
        <v>11.0</v>
      </c>
      <c r="H712" s="280">
        <v>45.0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75" t="s">
        <v>3748</v>
      </c>
      <c r="B713" s="275" t="s">
        <v>3019</v>
      </c>
      <c r="C713" s="275" t="s">
        <v>210</v>
      </c>
      <c r="D713" s="275"/>
      <c r="E713" s="276">
        <v>5.7215832929E10</v>
      </c>
      <c r="F713" s="277">
        <v>0.0</v>
      </c>
      <c r="G713" s="277">
        <v>3.0</v>
      </c>
      <c r="H713" s="277">
        <v>0.0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78" t="s">
        <v>3749</v>
      </c>
      <c r="B714" s="278" t="s">
        <v>3017</v>
      </c>
      <c r="C714" s="278" t="s">
        <v>102</v>
      </c>
      <c r="D714" s="278"/>
      <c r="E714" s="280"/>
      <c r="F714" s="280">
        <v>0.0</v>
      </c>
      <c r="G714" s="280">
        <v>0.0</v>
      </c>
      <c r="H714" s="280">
        <v>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75" t="s">
        <v>3750</v>
      </c>
      <c r="B715" s="275" t="s">
        <v>3027</v>
      </c>
      <c r="C715" s="275" t="s">
        <v>144</v>
      </c>
      <c r="D715" s="275"/>
      <c r="E715" s="276">
        <v>5.69817052E10</v>
      </c>
      <c r="F715" s="277">
        <v>2.0</v>
      </c>
      <c r="G715" s="277">
        <v>20.0</v>
      </c>
      <c r="H715" s="277">
        <v>8.0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78" t="s">
        <v>3751</v>
      </c>
      <c r="B716" s="278" t="s">
        <v>3017</v>
      </c>
      <c r="C716" s="278" t="s">
        <v>71</v>
      </c>
      <c r="D716" s="278"/>
      <c r="E716" s="279">
        <v>5.7209318727E10</v>
      </c>
      <c r="F716" s="280">
        <v>1.0</v>
      </c>
      <c r="G716" s="280">
        <v>1.0</v>
      </c>
      <c r="H716" s="280">
        <v>5.0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75" t="s">
        <v>3752</v>
      </c>
      <c r="B717" s="275" t="s">
        <v>3017</v>
      </c>
      <c r="C717" s="275" t="s">
        <v>356</v>
      </c>
      <c r="D717" s="275"/>
      <c r="E717" s="277"/>
      <c r="F717" s="277">
        <v>0.0</v>
      </c>
      <c r="G717" s="277">
        <v>0.0</v>
      </c>
      <c r="H717" s="277">
        <v>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78" t="s">
        <v>3753</v>
      </c>
      <c r="B718" s="278" t="s">
        <v>3025</v>
      </c>
      <c r="C718" s="278" t="s">
        <v>210</v>
      </c>
      <c r="D718" s="278"/>
      <c r="E718" s="280"/>
      <c r="F718" s="280">
        <v>0.0</v>
      </c>
      <c r="G718" s="280">
        <v>0.0</v>
      </c>
      <c r="H718" s="280">
        <v>0.0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75" t="s">
        <v>3754</v>
      </c>
      <c r="B719" s="275" t="s">
        <v>3019</v>
      </c>
      <c r="C719" s="275" t="s">
        <v>71</v>
      </c>
      <c r="D719" s="275"/>
      <c r="E719" s="276">
        <v>5.71633798E10</v>
      </c>
      <c r="F719" s="277">
        <v>3.0</v>
      </c>
      <c r="G719" s="277">
        <v>9.0</v>
      </c>
      <c r="H719" s="277">
        <v>21.0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278" t="s">
        <v>3755</v>
      </c>
      <c r="B720" s="272" t="s">
        <v>3019</v>
      </c>
      <c r="C720" s="278" t="s">
        <v>60</v>
      </c>
      <c r="D720" s="278"/>
      <c r="E720" s="279">
        <v>6.603262903E9</v>
      </c>
      <c r="F720" s="280">
        <v>5.0</v>
      </c>
      <c r="G720" s="280">
        <v>39.0</v>
      </c>
      <c r="H720" s="280">
        <v>65.0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75" t="s">
        <v>3756</v>
      </c>
      <c r="B721" s="275" t="s">
        <v>3021</v>
      </c>
      <c r="C721" s="275" t="s">
        <v>186</v>
      </c>
      <c r="D721" s="275"/>
      <c r="E721" s="276">
        <v>5.69119381E10</v>
      </c>
      <c r="F721" s="277">
        <v>3.0</v>
      </c>
      <c r="G721" s="277">
        <v>11.0</v>
      </c>
      <c r="H721" s="277">
        <v>28.0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78" t="s">
        <v>3757</v>
      </c>
      <c r="B722" s="278" t="s">
        <v>3017</v>
      </c>
      <c r="C722" s="278" t="s">
        <v>71</v>
      </c>
      <c r="D722" s="278"/>
      <c r="E722" s="279">
        <v>5.7190949991E10</v>
      </c>
      <c r="F722" s="280">
        <v>2.0</v>
      </c>
      <c r="G722" s="280">
        <v>4.0</v>
      </c>
      <c r="H722" s="280">
        <v>7.0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75" t="s">
        <v>3758</v>
      </c>
      <c r="B723" s="275" t="s">
        <v>3017</v>
      </c>
      <c r="C723" s="275" t="s">
        <v>46</v>
      </c>
      <c r="D723" s="275"/>
      <c r="E723" s="276">
        <v>2.44830801E10</v>
      </c>
      <c r="F723" s="277">
        <v>1.0</v>
      </c>
      <c r="G723" s="277">
        <v>13.0</v>
      </c>
      <c r="H723" s="277">
        <v>5.0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78" t="s">
        <v>3759</v>
      </c>
      <c r="B724" s="278" t="s">
        <v>3017</v>
      </c>
      <c r="C724" s="278" t="s">
        <v>36</v>
      </c>
      <c r="D724" s="278"/>
      <c r="E724" s="279">
        <v>5.7194036787E10</v>
      </c>
      <c r="F724" s="280">
        <v>0.0</v>
      </c>
      <c r="G724" s="280">
        <v>1.0</v>
      </c>
      <c r="H724" s="280">
        <v>0.0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75" t="s">
        <v>3760</v>
      </c>
      <c r="B725" s="275" t="s">
        <v>3027</v>
      </c>
      <c r="C725" s="275" t="s">
        <v>71</v>
      </c>
      <c r="D725" s="275"/>
      <c r="E725" s="277"/>
      <c r="F725" s="277">
        <v>1.0</v>
      </c>
      <c r="G725" s="277">
        <v>2.0</v>
      </c>
      <c r="H725" s="277">
        <v>1.0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78" t="s">
        <v>3761</v>
      </c>
      <c r="B726" s="272" t="s">
        <v>3038</v>
      </c>
      <c r="C726" s="278" t="s">
        <v>60</v>
      </c>
      <c r="D726" s="278"/>
      <c r="E726" s="279">
        <v>5.7193455909E10</v>
      </c>
      <c r="F726" s="280">
        <v>1.0</v>
      </c>
      <c r="G726" s="280">
        <v>7.0</v>
      </c>
      <c r="H726" s="280">
        <v>2.0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75" t="s">
        <v>3762</v>
      </c>
      <c r="B727" s="275" t="s">
        <v>3017</v>
      </c>
      <c r="C727" s="275" t="s">
        <v>108</v>
      </c>
      <c r="D727" s="275"/>
      <c r="E727" s="276">
        <v>1.64011495E10</v>
      </c>
      <c r="F727" s="277">
        <v>2.0</v>
      </c>
      <c r="G727" s="277">
        <v>19.0</v>
      </c>
      <c r="H727" s="277">
        <v>7.0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78" t="s">
        <v>3763</v>
      </c>
      <c r="B728" s="278" t="s">
        <v>3054</v>
      </c>
      <c r="C728" s="278" t="s">
        <v>41</v>
      </c>
      <c r="D728" s="278"/>
      <c r="E728" s="279">
        <v>5.7202452099E10</v>
      </c>
      <c r="F728" s="280">
        <v>1.0</v>
      </c>
      <c r="G728" s="280">
        <v>2.0</v>
      </c>
      <c r="H728" s="280">
        <v>4.0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275" t="s">
        <v>3764</v>
      </c>
      <c r="B729" s="275" t="s">
        <v>3019</v>
      </c>
      <c r="C729" s="275" t="s">
        <v>60</v>
      </c>
      <c r="D729" s="275"/>
      <c r="E729" s="276">
        <v>3.68974433E10</v>
      </c>
      <c r="F729" s="277">
        <v>9.0</v>
      </c>
      <c r="G729" s="277">
        <v>27.0</v>
      </c>
      <c r="H729" s="277">
        <v>282.0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278" t="s">
        <v>3765</v>
      </c>
      <c r="B730" s="278" t="s">
        <v>3021</v>
      </c>
      <c r="C730" s="278" t="s">
        <v>356</v>
      </c>
      <c r="D730" s="278"/>
      <c r="E730" s="279">
        <v>5.7208632312E10</v>
      </c>
      <c r="F730" s="280">
        <v>3.0</v>
      </c>
      <c r="G730" s="280">
        <v>10.0</v>
      </c>
      <c r="H730" s="280">
        <v>15.0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75" t="s">
        <v>3766</v>
      </c>
      <c r="B731" s="275" t="s">
        <v>3025</v>
      </c>
      <c r="C731" s="275" t="s">
        <v>71</v>
      </c>
      <c r="D731" s="275"/>
      <c r="E731" s="276">
        <v>5.7216485518E10</v>
      </c>
      <c r="F731" s="277">
        <v>3.0</v>
      </c>
      <c r="G731" s="277">
        <v>8.0</v>
      </c>
      <c r="H731" s="277">
        <v>15.0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78" t="s">
        <v>3767</v>
      </c>
      <c r="B732" s="278" t="s">
        <v>3017</v>
      </c>
      <c r="C732" s="278" t="s">
        <v>144</v>
      </c>
      <c r="D732" s="278"/>
      <c r="E732" s="279">
        <v>5.59761114E10</v>
      </c>
      <c r="F732" s="280">
        <v>1.0</v>
      </c>
      <c r="G732" s="280">
        <v>4.0</v>
      </c>
      <c r="H732" s="280">
        <v>11.0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75" t="s">
        <v>3768</v>
      </c>
      <c r="B733" s="275" t="s">
        <v>3038</v>
      </c>
      <c r="C733" s="275" t="s">
        <v>210</v>
      </c>
      <c r="D733" s="275"/>
      <c r="E733" s="276">
        <v>7.003868775E9</v>
      </c>
      <c r="F733" s="277">
        <v>1.0</v>
      </c>
      <c r="G733" s="277">
        <v>12.0</v>
      </c>
      <c r="H733" s="277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78" t="s">
        <v>3769</v>
      </c>
      <c r="B734" s="278" t="s">
        <v>3023</v>
      </c>
      <c r="C734" s="278" t="s">
        <v>46</v>
      </c>
      <c r="D734" s="278"/>
      <c r="E734" s="279">
        <v>7.801667873E9</v>
      </c>
      <c r="F734" s="280">
        <v>11.0</v>
      </c>
      <c r="G734" s="280">
        <v>185.0</v>
      </c>
      <c r="H734" s="280">
        <v>439.0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75" t="s">
        <v>3770</v>
      </c>
      <c r="B735" s="275" t="s">
        <v>3017</v>
      </c>
      <c r="C735" s="275" t="s">
        <v>46</v>
      </c>
      <c r="D735" s="275"/>
      <c r="E735" s="276">
        <v>8.3263759E9</v>
      </c>
      <c r="F735" s="277">
        <v>4.0</v>
      </c>
      <c r="G735" s="277">
        <v>37.0</v>
      </c>
      <c r="H735" s="277">
        <v>62.0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78" t="s">
        <v>3771</v>
      </c>
      <c r="B736" s="278" t="s">
        <v>3023</v>
      </c>
      <c r="C736" s="278" t="s">
        <v>46</v>
      </c>
      <c r="D736" s="278"/>
      <c r="E736" s="279">
        <v>2.44794697E10</v>
      </c>
      <c r="F736" s="280">
        <v>3.0</v>
      </c>
      <c r="G736" s="280">
        <v>26.0</v>
      </c>
      <c r="H736" s="280">
        <v>26.0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75" t="s">
        <v>3772</v>
      </c>
      <c r="B737" s="275" t="s">
        <v>3017</v>
      </c>
      <c r="C737" s="275" t="s">
        <v>41</v>
      </c>
      <c r="D737" s="275"/>
      <c r="E737" s="277"/>
      <c r="F737" s="277">
        <v>0.0</v>
      </c>
      <c r="G737" s="277">
        <v>0.0</v>
      </c>
      <c r="H737" s="277">
        <v>0.0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278" t="s">
        <v>3773</v>
      </c>
      <c r="B738" s="278" t="s">
        <v>3038</v>
      </c>
      <c r="C738" s="278" t="s">
        <v>21</v>
      </c>
      <c r="D738" s="278"/>
      <c r="E738" s="280"/>
      <c r="F738" s="280">
        <v>0.0</v>
      </c>
      <c r="G738" s="280">
        <v>0.0</v>
      </c>
      <c r="H738" s="280">
        <v>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275" t="s">
        <v>3774</v>
      </c>
      <c r="B739" s="275" t="s">
        <v>3038</v>
      </c>
      <c r="C739" s="275" t="s">
        <v>36</v>
      </c>
      <c r="D739" s="275"/>
      <c r="E739" s="277"/>
      <c r="F739" s="277">
        <v>0.0</v>
      </c>
      <c r="G739" s="277">
        <v>0.0</v>
      </c>
      <c r="H739" s="277">
        <v>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78" t="s">
        <v>3775</v>
      </c>
      <c r="B740" s="278" t="s">
        <v>3017</v>
      </c>
      <c r="C740" s="278" t="s">
        <v>36</v>
      </c>
      <c r="D740" s="278"/>
      <c r="E740" s="279">
        <v>5.7196074877E10</v>
      </c>
      <c r="F740" s="280">
        <v>2.0</v>
      </c>
      <c r="G740" s="280">
        <v>2.0</v>
      </c>
      <c r="H740" s="280">
        <v>7.0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75" t="s">
        <v>3776</v>
      </c>
      <c r="B741" s="275" t="s">
        <v>3025</v>
      </c>
      <c r="C741" s="275" t="s">
        <v>71</v>
      </c>
      <c r="D741" s="275"/>
      <c r="E741" s="277"/>
      <c r="F741" s="277">
        <v>0.0</v>
      </c>
      <c r="G741" s="277">
        <v>0.0</v>
      </c>
      <c r="H741" s="277">
        <v>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278" t="s">
        <v>3777</v>
      </c>
      <c r="B742" s="278" t="s">
        <v>3027</v>
      </c>
      <c r="C742" s="278" t="s">
        <v>163</v>
      </c>
      <c r="D742" s="278"/>
      <c r="E742" s="279">
        <v>5.7210364205E10</v>
      </c>
      <c r="F742" s="280">
        <v>1.0</v>
      </c>
      <c r="G742" s="280">
        <v>2.0</v>
      </c>
      <c r="H742" s="280">
        <v>1.0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275" t="s">
        <v>3778</v>
      </c>
      <c r="B743" s="275" t="s">
        <v>3023</v>
      </c>
      <c r="C743" s="275" t="s">
        <v>409</v>
      </c>
      <c r="D743" s="275"/>
      <c r="E743" s="276">
        <v>1.55194796E10</v>
      </c>
      <c r="F743" s="277">
        <v>1.0</v>
      </c>
      <c r="G743" s="277">
        <v>5.0</v>
      </c>
      <c r="H743" s="277">
        <v>2.0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78" t="s">
        <v>3779</v>
      </c>
      <c r="B744" s="278" t="s">
        <v>3027</v>
      </c>
      <c r="C744" s="278" t="s">
        <v>272</v>
      </c>
      <c r="D744" s="278"/>
      <c r="E744" s="280"/>
      <c r="F744" s="280">
        <v>0.0</v>
      </c>
      <c r="G744" s="280">
        <v>0.0</v>
      </c>
      <c r="H744" s="280">
        <v>0.0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75" t="s">
        <v>3780</v>
      </c>
      <c r="B745" s="275" t="s">
        <v>3017</v>
      </c>
      <c r="C745" s="275" t="s">
        <v>60</v>
      </c>
      <c r="D745" s="275"/>
      <c r="E745" s="276">
        <v>5.7202455354E10</v>
      </c>
      <c r="F745" s="277">
        <v>1.0</v>
      </c>
      <c r="G745" s="277">
        <v>4.0</v>
      </c>
      <c r="H745" s="277">
        <v>5.0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78" t="s">
        <v>3781</v>
      </c>
      <c r="B746" s="278" t="s">
        <v>3017</v>
      </c>
      <c r="C746" s="278" t="s">
        <v>60</v>
      </c>
      <c r="D746" s="278"/>
      <c r="E746" s="279">
        <v>5.7221818574E10</v>
      </c>
      <c r="F746" s="280">
        <v>1.0</v>
      </c>
      <c r="G746" s="280">
        <v>4.0</v>
      </c>
      <c r="H746" s="280">
        <v>6.0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75" t="s">
        <v>3782</v>
      </c>
      <c r="B747" s="275" t="s">
        <v>3017</v>
      </c>
      <c r="C747" s="275" t="s">
        <v>137</v>
      </c>
      <c r="D747" s="275"/>
      <c r="E747" s="276">
        <v>5.7208645175E10</v>
      </c>
      <c r="F747" s="277">
        <v>1.0</v>
      </c>
      <c r="G747" s="277">
        <v>3.0</v>
      </c>
      <c r="H747" s="277">
        <v>5.0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78" t="s">
        <v>3783</v>
      </c>
      <c r="B748" s="278" t="s">
        <v>3784</v>
      </c>
      <c r="C748" s="278" t="s">
        <v>21</v>
      </c>
      <c r="D748" s="278"/>
      <c r="E748" s="279">
        <v>5.7212031694E10</v>
      </c>
      <c r="F748" s="280">
        <v>1.0</v>
      </c>
      <c r="G748" s="280">
        <v>2.0</v>
      </c>
      <c r="H748" s="280">
        <v>1.0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75" t="s">
        <v>3785</v>
      </c>
      <c r="B749" s="275" t="s">
        <v>3017</v>
      </c>
      <c r="C749" s="275" t="s">
        <v>272</v>
      </c>
      <c r="D749" s="275"/>
      <c r="E749" s="276">
        <v>5.7195976978E10</v>
      </c>
      <c r="F749" s="277">
        <v>3.0</v>
      </c>
      <c r="G749" s="277">
        <v>3.0</v>
      </c>
      <c r="H749" s="277">
        <v>19.0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78" t="s">
        <v>3786</v>
      </c>
      <c r="B750" s="278" t="s">
        <v>3017</v>
      </c>
      <c r="C750" s="278" t="s">
        <v>210</v>
      </c>
      <c r="D750" s="278"/>
      <c r="E750" s="279">
        <v>1.50723425E10</v>
      </c>
      <c r="F750" s="280">
        <v>2.0</v>
      </c>
      <c r="G750" s="280">
        <v>10.0</v>
      </c>
      <c r="H750" s="280">
        <v>10.0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75" t="s">
        <v>3787</v>
      </c>
      <c r="B751" s="275" t="s">
        <v>3021</v>
      </c>
      <c r="C751" s="275" t="s">
        <v>116</v>
      </c>
      <c r="D751" s="275"/>
      <c r="E751" s="277"/>
      <c r="F751" s="277">
        <v>0.0</v>
      </c>
      <c r="G751" s="277">
        <v>0.0</v>
      </c>
      <c r="H751" s="277">
        <v>0.0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78" t="s">
        <v>3788</v>
      </c>
      <c r="B752" s="278" t="s">
        <v>3023</v>
      </c>
      <c r="C752" s="278" t="s">
        <v>60</v>
      </c>
      <c r="D752" s="278"/>
      <c r="E752" s="279">
        <v>3.60216272E10</v>
      </c>
      <c r="F752" s="280">
        <v>1.0</v>
      </c>
      <c r="G752" s="280">
        <v>8.0</v>
      </c>
      <c r="H752" s="280">
        <v>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75" t="s">
        <v>3789</v>
      </c>
      <c r="B753" s="275" t="s">
        <v>3021</v>
      </c>
      <c r="C753" s="275" t="s">
        <v>64</v>
      </c>
      <c r="D753" s="275"/>
      <c r="E753" s="276">
        <v>2.47229409E10</v>
      </c>
      <c r="F753" s="277">
        <v>5.0</v>
      </c>
      <c r="G753" s="277">
        <v>31.0</v>
      </c>
      <c r="H753" s="277">
        <v>53.0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78" t="s">
        <v>3790</v>
      </c>
      <c r="B754" s="278" t="s">
        <v>3023</v>
      </c>
      <c r="C754" s="278" t="s">
        <v>137</v>
      </c>
      <c r="D754" s="278"/>
      <c r="E754" s="280"/>
      <c r="F754" s="280">
        <v>0.0</v>
      </c>
      <c r="G754" s="280">
        <v>0.0</v>
      </c>
      <c r="H754" s="280">
        <v>0.0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75" t="s">
        <v>3791</v>
      </c>
      <c r="B755" s="275" t="s">
        <v>3017</v>
      </c>
      <c r="C755" s="275" t="s">
        <v>186</v>
      </c>
      <c r="D755" s="275"/>
      <c r="E755" s="276">
        <v>5.7194214849E10</v>
      </c>
      <c r="F755" s="277">
        <v>3.0</v>
      </c>
      <c r="G755" s="277">
        <v>11.0</v>
      </c>
      <c r="H755" s="277">
        <v>33.0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78" t="s">
        <v>3792</v>
      </c>
      <c r="B756" s="278" t="s">
        <v>3023</v>
      </c>
      <c r="C756" s="278" t="s">
        <v>218</v>
      </c>
      <c r="D756" s="278"/>
      <c r="E756" s="279">
        <v>5.7211128568E10</v>
      </c>
      <c r="F756" s="280">
        <v>2.0</v>
      </c>
      <c r="G756" s="280">
        <v>3.0</v>
      </c>
      <c r="H756" s="280">
        <v>14.0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75" t="s">
        <v>3793</v>
      </c>
      <c r="B757" s="275" t="s">
        <v>3027</v>
      </c>
      <c r="C757" s="275" t="s">
        <v>60</v>
      </c>
      <c r="D757" s="275"/>
      <c r="E757" s="276">
        <v>5.721102725E10</v>
      </c>
      <c r="F757" s="277">
        <v>2.0</v>
      </c>
      <c r="G757" s="277">
        <v>11.0</v>
      </c>
      <c r="H757" s="277">
        <v>10.0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78" t="s">
        <v>3794</v>
      </c>
      <c r="B758" s="278" t="s">
        <v>3023</v>
      </c>
      <c r="C758" s="278" t="s">
        <v>218</v>
      </c>
      <c r="D758" s="278"/>
      <c r="E758" s="279">
        <v>5.7209322527E10</v>
      </c>
      <c r="F758" s="280">
        <v>4.0</v>
      </c>
      <c r="G758" s="280">
        <v>8.0</v>
      </c>
      <c r="H758" s="280">
        <v>35.0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75" t="s">
        <v>3795</v>
      </c>
      <c r="B759" s="275" t="s">
        <v>3017</v>
      </c>
      <c r="C759" s="275" t="s">
        <v>144</v>
      </c>
      <c r="D759" s="275"/>
      <c r="E759" s="276">
        <v>2.6654033E10</v>
      </c>
      <c r="F759" s="277">
        <v>2.0</v>
      </c>
      <c r="G759" s="277">
        <v>6.0</v>
      </c>
      <c r="H759" s="277">
        <v>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78" t="s">
        <v>3796</v>
      </c>
      <c r="B760" s="278" t="s">
        <v>3027</v>
      </c>
      <c r="C760" s="278" t="s">
        <v>171</v>
      </c>
      <c r="D760" s="278"/>
      <c r="E760" s="280"/>
      <c r="F760" s="280">
        <v>0.0</v>
      </c>
      <c r="G760" s="280">
        <v>0.0</v>
      </c>
      <c r="H760" s="280">
        <v>0.0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75" t="s">
        <v>3797</v>
      </c>
      <c r="B761" s="275" t="s">
        <v>3017</v>
      </c>
      <c r="C761" s="275" t="s">
        <v>171</v>
      </c>
      <c r="D761" s="275"/>
      <c r="E761" s="277"/>
      <c r="F761" s="277">
        <v>0.0</v>
      </c>
      <c r="G761" s="277">
        <v>0.0</v>
      </c>
      <c r="H761" s="277">
        <v>0.0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78" t="s">
        <v>3798</v>
      </c>
      <c r="B762" s="278" t="s">
        <v>3061</v>
      </c>
      <c r="C762" s="278" t="s">
        <v>120</v>
      </c>
      <c r="D762" s="278"/>
      <c r="E762" s="280"/>
      <c r="F762" s="280">
        <v>0.0</v>
      </c>
      <c r="G762" s="280">
        <v>0.0</v>
      </c>
      <c r="H762" s="280">
        <v>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75" t="s">
        <v>3799</v>
      </c>
      <c r="B763" s="275" t="s">
        <v>3027</v>
      </c>
      <c r="C763" s="275" t="s">
        <v>91</v>
      </c>
      <c r="D763" s="275"/>
      <c r="E763" s="277"/>
      <c r="F763" s="277">
        <v>0.0</v>
      </c>
      <c r="G763" s="277">
        <v>0.0</v>
      </c>
      <c r="H763" s="277">
        <v>0.0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78" t="s">
        <v>3800</v>
      </c>
      <c r="B764" s="278" t="s">
        <v>3027</v>
      </c>
      <c r="C764" s="278" t="s">
        <v>41</v>
      </c>
      <c r="D764" s="278"/>
      <c r="E764" s="280"/>
      <c r="F764" s="280">
        <v>0.0</v>
      </c>
      <c r="G764" s="280">
        <v>0.0</v>
      </c>
      <c r="H764" s="280">
        <v>0.0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275" t="s">
        <v>3801</v>
      </c>
      <c r="B765" s="275" t="s">
        <v>3017</v>
      </c>
      <c r="C765" s="275" t="s">
        <v>409</v>
      </c>
      <c r="D765" s="275"/>
      <c r="E765" s="276">
        <v>3.6633269E10</v>
      </c>
      <c r="F765" s="277">
        <v>0.0</v>
      </c>
      <c r="G765" s="277">
        <v>1.0</v>
      </c>
      <c r="H765" s="277">
        <v>0.0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278" t="s">
        <v>3802</v>
      </c>
      <c r="B766" s="278" t="s">
        <v>3023</v>
      </c>
      <c r="C766" s="278" t="s">
        <v>102</v>
      </c>
      <c r="D766" s="278"/>
      <c r="E766" s="279">
        <v>3.65184921E10</v>
      </c>
      <c r="F766" s="280">
        <v>1.0</v>
      </c>
      <c r="G766" s="280">
        <v>7.0</v>
      </c>
      <c r="H766" s="280">
        <v>3.0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75" t="s">
        <v>3803</v>
      </c>
      <c r="B767" s="275" t="s">
        <v>3023</v>
      </c>
      <c r="C767" s="275" t="s">
        <v>41</v>
      </c>
      <c r="D767" s="275"/>
      <c r="E767" s="276">
        <v>5.5386924E10</v>
      </c>
      <c r="F767" s="277">
        <v>2.0</v>
      </c>
      <c r="G767" s="277">
        <v>9.0</v>
      </c>
      <c r="H767" s="277">
        <v>12.0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78" t="s">
        <v>3804</v>
      </c>
      <c r="B768" s="278" t="s">
        <v>3054</v>
      </c>
      <c r="C768" s="278" t="s">
        <v>218</v>
      </c>
      <c r="D768" s="278"/>
      <c r="E768" s="279">
        <v>5.7192544647E10</v>
      </c>
      <c r="F768" s="280">
        <v>0.0</v>
      </c>
      <c r="G768" s="280">
        <v>1.0</v>
      </c>
      <c r="H768" s="280">
        <v>0.0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75" t="s">
        <v>3805</v>
      </c>
      <c r="B769" s="275" t="s">
        <v>3025</v>
      </c>
      <c r="C769" s="275" t="s">
        <v>137</v>
      </c>
      <c r="D769" s="275"/>
      <c r="E769" s="276">
        <v>5.6976296E10</v>
      </c>
      <c r="F769" s="277">
        <v>1.0</v>
      </c>
      <c r="G769" s="277">
        <v>3.0</v>
      </c>
      <c r="H769" s="277">
        <v>3.0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78" t="s">
        <v>3806</v>
      </c>
      <c r="B770" s="278" t="s">
        <v>3017</v>
      </c>
      <c r="C770" s="278" t="s">
        <v>859</v>
      </c>
      <c r="D770" s="278"/>
      <c r="E770" s="280"/>
      <c r="F770" s="280">
        <v>0.0</v>
      </c>
      <c r="G770" s="280">
        <v>0.0</v>
      </c>
      <c r="H770" s="280">
        <v>0.0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275" t="s">
        <v>3807</v>
      </c>
      <c r="B771" s="275" t="s">
        <v>3808</v>
      </c>
      <c r="C771" s="275" t="s">
        <v>144</v>
      </c>
      <c r="D771" s="275"/>
      <c r="E771" s="277"/>
      <c r="F771" s="277">
        <v>0.0</v>
      </c>
      <c r="G771" s="277">
        <v>0.0</v>
      </c>
      <c r="H771" s="277">
        <v>0.0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78" t="s">
        <v>3809</v>
      </c>
      <c r="B772" s="278" t="s">
        <v>3027</v>
      </c>
      <c r="C772" s="278" t="s">
        <v>21</v>
      </c>
      <c r="D772" s="278"/>
      <c r="E772" s="279">
        <v>9.5326361E9</v>
      </c>
      <c r="F772" s="280">
        <v>0.0</v>
      </c>
      <c r="G772" s="280">
        <v>1.0</v>
      </c>
      <c r="H772" s="280">
        <v>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75" t="s">
        <v>3810</v>
      </c>
      <c r="B773" s="275" t="s">
        <v>3025</v>
      </c>
      <c r="C773" s="275" t="s">
        <v>60</v>
      </c>
      <c r="D773" s="275"/>
      <c r="E773" s="277"/>
      <c r="F773" s="277">
        <v>0.0</v>
      </c>
      <c r="G773" s="277">
        <v>0.0</v>
      </c>
      <c r="H773" s="277">
        <v>0.0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78" t="s">
        <v>3811</v>
      </c>
      <c r="B774" s="278" t="s">
        <v>3023</v>
      </c>
      <c r="C774" s="278" t="s">
        <v>409</v>
      </c>
      <c r="D774" s="278"/>
      <c r="E774" s="279">
        <v>7.005972663E9</v>
      </c>
      <c r="F774" s="280">
        <v>3.0</v>
      </c>
      <c r="G774" s="280">
        <v>27.0</v>
      </c>
      <c r="H774" s="280">
        <v>17.0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75" t="s">
        <v>3812</v>
      </c>
      <c r="B775" s="275" t="s">
        <v>3021</v>
      </c>
      <c r="C775" s="275" t="s">
        <v>46</v>
      </c>
      <c r="D775" s="275"/>
      <c r="E775" s="276">
        <v>5.718871084E10</v>
      </c>
      <c r="F775" s="277">
        <v>10.0</v>
      </c>
      <c r="G775" s="277">
        <v>89.0</v>
      </c>
      <c r="H775" s="277">
        <v>209.0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78" t="s">
        <v>3813</v>
      </c>
      <c r="B776" s="278" t="s">
        <v>3017</v>
      </c>
      <c r="C776" s="278" t="s">
        <v>41</v>
      </c>
      <c r="D776" s="278"/>
      <c r="E776" s="279">
        <v>5.7202997528E10</v>
      </c>
      <c r="F776" s="280">
        <v>6.0</v>
      </c>
      <c r="G776" s="280">
        <v>14.0</v>
      </c>
      <c r="H776" s="280">
        <v>71.0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75" t="s">
        <v>3814</v>
      </c>
      <c r="B777" s="275" t="s">
        <v>3027</v>
      </c>
      <c r="C777" s="275" t="s">
        <v>78</v>
      </c>
      <c r="D777" s="275"/>
      <c r="E777" s="277"/>
      <c r="F777" s="277">
        <v>0.0</v>
      </c>
      <c r="G777" s="277">
        <v>0.0</v>
      </c>
      <c r="H777" s="277">
        <v>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278" t="s">
        <v>3815</v>
      </c>
      <c r="B778" s="278" t="s">
        <v>3017</v>
      </c>
      <c r="C778" s="278" t="s">
        <v>21</v>
      </c>
      <c r="D778" s="278"/>
      <c r="E778" s="280"/>
      <c r="F778" s="280">
        <v>0.0</v>
      </c>
      <c r="G778" s="280">
        <v>0.0</v>
      </c>
      <c r="H778" s="280">
        <v>0.0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275" t="s">
        <v>3816</v>
      </c>
      <c r="B779" s="275" t="s">
        <v>3023</v>
      </c>
      <c r="C779" s="275" t="s">
        <v>102</v>
      </c>
      <c r="D779" s="275"/>
      <c r="E779" s="276">
        <v>6.602781297E9</v>
      </c>
      <c r="F779" s="277">
        <v>5.0</v>
      </c>
      <c r="G779" s="277">
        <v>70.0</v>
      </c>
      <c r="H779" s="277">
        <v>79.0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78" t="s">
        <v>3817</v>
      </c>
      <c r="B780" s="278" t="s">
        <v>3025</v>
      </c>
      <c r="C780" s="278" t="s">
        <v>171</v>
      </c>
      <c r="D780" s="278"/>
      <c r="E780" s="280"/>
      <c r="F780" s="280">
        <v>0.0</v>
      </c>
      <c r="G780" s="280">
        <v>0.0</v>
      </c>
      <c r="H780" s="280">
        <v>0.0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75" t="s">
        <v>3818</v>
      </c>
      <c r="B781" s="275" t="s">
        <v>3027</v>
      </c>
      <c r="C781" s="275" t="s">
        <v>91</v>
      </c>
      <c r="D781" s="275"/>
      <c r="E781" s="277"/>
      <c r="F781" s="277">
        <v>0.0</v>
      </c>
      <c r="G781" s="277">
        <v>0.0</v>
      </c>
      <c r="H781" s="277">
        <v>0.0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278" t="s">
        <v>3819</v>
      </c>
      <c r="B782" s="278" t="s">
        <v>3017</v>
      </c>
      <c r="C782" s="278" t="s">
        <v>210</v>
      </c>
      <c r="D782" s="278"/>
      <c r="E782" s="279">
        <v>5.7210095482E10</v>
      </c>
      <c r="F782" s="280">
        <v>0.0</v>
      </c>
      <c r="G782" s="280">
        <v>2.0</v>
      </c>
      <c r="H782" s="280">
        <v>0.0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275" t="s">
        <v>3820</v>
      </c>
      <c r="B783" s="275" t="s">
        <v>3025</v>
      </c>
      <c r="C783" s="275" t="s">
        <v>36</v>
      </c>
      <c r="D783" s="275"/>
      <c r="E783" s="276">
        <v>5.7207779807E10</v>
      </c>
      <c r="F783" s="277">
        <v>3.0</v>
      </c>
      <c r="G783" s="277">
        <v>12.0</v>
      </c>
      <c r="H783" s="277">
        <v>22.0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78" t="s">
        <v>3821</v>
      </c>
      <c r="B784" s="278" t="s">
        <v>3038</v>
      </c>
      <c r="C784" s="278" t="s">
        <v>75</v>
      </c>
      <c r="D784" s="278"/>
      <c r="E784" s="279">
        <v>5.7200139266E10</v>
      </c>
      <c r="F784" s="280">
        <v>1.0</v>
      </c>
      <c r="G784" s="280">
        <v>6.0</v>
      </c>
      <c r="H784" s="280">
        <v>7.0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75" t="s">
        <v>3822</v>
      </c>
      <c r="B785" s="275" t="s">
        <v>3025</v>
      </c>
      <c r="C785" s="275" t="s">
        <v>356</v>
      </c>
      <c r="D785" s="275"/>
      <c r="E785" s="277"/>
      <c r="F785" s="277">
        <v>0.0</v>
      </c>
      <c r="G785" s="277">
        <v>0.0</v>
      </c>
      <c r="H785" s="277">
        <v>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78" t="s">
        <v>3823</v>
      </c>
      <c r="B786" s="278" t="s">
        <v>3017</v>
      </c>
      <c r="C786" s="278" t="s">
        <v>167</v>
      </c>
      <c r="D786" s="278"/>
      <c r="E786" s="279">
        <v>5.7204559813E10</v>
      </c>
      <c r="F786" s="280">
        <v>2.0</v>
      </c>
      <c r="G786" s="280">
        <v>13.0</v>
      </c>
      <c r="H786" s="280">
        <v>16.0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275" t="s">
        <v>3824</v>
      </c>
      <c r="B787" s="275" t="s">
        <v>3017</v>
      </c>
      <c r="C787" s="275" t="s">
        <v>186</v>
      </c>
      <c r="D787" s="275"/>
      <c r="E787" s="276">
        <v>5.61247441E10</v>
      </c>
      <c r="F787" s="277">
        <v>1.0</v>
      </c>
      <c r="G787" s="277">
        <v>2.0</v>
      </c>
      <c r="H787" s="277">
        <v>12.0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78" t="s">
        <v>3825</v>
      </c>
      <c r="B788" s="278" t="s">
        <v>3017</v>
      </c>
      <c r="C788" s="278" t="s">
        <v>41</v>
      </c>
      <c r="D788" s="278"/>
      <c r="E788" s="280"/>
      <c r="F788" s="280">
        <v>0.0</v>
      </c>
      <c r="G788" s="280">
        <v>0.0</v>
      </c>
      <c r="H788" s="280">
        <v>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75" t="s">
        <v>3826</v>
      </c>
      <c r="B789" s="275" t="s">
        <v>3025</v>
      </c>
      <c r="C789" s="275" t="s">
        <v>46</v>
      </c>
      <c r="D789" s="275"/>
      <c r="E789" s="276">
        <v>5.721711351E10</v>
      </c>
      <c r="F789" s="277">
        <v>1.0</v>
      </c>
      <c r="G789" s="277">
        <v>4.0</v>
      </c>
      <c r="H789" s="277">
        <v>1.0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78" t="s">
        <v>3827</v>
      </c>
      <c r="B790" s="278" t="s">
        <v>3017</v>
      </c>
      <c r="C790" s="278" t="s">
        <v>329</v>
      </c>
      <c r="D790" s="278"/>
      <c r="E790" s="279">
        <v>5.7210344486E10</v>
      </c>
      <c r="F790" s="280">
        <v>1.0</v>
      </c>
      <c r="G790" s="280">
        <v>1.0</v>
      </c>
      <c r="H790" s="280">
        <v>1.0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75" t="s">
        <v>3828</v>
      </c>
      <c r="B791" s="275" t="s">
        <v>3017</v>
      </c>
      <c r="C791" s="275" t="s">
        <v>210</v>
      </c>
      <c r="D791" s="275"/>
      <c r="E791" s="276">
        <v>5.7202799599E10</v>
      </c>
      <c r="F791" s="277">
        <v>5.0</v>
      </c>
      <c r="G791" s="277">
        <v>19.0</v>
      </c>
      <c r="H791" s="277">
        <v>48.0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78" t="s">
        <v>3829</v>
      </c>
      <c r="B792" s="278" t="s">
        <v>3017</v>
      </c>
      <c r="C792" s="278" t="s">
        <v>186</v>
      </c>
      <c r="D792" s="278"/>
      <c r="E792" s="279">
        <v>5.720172898E10</v>
      </c>
      <c r="F792" s="280">
        <v>2.0</v>
      </c>
      <c r="G792" s="280">
        <v>11.0</v>
      </c>
      <c r="H792" s="280">
        <v>19.0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75" t="s">
        <v>3830</v>
      </c>
      <c r="B793" s="275" t="s">
        <v>3017</v>
      </c>
      <c r="C793" s="275" t="s">
        <v>137</v>
      </c>
      <c r="D793" s="275"/>
      <c r="E793" s="276">
        <v>2.64315667E10</v>
      </c>
      <c r="F793" s="277">
        <v>3.0</v>
      </c>
      <c r="G793" s="277">
        <v>11.0</v>
      </c>
      <c r="H793" s="277">
        <v>47.0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78" t="s">
        <v>3831</v>
      </c>
      <c r="B794" s="278" t="s">
        <v>3017</v>
      </c>
      <c r="C794" s="278" t="s">
        <v>218</v>
      </c>
      <c r="D794" s="278"/>
      <c r="E794" s="280"/>
      <c r="F794" s="280">
        <v>0.0</v>
      </c>
      <c r="G794" s="280">
        <v>0.0</v>
      </c>
      <c r="H794" s="280">
        <v>0.0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75" t="s">
        <v>3832</v>
      </c>
      <c r="B795" s="275" t="s">
        <v>3017</v>
      </c>
      <c r="C795" s="275" t="s">
        <v>329</v>
      </c>
      <c r="D795" s="275"/>
      <c r="E795" s="277"/>
      <c r="F795" s="277">
        <v>0.0</v>
      </c>
      <c r="G795" s="277">
        <v>0.0</v>
      </c>
      <c r="H795" s="277">
        <v>0.0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85" t="s">
        <v>3833</v>
      </c>
      <c r="B796" s="285" t="s">
        <v>3027</v>
      </c>
      <c r="C796" s="285" t="s">
        <v>41</v>
      </c>
      <c r="D796" s="285"/>
      <c r="E796" s="286">
        <v>5.7207771344E10</v>
      </c>
      <c r="F796" s="287">
        <v>1.0</v>
      </c>
      <c r="G796" s="287">
        <v>5.0</v>
      </c>
      <c r="H796" s="287">
        <v>2.0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75" t="s">
        <v>3834</v>
      </c>
      <c r="B797" s="275" t="s">
        <v>3017</v>
      </c>
      <c r="C797" s="275" t="s">
        <v>144</v>
      </c>
      <c r="D797" s="275"/>
      <c r="E797" s="276">
        <v>5.52255513E10</v>
      </c>
      <c r="F797" s="277">
        <v>0.0</v>
      </c>
      <c r="G797" s="277">
        <v>1.0</v>
      </c>
      <c r="H797" s="277">
        <v>0.0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78" t="s">
        <v>3835</v>
      </c>
      <c r="B798" s="278" t="s">
        <v>3017</v>
      </c>
      <c r="C798" s="278" t="s">
        <v>46</v>
      </c>
      <c r="D798" s="278"/>
      <c r="E798" s="279">
        <v>6.506160916E9</v>
      </c>
      <c r="F798" s="280">
        <v>3.0</v>
      </c>
      <c r="G798" s="280">
        <v>18.0</v>
      </c>
      <c r="H798" s="280">
        <v>16.0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75" t="s">
        <v>3836</v>
      </c>
      <c r="B799" s="275" t="s">
        <v>3038</v>
      </c>
      <c r="C799" s="275" t="s">
        <v>71</v>
      </c>
      <c r="D799" s="275"/>
      <c r="E799" s="276">
        <v>6.602623478E9</v>
      </c>
      <c r="F799" s="277">
        <v>3.0</v>
      </c>
      <c r="G799" s="277">
        <v>8.0</v>
      </c>
      <c r="H799" s="277">
        <v>32.0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278" t="s">
        <v>3837</v>
      </c>
      <c r="B800" s="278" t="s">
        <v>3054</v>
      </c>
      <c r="C800" s="278" t="s">
        <v>60</v>
      </c>
      <c r="D800" s="278"/>
      <c r="E800" s="279">
        <v>5.721633545E10</v>
      </c>
      <c r="F800" s="280">
        <v>1.0</v>
      </c>
      <c r="G800" s="280">
        <v>2.0</v>
      </c>
      <c r="H800" s="280">
        <v>1.0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275" t="s">
        <v>3838</v>
      </c>
      <c r="B801" s="275" t="s">
        <v>3019</v>
      </c>
      <c r="C801" s="275" t="s">
        <v>41</v>
      </c>
      <c r="D801" s="275"/>
      <c r="E801" s="276">
        <v>5.7195590211E10</v>
      </c>
      <c r="F801" s="277">
        <v>4.0</v>
      </c>
      <c r="G801" s="277">
        <v>14.0</v>
      </c>
      <c r="H801" s="277">
        <v>35.0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72" t="s">
        <v>3839</v>
      </c>
      <c r="B802" s="272" t="s">
        <v>3023</v>
      </c>
      <c r="C802" s="272" t="s">
        <v>36</v>
      </c>
      <c r="D802" s="272"/>
      <c r="E802" s="273">
        <v>9.274594E9</v>
      </c>
      <c r="F802" s="274">
        <v>3.0</v>
      </c>
      <c r="G802" s="274">
        <v>13.0</v>
      </c>
      <c r="H802" s="274">
        <v>19.0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75" t="s">
        <v>3840</v>
      </c>
      <c r="B803" s="275" t="s">
        <v>3017</v>
      </c>
      <c r="C803" s="275" t="s">
        <v>36</v>
      </c>
      <c r="D803" s="275"/>
      <c r="E803" s="276">
        <v>5.64859544E10</v>
      </c>
      <c r="F803" s="277">
        <v>1.0</v>
      </c>
      <c r="G803" s="277">
        <v>5.0</v>
      </c>
      <c r="H803" s="277">
        <v>5.0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78" t="s">
        <v>3841</v>
      </c>
      <c r="B804" s="278" t="s">
        <v>3021</v>
      </c>
      <c r="C804" s="278" t="s">
        <v>120</v>
      </c>
      <c r="D804" s="278"/>
      <c r="E804" s="279">
        <v>5.64401133E10</v>
      </c>
      <c r="F804" s="280">
        <v>0.0</v>
      </c>
      <c r="G804" s="280">
        <v>1.0</v>
      </c>
      <c r="H804" s="280">
        <v>0.0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75" t="s">
        <v>3842</v>
      </c>
      <c r="B805" s="275" t="s">
        <v>3017</v>
      </c>
      <c r="C805" s="275" t="s">
        <v>594</v>
      </c>
      <c r="D805" s="275"/>
      <c r="E805" s="276">
        <v>6.507966386E9</v>
      </c>
      <c r="F805" s="277">
        <v>2.0</v>
      </c>
      <c r="G805" s="277">
        <v>4.0</v>
      </c>
      <c r="H805" s="277">
        <v>6.0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78" t="s">
        <v>3843</v>
      </c>
      <c r="B806" s="278" t="s">
        <v>3027</v>
      </c>
      <c r="C806" s="278" t="s">
        <v>64</v>
      </c>
      <c r="D806" s="278"/>
      <c r="E806" s="279">
        <v>5.7210410019E10</v>
      </c>
      <c r="F806" s="280">
        <v>3.0</v>
      </c>
      <c r="G806" s="280">
        <v>3.0</v>
      </c>
      <c r="H806" s="280">
        <v>38.0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275" t="s">
        <v>3844</v>
      </c>
      <c r="B807" s="275" t="s">
        <v>3019</v>
      </c>
      <c r="C807" s="275" t="s">
        <v>356</v>
      </c>
      <c r="D807" s="275"/>
      <c r="E807" s="277"/>
      <c r="F807" s="277">
        <v>0.0</v>
      </c>
      <c r="G807" s="277">
        <v>0.0</v>
      </c>
      <c r="H807" s="277">
        <v>0.0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278" t="s">
        <v>3845</v>
      </c>
      <c r="B808" s="278" t="s">
        <v>3023</v>
      </c>
      <c r="C808" s="278" t="s">
        <v>41</v>
      </c>
      <c r="D808" s="278"/>
      <c r="E808" s="279">
        <v>5.7188703184E10</v>
      </c>
      <c r="F808" s="280">
        <v>3.0</v>
      </c>
      <c r="G808" s="280">
        <v>15.0</v>
      </c>
      <c r="H808" s="280">
        <v>17.0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275" t="s">
        <v>3846</v>
      </c>
      <c r="B809" s="275" t="s">
        <v>3038</v>
      </c>
      <c r="C809" s="275" t="s">
        <v>21</v>
      </c>
      <c r="D809" s="275"/>
      <c r="E809" s="277"/>
      <c r="F809" s="277">
        <v>0.0</v>
      </c>
      <c r="G809" s="277">
        <v>0.0</v>
      </c>
      <c r="H809" s="277">
        <v>0.0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78" t="s">
        <v>3847</v>
      </c>
      <c r="B810" s="278" t="s">
        <v>3025</v>
      </c>
      <c r="C810" s="278" t="s">
        <v>108</v>
      </c>
      <c r="D810" s="278"/>
      <c r="E810" s="279">
        <v>5.7191968075E10</v>
      </c>
      <c r="F810" s="280">
        <v>2.0</v>
      </c>
      <c r="G810" s="280">
        <v>8.0</v>
      </c>
      <c r="H810" s="280">
        <v>9.0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75" t="s">
        <v>3848</v>
      </c>
      <c r="B811" s="275" t="s">
        <v>3017</v>
      </c>
      <c r="C811" s="275" t="s">
        <v>75</v>
      </c>
      <c r="D811" s="275"/>
      <c r="E811" s="276">
        <v>1.53195674E10</v>
      </c>
      <c r="F811" s="277">
        <v>1.0</v>
      </c>
      <c r="G811" s="277">
        <v>7.0</v>
      </c>
      <c r="H811" s="277">
        <v>3.0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78" t="s">
        <v>3849</v>
      </c>
      <c r="B812" s="278" t="s">
        <v>3027</v>
      </c>
      <c r="C812" s="278" t="s">
        <v>218</v>
      </c>
      <c r="D812" s="278"/>
      <c r="E812" s="279">
        <v>5.7195530306E10</v>
      </c>
      <c r="F812" s="280">
        <v>0.0</v>
      </c>
      <c r="G812" s="280">
        <v>2.0</v>
      </c>
      <c r="H812" s="280">
        <v>0.0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75" t="s">
        <v>3850</v>
      </c>
      <c r="B813" s="275" t="s">
        <v>3038</v>
      </c>
      <c r="C813" s="275" t="s">
        <v>3851</v>
      </c>
      <c r="D813" s="275"/>
      <c r="E813" s="277"/>
      <c r="F813" s="277">
        <v>0.0</v>
      </c>
      <c r="G813" s="277">
        <v>0.0</v>
      </c>
      <c r="H813" s="277">
        <v>0.0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78" t="s">
        <v>3852</v>
      </c>
      <c r="B814" s="278" t="s">
        <v>3017</v>
      </c>
      <c r="C814" s="278" t="s">
        <v>120</v>
      </c>
      <c r="D814" s="278"/>
      <c r="E814" s="280"/>
      <c r="F814" s="280">
        <v>0.0</v>
      </c>
      <c r="G814" s="280">
        <v>0.0</v>
      </c>
      <c r="H814" s="280">
        <v>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75" t="s">
        <v>3853</v>
      </c>
      <c r="B815" s="275" t="s">
        <v>3017</v>
      </c>
      <c r="C815" s="275" t="s">
        <v>167</v>
      </c>
      <c r="D815" s="275"/>
      <c r="E815" s="276">
        <v>5.7214222033E10</v>
      </c>
      <c r="F815" s="277">
        <v>2.0</v>
      </c>
      <c r="G815" s="277">
        <v>5.0</v>
      </c>
      <c r="H815" s="277">
        <v>13.0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78" t="s">
        <v>3854</v>
      </c>
      <c r="B816" s="278" t="s">
        <v>3017</v>
      </c>
      <c r="C816" s="278" t="s">
        <v>71</v>
      </c>
      <c r="D816" s="278"/>
      <c r="E816" s="280"/>
      <c r="F816" s="280">
        <v>0.0</v>
      </c>
      <c r="G816" s="280">
        <v>0.0</v>
      </c>
      <c r="H816" s="280">
        <v>0.0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75" t="s">
        <v>3855</v>
      </c>
      <c r="B817" s="275" t="s">
        <v>3017</v>
      </c>
      <c r="C817" s="275" t="s">
        <v>60</v>
      </c>
      <c r="D817" s="275"/>
      <c r="E817" s="277"/>
      <c r="F817" s="277">
        <v>0.0</v>
      </c>
      <c r="G817" s="277">
        <v>0.0</v>
      </c>
      <c r="H817" s="277">
        <v>0.0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78" t="s">
        <v>3856</v>
      </c>
      <c r="B818" s="278" t="s">
        <v>3025</v>
      </c>
      <c r="C818" s="278" t="s">
        <v>71</v>
      </c>
      <c r="D818" s="278"/>
      <c r="E818" s="280"/>
      <c r="F818" s="280">
        <v>0.0</v>
      </c>
      <c r="G818" s="280">
        <v>0.0</v>
      </c>
      <c r="H818" s="280">
        <v>0.0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85" t="s">
        <v>3857</v>
      </c>
      <c r="B819" s="285" t="s">
        <v>3027</v>
      </c>
      <c r="C819" s="285" t="s">
        <v>171</v>
      </c>
      <c r="D819" s="285"/>
      <c r="E819" s="287"/>
      <c r="F819" s="287">
        <v>0.0</v>
      </c>
      <c r="G819" s="287">
        <v>0.0</v>
      </c>
      <c r="H819" s="287">
        <v>0.0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78" t="s">
        <v>3858</v>
      </c>
      <c r="B820" s="278" t="s">
        <v>3017</v>
      </c>
      <c r="C820" s="278" t="s">
        <v>60</v>
      </c>
      <c r="D820" s="278"/>
      <c r="E820" s="279">
        <v>5.7209637824E10</v>
      </c>
      <c r="F820" s="280">
        <v>0.0</v>
      </c>
      <c r="G820" s="280">
        <v>1.0</v>
      </c>
      <c r="H820" s="280">
        <v>0.0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  <col customWidth="1" min="3" max="6" width="14.43"/>
  </cols>
  <sheetData>
    <row r="1">
      <c r="A1" s="288" t="s">
        <v>1</v>
      </c>
      <c r="B1" s="289" t="s">
        <v>3</v>
      </c>
      <c r="C1" s="13"/>
      <c r="D1" s="13"/>
      <c r="E1" s="13"/>
      <c r="F1" s="13"/>
    </row>
    <row r="2">
      <c r="A2" s="14"/>
      <c r="B2" s="14"/>
      <c r="C2" s="13"/>
      <c r="D2" s="13"/>
      <c r="E2" s="13"/>
      <c r="F2" s="13"/>
    </row>
    <row r="3" ht="31.5" customHeight="1">
      <c r="A3" s="290" t="s">
        <v>18</v>
      </c>
      <c r="B3" s="291" t="s">
        <v>20</v>
      </c>
      <c r="C3" s="13"/>
      <c r="D3" s="13"/>
      <c r="E3" s="13"/>
      <c r="F3" s="13"/>
    </row>
    <row r="4" ht="15.75" customHeight="1">
      <c r="A4" s="290" t="s">
        <v>24</v>
      </c>
      <c r="B4" s="291" t="s">
        <v>26</v>
      </c>
      <c r="C4" s="13"/>
      <c r="D4" s="13"/>
      <c r="E4" s="13"/>
      <c r="F4" s="13"/>
    </row>
    <row r="5" ht="31.5" customHeight="1">
      <c r="A5" s="290" t="s">
        <v>29</v>
      </c>
      <c r="B5" s="291" t="s">
        <v>31</v>
      </c>
      <c r="C5" s="13"/>
      <c r="D5" s="13"/>
      <c r="E5" s="13"/>
      <c r="F5" s="13"/>
    </row>
    <row r="6" ht="15.75" customHeight="1">
      <c r="A6" s="290" t="s">
        <v>33</v>
      </c>
      <c r="B6" s="291" t="s">
        <v>35</v>
      </c>
      <c r="C6" s="13"/>
      <c r="D6" s="13"/>
      <c r="E6" s="13"/>
      <c r="F6" s="13"/>
    </row>
    <row r="7" ht="31.5" customHeight="1">
      <c r="A7" s="290" t="s">
        <v>38</v>
      </c>
      <c r="B7" s="292" t="s">
        <v>40</v>
      </c>
      <c r="C7" s="13"/>
      <c r="D7" s="13"/>
      <c r="E7" s="13"/>
      <c r="F7" s="13"/>
    </row>
    <row r="8" ht="31.5" customHeight="1">
      <c r="A8" s="290" t="s">
        <v>43</v>
      </c>
      <c r="B8" s="291" t="s">
        <v>45</v>
      </c>
      <c r="C8" s="13"/>
      <c r="D8" s="13"/>
      <c r="E8" s="13"/>
      <c r="F8" s="13"/>
    </row>
    <row r="9" ht="31.5" customHeight="1">
      <c r="A9" s="290" t="s">
        <v>48</v>
      </c>
      <c r="B9" s="291" t="s">
        <v>50</v>
      </c>
      <c r="C9" s="13"/>
      <c r="D9" s="13"/>
      <c r="E9" s="13"/>
      <c r="F9" s="13"/>
    </row>
    <row r="10" ht="31.5" customHeight="1">
      <c r="A10" s="290" t="s">
        <v>53</v>
      </c>
      <c r="B10" s="291" t="s">
        <v>55</v>
      </c>
      <c r="C10" s="13"/>
      <c r="D10" s="13"/>
      <c r="E10" s="13"/>
      <c r="F10" s="13"/>
    </row>
    <row r="11" ht="15.75" customHeight="1">
      <c r="A11" s="290" t="s">
        <v>57</v>
      </c>
      <c r="B11" s="291" t="s">
        <v>59</v>
      </c>
      <c r="C11" s="13"/>
      <c r="D11" s="13"/>
      <c r="E11" s="13"/>
      <c r="F11" s="13"/>
    </row>
    <row r="12" ht="31.5" customHeight="1">
      <c r="A12" s="290" t="s">
        <v>61</v>
      </c>
      <c r="B12" s="291" t="s">
        <v>63</v>
      </c>
      <c r="C12" s="13"/>
      <c r="D12" s="13"/>
      <c r="E12" s="13"/>
      <c r="F12" s="13"/>
    </row>
    <row r="13" ht="31.5" customHeight="1">
      <c r="A13" s="290" t="s">
        <v>66</v>
      </c>
      <c r="B13" s="293"/>
      <c r="C13" s="13"/>
      <c r="D13" s="13"/>
      <c r="E13" s="13"/>
      <c r="F13" s="13"/>
    </row>
    <row r="14" ht="15.75" customHeight="1">
      <c r="A14" s="290" t="s">
        <v>72</v>
      </c>
      <c r="B14" s="291" t="s">
        <v>74</v>
      </c>
      <c r="C14" s="13"/>
      <c r="D14" s="13"/>
      <c r="E14" s="13"/>
      <c r="F14" s="13"/>
    </row>
    <row r="15" ht="15.75" customHeight="1">
      <c r="A15" s="290" t="s">
        <v>77</v>
      </c>
      <c r="B15" s="293"/>
      <c r="C15" s="13"/>
      <c r="D15" s="13"/>
      <c r="E15" s="13"/>
      <c r="F15" s="13"/>
    </row>
    <row r="16" ht="15.75" customHeight="1">
      <c r="A16" s="290" t="s">
        <v>80</v>
      </c>
      <c r="B16" s="293"/>
      <c r="C16" s="13"/>
      <c r="D16" s="13"/>
      <c r="E16" s="13"/>
      <c r="F16" s="13"/>
    </row>
    <row r="17" ht="31.5" customHeight="1">
      <c r="A17" s="290" t="s">
        <v>81</v>
      </c>
      <c r="B17" s="294" t="s">
        <v>83</v>
      </c>
      <c r="C17" s="13"/>
      <c r="D17" s="13"/>
      <c r="E17" s="13"/>
      <c r="F17" s="13"/>
    </row>
    <row r="18" ht="31.5" customHeight="1">
      <c r="A18" s="290" t="s">
        <v>85</v>
      </c>
      <c r="B18" s="294" t="s">
        <v>87</v>
      </c>
      <c r="C18" s="13"/>
      <c r="D18" s="13"/>
      <c r="E18" s="13"/>
      <c r="F18" s="13"/>
    </row>
    <row r="19" ht="15.75" customHeight="1">
      <c r="A19" s="290" t="s">
        <v>89</v>
      </c>
      <c r="B19" s="293"/>
      <c r="C19" s="13"/>
      <c r="D19" s="13"/>
      <c r="E19" s="13"/>
      <c r="F19" s="13"/>
    </row>
    <row r="20" ht="15.75" customHeight="1">
      <c r="A20" s="290" t="s">
        <v>92</v>
      </c>
      <c r="B20" s="293"/>
      <c r="C20" s="13"/>
      <c r="D20" s="13"/>
      <c r="E20" s="13"/>
      <c r="F20" s="13"/>
    </row>
    <row r="21" ht="15.75" customHeight="1">
      <c r="A21" s="290" t="s">
        <v>95</v>
      </c>
      <c r="B21" s="294" t="s">
        <v>97</v>
      </c>
      <c r="C21" s="13"/>
      <c r="D21" s="13"/>
      <c r="E21" s="13"/>
      <c r="F21" s="13"/>
    </row>
    <row r="22" ht="15.75" customHeight="1">
      <c r="A22" s="290" t="s">
        <v>99</v>
      </c>
      <c r="B22" s="293"/>
      <c r="C22" s="13"/>
      <c r="D22" s="13"/>
      <c r="E22" s="13"/>
      <c r="F22" s="13"/>
    </row>
    <row r="23" ht="15.75" customHeight="1">
      <c r="A23" s="290" t="s">
        <v>104</v>
      </c>
      <c r="B23" s="293"/>
      <c r="C23" s="13"/>
      <c r="D23" s="13"/>
      <c r="E23" s="13"/>
      <c r="F23" s="13"/>
    </row>
    <row r="24" ht="15.75" customHeight="1">
      <c r="A24" s="290" t="s">
        <v>105</v>
      </c>
      <c r="B24" s="291" t="s">
        <v>107</v>
      </c>
      <c r="C24" s="13"/>
      <c r="D24" s="13"/>
      <c r="E24" s="13"/>
      <c r="F24" s="13"/>
    </row>
    <row r="25" ht="15.75" customHeight="1">
      <c r="A25" s="290" t="s">
        <v>110</v>
      </c>
      <c r="B25" s="291" t="s">
        <v>112</v>
      </c>
      <c r="C25" s="13"/>
      <c r="D25" s="13"/>
      <c r="E25" s="13"/>
      <c r="F25" s="13"/>
    </row>
    <row r="26" ht="15.75" customHeight="1">
      <c r="A26" s="290" t="s">
        <v>114</v>
      </c>
      <c r="B26" s="293"/>
      <c r="C26" s="13"/>
      <c r="D26" s="13"/>
      <c r="E26" s="13"/>
      <c r="F26" s="13"/>
    </row>
    <row r="27" ht="15.75" customHeight="1">
      <c r="A27" s="290" t="s">
        <v>118</v>
      </c>
      <c r="B27" s="293"/>
      <c r="C27" s="13"/>
      <c r="D27" s="13"/>
      <c r="E27" s="13"/>
      <c r="F27" s="13"/>
    </row>
    <row r="28" ht="15.75" customHeight="1">
      <c r="A28" s="290" t="s">
        <v>121</v>
      </c>
      <c r="B28" s="293"/>
      <c r="C28" s="13"/>
      <c r="D28" s="13"/>
      <c r="E28" s="13"/>
      <c r="F28" s="13"/>
    </row>
    <row r="29" ht="15.75" customHeight="1">
      <c r="A29" s="290" t="s">
        <v>122</v>
      </c>
      <c r="B29" s="291" t="s">
        <v>124</v>
      </c>
      <c r="C29" s="13"/>
      <c r="D29" s="13"/>
      <c r="E29" s="13"/>
      <c r="F29" s="13"/>
    </row>
    <row r="30" ht="15.75" customHeight="1">
      <c r="A30" s="290" t="s">
        <v>126</v>
      </c>
      <c r="B30" s="293"/>
      <c r="C30" s="13"/>
      <c r="D30" s="13"/>
      <c r="E30" s="13"/>
      <c r="F30" s="13"/>
    </row>
    <row r="31" ht="15.75" customHeight="1">
      <c r="A31" s="290" t="s">
        <v>129</v>
      </c>
      <c r="B31" s="291" t="s">
        <v>131</v>
      </c>
      <c r="C31" s="13"/>
      <c r="D31" s="13"/>
      <c r="E31" s="13"/>
      <c r="F31" s="13"/>
    </row>
    <row r="32" ht="15.75" customHeight="1">
      <c r="A32" s="290" t="s">
        <v>3859</v>
      </c>
      <c r="B32" s="293"/>
      <c r="C32" s="13"/>
      <c r="D32" s="13"/>
      <c r="E32" s="13"/>
      <c r="F32" s="13"/>
    </row>
    <row r="33" ht="15.75" customHeight="1">
      <c r="A33" s="290" t="s">
        <v>134</v>
      </c>
      <c r="B33" s="291" t="s">
        <v>136</v>
      </c>
      <c r="C33" s="13"/>
      <c r="D33" s="13"/>
      <c r="E33" s="13"/>
      <c r="F33" s="13"/>
    </row>
    <row r="34" ht="15.75" customHeight="1">
      <c r="A34" s="290" t="s">
        <v>139</v>
      </c>
      <c r="B34" s="293"/>
      <c r="C34" s="13"/>
      <c r="D34" s="13"/>
      <c r="E34" s="13"/>
      <c r="F34" s="13"/>
    </row>
    <row r="35" ht="15.75" customHeight="1">
      <c r="A35" s="290" t="s">
        <v>141</v>
      </c>
      <c r="B35" s="291" t="s">
        <v>143</v>
      </c>
      <c r="C35" s="13"/>
      <c r="D35" s="13"/>
      <c r="E35" s="13"/>
      <c r="F35" s="13"/>
    </row>
    <row r="36" ht="15.75" customHeight="1">
      <c r="A36" s="290" t="s">
        <v>146</v>
      </c>
      <c r="B36" s="291" t="s">
        <v>148</v>
      </c>
      <c r="C36" s="13"/>
      <c r="D36" s="13"/>
      <c r="E36" s="13"/>
      <c r="F36" s="13"/>
    </row>
    <row r="37" ht="15.75" customHeight="1">
      <c r="A37" s="290" t="s">
        <v>150</v>
      </c>
      <c r="B37" s="293"/>
      <c r="C37" s="13"/>
      <c r="D37" s="13"/>
      <c r="E37" s="13"/>
      <c r="F37" s="13"/>
    </row>
    <row r="38" ht="15.75" customHeight="1">
      <c r="A38" s="290" t="s">
        <v>152</v>
      </c>
      <c r="B38" s="291" t="s">
        <v>154</v>
      </c>
      <c r="C38" s="13"/>
      <c r="D38" s="13"/>
      <c r="E38" s="13"/>
      <c r="F38" s="13"/>
    </row>
    <row r="39" ht="15.75" customHeight="1">
      <c r="A39" s="290" t="s">
        <v>156</v>
      </c>
      <c r="B39" s="291" t="s">
        <v>158</v>
      </c>
      <c r="C39" s="13"/>
      <c r="D39" s="13"/>
      <c r="E39" s="13"/>
      <c r="F39" s="13"/>
    </row>
    <row r="40" ht="15.75" customHeight="1">
      <c r="A40" s="290" t="s">
        <v>160</v>
      </c>
      <c r="B40" s="291" t="s">
        <v>162</v>
      </c>
      <c r="C40" s="13"/>
      <c r="D40" s="13"/>
      <c r="E40" s="13"/>
      <c r="F40" s="13"/>
    </row>
    <row r="41" ht="15.75" customHeight="1">
      <c r="A41" s="290" t="s">
        <v>165</v>
      </c>
      <c r="B41" s="291" t="s">
        <v>166</v>
      </c>
      <c r="C41" s="13"/>
      <c r="D41" s="13"/>
      <c r="E41" s="13"/>
      <c r="F41" s="13"/>
    </row>
    <row r="42" ht="15.75" customHeight="1">
      <c r="A42" s="290" t="s">
        <v>169</v>
      </c>
      <c r="B42" s="293"/>
      <c r="C42" s="13"/>
      <c r="D42" s="13"/>
      <c r="E42" s="13"/>
      <c r="F42" s="13"/>
    </row>
    <row r="43" ht="15.75" customHeight="1">
      <c r="A43" s="290" t="s">
        <v>172</v>
      </c>
      <c r="B43" s="291" t="s">
        <v>174</v>
      </c>
      <c r="C43" s="13"/>
      <c r="D43" s="13"/>
      <c r="E43" s="13"/>
      <c r="F43" s="13"/>
    </row>
    <row r="44" ht="15.75" customHeight="1">
      <c r="A44" s="290" t="s">
        <v>176</v>
      </c>
      <c r="B44" s="293"/>
      <c r="C44" s="13"/>
      <c r="D44" s="13"/>
      <c r="E44" s="13"/>
      <c r="F44" s="13"/>
    </row>
    <row r="45" ht="15.75" customHeight="1">
      <c r="A45" s="290" t="s">
        <v>178</v>
      </c>
      <c r="B45" s="293"/>
      <c r="C45" s="13"/>
      <c r="D45" s="13"/>
      <c r="E45" s="13"/>
      <c r="F45" s="13"/>
    </row>
    <row r="46" ht="15.75" customHeight="1">
      <c r="A46" s="290" t="s">
        <v>180</v>
      </c>
      <c r="B46" s="291" t="s">
        <v>182</v>
      </c>
      <c r="C46" s="13"/>
      <c r="D46" s="13"/>
      <c r="E46" s="13"/>
      <c r="F46" s="13"/>
    </row>
    <row r="47" ht="15.75" customHeight="1">
      <c r="A47" s="290" t="s">
        <v>184</v>
      </c>
      <c r="B47" s="291" t="s">
        <v>185</v>
      </c>
      <c r="C47" s="13"/>
      <c r="D47" s="13"/>
      <c r="E47" s="13"/>
      <c r="F47" s="13"/>
    </row>
    <row r="48" ht="15.75" customHeight="1">
      <c r="A48" s="290" t="s">
        <v>188</v>
      </c>
      <c r="B48" s="293"/>
      <c r="C48" s="13"/>
      <c r="D48" s="13"/>
      <c r="E48" s="13"/>
      <c r="F48" s="13"/>
    </row>
    <row r="49" ht="15.75" customHeight="1">
      <c r="A49" s="290" t="s">
        <v>192</v>
      </c>
      <c r="B49" s="293"/>
      <c r="C49" s="13"/>
      <c r="D49" s="13"/>
      <c r="E49" s="13"/>
      <c r="F49" s="13"/>
    </row>
    <row r="50" ht="15.75" customHeight="1">
      <c r="A50" s="290" t="s">
        <v>194</v>
      </c>
      <c r="B50" s="293"/>
      <c r="C50" s="13"/>
      <c r="D50" s="13"/>
      <c r="E50" s="13"/>
      <c r="F50" s="13"/>
    </row>
    <row r="51" ht="15.75" customHeight="1">
      <c r="A51" s="290" t="s">
        <v>195</v>
      </c>
      <c r="B51" s="293"/>
      <c r="C51" s="13"/>
      <c r="D51" s="13"/>
      <c r="E51" s="13"/>
      <c r="F51" s="13"/>
    </row>
    <row r="52" ht="15.75" customHeight="1">
      <c r="A52" s="290" t="s">
        <v>199</v>
      </c>
      <c r="B52" s="291" t="s">
        <v>201</v>
      </c>
      <c r="C52" s="13"/>
      <c r="D52" s="13"/>
      <c r="E52" s="13"/>
      <c r="F52" s="13"/>
    </row>
    <row r="53" ht="15.75" customHeight="1">
      <c r="A53" s="290" t="s">
        <v>203</v>
      </c>
      <c r="B53" s="291" t="s">
        <v>205</v>
      </c>
      <c r="C53" s="13"/>
      <c r="D53" s="13"/>
      <c r="E53" s="13"/>
      <c r="F53" s="13"/>
    </row>
    <row r="54" ht="15.75" customHeight="1">
      <c r="A54" s="290" t="s">
        <v>207</v>
      </c>
      <c r="B54" s="291" t="s">
        <v>209</v>
      </c>
      <c r="C54" s="13"/>
      <c r="D54" s="13"/>
      <c r="E54" s="13"/>
      <c r="F54" s="13"/>
    </row>
    <row r="55" ht="15.75" customHeight="1">
      <c r="A55" s="290" t="s">
        <v>212</v>
      </c>
      <c r="B55" s="293"/>
      <c r="C55" s="13"/>
      <c r="D55" s="13"/>
      <c r="E55" s="13"/>
      <c r="F55" s="13"/>
    </row>
    <row r="56" ht="15.75" customHeight="1">
      <c r="A56" s="290" t="s">
        <v>215</v>
      </c>
      <c r="B56" s="293"/>
      <c r="C56" s="13"/>
      <c r="D56" s="13"/>
      <c r="E56" s="13"/>
      <c r="F56" s="13"/>
    </row>
    <row r="57" ht="15.75" customHeight="1">
      <c r="A57" s="290" t="s">
        <v>220</v>
      </c>
      <c r="B57" s="293"/>
      <c r="C57" s="13"/>
      <c r="D57" s="13"/>
      <c r="E57" s="13"/>
      <c r="F57" s="13"/>
    </row>
    <row r="58" ht="15.75" customHeight="1">
      <c r="A58" s="290" t="s">
        <v>222</v>
      </c>
      <c r="B58" s="291" t="s">
        <v>224</v>
      </c>
      <c r="C58" s="13"/>
      <c r="D58" s="13"/>
      <c r="E58" s="13"/>
      <c r="F58" s="13"/>
    </row>
    <row r="59" ht="15.75" customHeight="1">
      <c r="A59" s="290" t="s">
        <v>229</v>
      </c>
      <c r="B59" s="293"/>
      <c r="C59" s="13"/>
      <c r="D59" s="13"/>
      <c r="E59" s="13"/>
      <c r="F59" s="13"/>
    </row>
    <row r="60" ht="15.75" customHeight="1">
      <c r="A60" s="290" t="s">
        <v>231</v>
      </c>
      <c r="B60" s="293"/>
      <c r="C60" s="13"/>
      <c r="D60" s="13"/>
      <c r="E60" s="13"/>
      <c r="F60" s="13"/>
    </row>
    <row r="61" ht="15.75" customHeight="1">
      <c r="A61" s="290" t="s">
        <v>234</v>
      </c>
      <c r="B61" s="291" t="s">
        <v>236</v>
      </c>
      <c r="C61" s="13"/>
      <c r="D61" s="13"/>
      <c r="E61" s="13"/>
      <c r="F61" s="13"/>
    </row>
    <row r="62" ht="15.75" customHeight="1">
      <c r="A62" s="290" t="s">
        <v>238</v>
      </c>
      <c r="B62" s="291" t="s">
        <v>240</v>
      </c>
      <c r="C62" s="13"/>
      <c r="D62" s="13"/>
      <c r="E62" s="13"/>
      <c r="F62" s="13"/>
    </row>
    <row r="63" ht="15.75" customHeight="1">
      <c r="A63" s="290" t="s">
        <v>242</v>
      </c>
      <c r="B63" s="291" t="s">
        <v>244</v>
      </c>
      <c r="C63" s="13"/>
      <c r="D63" s="13"/>
      <c r="E63" s="13"/>
      <c r="F63" s="13"/>
    </row>
    <row r="64" ht="15.75" customHeight="1">
      <c r="A64" s="290" t="s">
        <v>3860</v>
      </c>
      <c r="B64" s="293"/>
      <c r="C64" s="13"/>
      <c r="D64" s="13"/>
      <c r="E64" s="13"/>
      <c r="F64" s="13"/>
    </row>
    <row r="65" ht="15.75" customHeight="1">
      <c r="A65" s="290" t="s">
        <v>250</v>
      </c>
      <c r="B65" s="293"/>
      <c r="C65" s="13"/>
      <c r="D65" s="13"/>
      <c r="E65" s="13"/>
      <c r="F65" s="13"/>
    </row>
    <row r="66" ht="15.75" customHeight="1">
      <c r="A66" s="290" t="s">
        <v>253</v>
      </c>
      <c r="B66" s="291" t="s">
        <v>255</v>
      </c>
      <c r="C66" s="13"/>
      <c r="D66" s="13"/>
      <c r="E66" s="13"/>
      <c r="F66" s="13"/>
    </row>
    <row r="67" ht="15.75" customHeight="1">
      <c r="A67" s="290" t="s">
        <v>257</v>
      </c>
      <c r="B67" s="293"/>
      <c r="C67" s="13"/>
      <c r="D67" s="13"/>
      <c r="E67" s="13"/>
      <c r="F67" s="13"/>
    </row>
    <row r="68" ht="15.75" customHeight="1">
      <c r="A68" s="290" t="s">
        <v>259</v>
      </c>
      <c r="B68" s="291" t="s">
        <v>261</v>
      </c>
      <c r="C68" s="13"/>
      <c r="D68" s="13"/>
      <c r="E68" s="13"/>
      <c r="F68" s="13"/>
    </row>
    <row r="69" ht="15.75" customHeight="1">
      <c r="A69" s="290" t="s">
        <v>263</v>
      </c>
      <c r="B69" s="291" t="s">
        <v>265</v>
      </c>
      <c r="C69" s="13"/>
      <c r="D69" s="13"/>
      <c r="E69" s="13"/>
      <c r="F69" s="13"/>
    </row>
    <row r="70" ht="15.75" customHeight="1">
      <c r="A70" s="290" t="s">
        <v>267</v>
      </c>
      <c r="B70" s="291" t="s">
        <v>269</v>
      </c>
      <c r="C70" s="13"/>
      <c r="D70" s="13"/>
      <c r="E70" s="13"/>
      <c r="F70" s="13"/>
    </row>
    <row r="71" ht="15.75" customHeight="1">
      <c r="A71" s="290" t="s">
        <v>271</v>
      </c>
      <c r="B71" s="293"/>
      <c r="C71" s="13"/>
      <c r="D71" s="13"/>
      <c r="E71" s="13"/>
      <c r="F71" s="13"/>
    </row>
    <row r="72" ht="15.75" customHeight="1">
      <c r="A72" s="290" t="s">
        <v>273</v>
      </c>
      <c r="B72" s="293"/>
      <c r="C72" s="13"/>
      <c r="D72" s="13"/>
      <c r="E72" s="13"/>
      <c r="F72" s="13"/>
    </row>
    <row r="73" ht="15.75" customHeight="1">
      <c r="A73" s="290" t="s">
        <v>277</v>
      </c>
      <c r="B73" s="291" t="s">
        <v>279</v>
      </c>
      <c r="C73" s="13"/>
      <c r="D73" s="13"/>
      <c r="E73" s="13"/>
      <c r="F73" s="13"/>
    </row>
    <row r="74" ht="15.75" customHeight="1">
      <c r="A74" s="290" t="s">
        <v>281</v>
      </c>
      <c r="B74" s="293"/>
      <c r="C74" s="13"/>
      <c r="D74" s="13"/>
      <c r="E74" s="13"/>
      <c r="F74" s="13"/>
    </row>
    <row r="75" ht="15.75" customHeight="1">
      <c r="A75" s="290" t="s">
        <v>282</v>
      </c>
      <c r="B75" s="293"/>
      <c r="C75" s="13"/>
      <c r="D75" s="13"/>
      <c r="E75" s="13"/>
      <c r="F75" s="13"/>
    </row>
    <row r="76" ht="15.75" customHeight="1">
      <c r="A76" s="290" t="s">
        <v>283</v>
      </c>
      <c r="B76" s="293"/>
      <c r="C76" s="13"/>
      <c r="D76" s="13"/>
      <c r="E76" s="13"/>
      <c r="F76" s="13"/>
    </row>
    <row r="77" ht="15.75" customHeight="1">
      <c r="A77" s="290" t="s">
        <v>285</v>
      </c>
      <c r="B77" s="293"/>
      <c r="C77" s="13"/>
      <c r="D77" s="13"/>
      <c r="E77" s="13"/>
      <c r="F77" s="13"/>
    </row>
    <row r="78" ht="15.75" customHeight="1">
      <c r="A78" s="290" t="s">
        <v>287</v>
      </c>
      <c r="B78" s="293"/>
      <c r="C78" s="13"/>
      <c r="D78" s="13"/>
      <c r="E78" s="13"/>
      <c r="F78" s="13"/>
    </row>
    <row r="79" ht="15.75" customHeight="1">
      <c r="A79" s="290" t="s">
        <v>3861</v>
      </c>
      <c r="B79" s="291" t="s">
        <v>291</v>
      </c>
      <c r="C79" s="13"/>
      <c r="D79" s="13"/>
      <c r="E79" s="13"/>
      <c r="F79" s="13"/>
    </row>
    <row r="80" ht="15.75" customHeight="1">
      <c r="A80" s="290" t="s">
        <v>294</v>
      </c>
      <c r="B80" s="291" t="s">
        <v>296</v>
      </c>
      <c r="C80" s="13"/>
      <c r="D80" s="13"/>
      <c r="E80" s="13"/>
      <c r="F80" s="13"/>
    </row>
    <row r="81" ht="15.75" customHeight="1">
      <c r="A81" s="290" t="s">
        <v>298</v>
      </c>
      <c r="B81" s="293"/>
      <c r="C81" s="13"/>
      <c r="D81" s="13"/>
      <c r="E81" s="13"/>
      <c r="F81" s="13"/>
    </row>
    <row r="82" ht="15.75" customHeight="1">
      <c r="A82" s="290" t="s">
        <v>300</v>
      </c>
      <c r="B82" s="293"/>
      <c r="C82" s="13"/>
      <c r="D82" s="13"/>
      <c r="E82" s="13"/>
      <c r="F82" s="13"/>
    </row>
    <row r="83" ht="15.75" customHeight="1">
      <c r="A83" s="290" t="s">
        <v>302</v>
      </c>
      <c r="B83" s="293"/>
      <c r="C83" s="13"/>
      <c r="D83" s="13"/>
      <c r="E83" s="13"/>
      <c r="F83" s="13"/>
    </row>
    <row r="84" ht="15.75" customHeight="1">
      <c r="A84" s="290" t="s">
        <v>303</v>
      </c>
      <c r="B84" s="291" t="s">
        <v>304</v>
      </c>
      <c r="C84" s="13"/>
      <c r="D84" s="13"/>
      <c r="E84" s="13"/>
      <c r="F84" s="13"/>
    </row>
    <row r="85" ht="15.75" customHeight="1">
      <c r="A85" s="290" t="s">
        <v>306</v>
      </c>
      <c r="B85" s="291" t="s">
        <v>308</v>
      </c>
      <c r="C85" s="13"/>
      <c r="D85" s="13"/>
      <c r="E85" s="13"/>
      <c r="F85" s="13"/>
    </row>
    <row r="86" ht="15.75" customHeight="1">
      <c r="A86" s="290" t="s">
        <v>310</v>
      </c>
      <c r="B86" s="291" t="s">
        <v>312</v>
      </c>
      <c r="C86" s="13"/>
      <c r="D86" s="13"/>
      <c r="E86" s="13"/>
      <c r="F86" s="13"/>
    </row>
    <row r="87" ht="15.75" customHeight="1">
      <c r="A87" s="290" t="s">
        <v>314</v>
      </c>
      <c r="B87" s="291" t="s">
        <v>316</v>
      </c>
      <c r="C87" s="13"/>
      <c r="D87" s="13"/>
      <c r="E87" s="13"/>
      <c r="F87" s="13"/>
    </row>
    <row r="88" ht="15.75" customHeight="1">
      <c r="A88" s="290" t="s">
        <v>318</v>
      </c>
      <c r="B88" s="293"/>
      <c r="C88" s="13"/>
      <c r="D88" s="13"/>
      <c r="E88" s="13"/>
      <c r="F88" s="13"/>
    </row>
    <row r="89" ht="15.75" customHeight="1">
      <c r="A89" s="290" t="s">
        <v>321</v>
      </c>
      <c r="B89" s="293"/>
      <c r="C89" s="13"/>
      <c r="D89" s="13"/>
      <c r="E89" s="13"/>
      <c r="F89" s="13"/>
    </row>
    <row r="90" ht="15.75" customHeight="1">
      <c r="A90" s="290" t="s">
        <v>323</v>
      </c>
      <c r="B90" s="291" t="s">
        <v>324</v>
      </c>
      <c r="C90" s="13"/>
      <c r="D90" s="13"/>
      <c r="E90" s="13"/>
      <c r="F90" s="13"/>
    </row>
    <row r="91" ht="15.75" customHeight="1">
      <c r="A91" s="290" t="s">
        <v>326</v>
      </c>
      <c r="B91" s="291" t="s">
        <v>328</v>
      </c>
      <c r="C91" s="13"/>
      <c r="D91" s="13"/>
      <c r="E91" s="13"/>
      <c r="F91" s="13"/>
    </row>
    <row r="92" ht="15.75" customHeight="1">
      <c r="A92" s="290" t="s">
        <v>331</v>
      </c>
      <c r="B92" s="291" t="s">
        <v>333</v>
      </c>
      <c r="C92" s="13"/>
      <c r="D92" s="13"/>
      <c r="E92" s="13"/>
      <c r="F92" s="13"/>
    </row>
    <row r="93" ht="15.75" customHeight="1">
      <c r="A93" s="290" t="s">
        <v>335</v>
      </c>
      <c r="B93" s="291" t="s">
        <v>337</v>
      </c>
      <c r="C93" s="13"/>
      <c r="D93" s="13"/>
      <c r="E93" s="13"/>
      <c r="F93" s="13"/>
    </row>
    <row r="94" ht="15.75" customHeight="1">
      <c r="A94" s="290" t="s">
        <v>339</v>
      </c>
      <c r="B94" s="293"/>
      <c r="C94" s="13"/>
      <c r="D94" s="13"/>
      <c r="E94" s="13"/>
      <c r="F94" s="13"/>
    </row>
    <row r="95" ht="15.75" customHeight="1">
      <c r="A95" s="290" t="s">
        <v>341</v>
      </c>
      <c r="B95" s="291" t="s">
        <v>343</v>
      </c>
      <c r="C95" s="13"/>
      <c r="D95" s="13"/>
      <c r="E95" s="13"/>
      <c r="F95" s="13"/>
    </row>
    <row r="96" ht="15.75" customHeight="1">
      <c r="A96" s="290" t="s">
        <v>345</v>
      </c>
      <c r="B96" s="291" t="s">
        <v>347</v>
      </c>
      <c r="C96" s="13"/>
      <c r="D96" s="13"/>
      <c r="E96" s="13"/>
      <c r="F96" s="13"/>
    </row>
    <row r="97" ht="15.75" customHeight="1">
      <c r="A97" s="290" t="s">
        <v>349</v>
      </c>
      <c r="B97" s="291" t="s">
        <v>351</v>
      </c>
      <c r="C97" s="13"/>
      <c r="D97" s="13"/>
      <c r="E97" s="13"/>
      <c r="F97" s="13"/>
    </row>
    <row r="98" ht="15.75" customHeight="1">
      <c r="A98" s="290" t="s">
        <v>353</v>
      </c>
      <c r="B98" s="291" t="s">
        <v>355</v>
      </c>
      <c r="C98" s="13"/>
      <c r="D98" s="13"/>
      <c r="E98" s="13"/>
      <c r="F98" s="13"/>
    </row>
    <row r="99" ht="15.75" customHeight="1">
      <c r="A99" s="290" t="s">
        <v>358</v>
      </c>
      <c r="B99" s="291" t="s">
        <v>360</v>
      </c>
      <c r="C99" s="13"/>
      <c r="D99" s="13"/>
      <c r="E99" s="13"/>
      <c r="F99" s="13"/>
    </row>
    <row r="100" ht="15.75" customHeight="1">
      <c r="A100" s="290" t="s">
        <v>362</v>
      </c>
      <c r="B100" s="293"/>
      <c r="C100" s="13"/>
      <c r="D100" s="13"/>
      <c r="E100" s="13"/>
      <c r="F100" s="13"/>
    </row>
    <row r="101" ht="15.75" customHeight="1">
      <c r="A101" s="290" t="s">
        <v>366</v>
      </c>
      <c r="B101" s="291" t="s">
        <v>368</v>
      </c>
      <c r="C101" s="13"/>
      <c r="D101" s="13"/>
      <c r="E101" s="13"/>
      <c r="F101" s="13"/>
    </row>
    <row r="102" ht="15.75" customHeight="1">
      <c r="A102" s="290" t="s">
        <v>370</v>
      </c>
      <c r="B102" s="291" t="s">
        <v>372</v>
      </c>
      <c r="C102" s="13"/>
      <c r="D102" s="13"/>
      <c r="E102" s="13"/>
      <c r="F102" s="13"/>
    </row>
    <row r="103" ht="15.75" customHeight="1">
      <c r="A103" s="290" t="s">
        <v>374</v>
      </c>
      <c r="B103" s="291" t="s">
        <v>376</v>
      </c>
      <c r="C103" s="13"/>
      <c r="D103" s="13"/>
      <c r="E103" s="13"/>
      <c r="F103" s="13"/>
    </row>
    <row r="104" ht="15.75" customHeight="1">
      <c r="A104" s="290" t="s">
        <v>378</v>
      </c>
      <c r="B104" s="291" t="s">
        <v>380</v>
      </c>
      <c r="C104" s="13"/>
      <c r="D104" s="13"/>
      <c r="E104" s="13"/>
      <c r="F104" s="13"/>
    </row>
    <row r="105" ht="15.75" customHeight="1">
      <c r="A105" s="290" t="s">
        <v>383</v>
      </c>
      <c r="B105" s="293"/>
      <c r="C105" s="13"/>
      <c r="D105" s="13"/>
      <c r="E105" s="13"/>
      <c r="F105" s="13"/>
    </row>
    <row r="106" ht="15.75" customHeight="1">
      <c r="A106" s="290" t="s">
        <v>386</v>
      </c>
      <c r="B106" s="291" t="s">
        <v>388</v>
      </c>
      <c r="C106" s="13"/>
      <c r="D106" s="13"/>
      <c r="E106" s="13"/>
      <c r="F106" s="13"/>
    </row>
    <row r="107" ht="15.75" customHeight="1">
      <c r="A107" s="290" t="s">
        <v>391</v>
      </c>
      <c r="B107" s="291" t="s">
        <v>393</v>
      </c>
      <c r="C107" s="13"/>
      <c r="D107" s="13"/>
      <c r="E107" s="13"/>
      <c r="F107" s="13"/>
    </row>
    <row r="108" ht="15.75" customHeight="1">
      <c r="A108" s="290" t="s">
        <v>395</v>
      </c>
      <c r="B108" s="291" t="s">
        <v>397</v>
      </c>
      <c r="C108" s="13"/>
      <c r="D108" s="13"/>
      <c r="E108" s="13"/>
      <c r="F108" s="13"/>
    </row>
    <row r="109" ht="15.75" customHeight="1">
      <c r="A109" s="290" t="s">
        <v>399</v>
      </c>
      <c r="B109" s="293"/>
      <c r="C109" s="13"/>
      <c r="D109" s="13"/>
      <c r="E109" s="13"/>
      <c r="F109" s="13"/>
    </row>
    <row r="110" ht="15.75" customHeight="1">
      <c r="A110" s="290" t="s">
        <v>402</v>
      </c>
      <c r="B110" s="291" t="s">
        <v>404</v>
      </c>
      <c r="C110" s="13"/>
      <c r="D110" s="13"/>
      <c r="E110" s="13"/>
      <c r="F110" s="13"/>
    </row>
    <row r="111" ht="15.75" customHeight="1">
      <c r="A111" s="290" t="s">
        <v>406</v>
      </c>
      <c r="B111" s="291" t="s">
        <v>408</v>
      </c>
      <c r="C111" s="13"/>
      <c r="D111" s="13"/>
      <c r="E111" s="13"/>
      <c r="F111" s="13"/>
    </row>
    <row r="112" ht="15.75" customHeight="1">
      <c r="A112" s="290" t="s">
        <v>411</v>
      </c>
      <c r="B112" s="291" t="s">
        <v>413</v>
      </c>
      <c r="C112" s="13"/>
      <c r="D112" s="13"/>
      <c r="E112" s="13"/>
      <c r="F112" s="13"/>
    </row>
    <row r="113" ht="15.75" customHeight="1">
      <c r="A113" s="290" t="s">
        <v>415</v>
      </c>
      <c r="B113" s="291" t="s">
        <v>417</v>
      </c>
      <c r="C113" s="13"/>
      <c r="D113" s="13"/>
      <c r="E113" s="13"/>
      <c r="F113" s="13"/>
    </row>
    <row r="114" ht="15.75" customHeight="1">
      <c r="A114" s="290" t="s">
        <v>419</v>
      </c>
      <c r="B114" s="293"/>
      <c r="C114" s="13"/>
      <c r="D114" s="13"/>
      <c r="E114" s="13"/>
      <c r="F114" s="13"/>
    </row>
    <row r="115" ht="15.75" customHeight="1">
      <c r="A115" s="290" t="s">
        <v>420</v>
      </c>
      <c r="B115" s="293"/>
      <c r="C115" s="13"/>
      <c r="D115" s="13"/>
      <c r="E115" s="13"/>
      <c r="F115" s="13"/>
    </row>
    <row r="116" ht="15.75" customHeight="1">
      <c r="A116" s="290" t="s">
        <v>422</v>
      </c>
      <c r="B116" s="293"/>
      <c r="C116" s="13"/>
      <c r="D116" s="13"/>
      <c r="E116" s="13"/>
      <c r="F116" s="13"/>
    </row>
    <row r="117" ht="15.75" customHeight="1">
      <c r="A117" s="290" t="s">
        <v>423</v>
      </c>
      <c r="B117" s="293"/>
      <c r="C117" s="13"/>
      <c r="D117" s="13"/>
      <c r="E117" s="13"/>
      <c r="F117" s="13"/>
    </row>
    <row r="118" ht="15.75" customHeight="1">
      <c r="A118" s="290" t="s">
        <v>3862</v>
      </c>
      <c r="B118" s="293"/>
      <c r="C118" s="13"/>
      <c r="D118" s="13"/>
      <c r="E118" s="13"/>
      <c r="F118" s="13"/>
    </row>
    <row r="119" ht="15.75" customHeight="1">
      <c r="A119" s="290" t="s">
        <v>430</v>
      </c>
      <c r="B119" s="291" t="s">
        <v>432</v>
      </c>
      <c r="C119" s="13"/>
      <c r="D119" s="13"/>
      <c r="E119" s="13"/>
      <c r="F119" s="13"/>
    </row>
    <row r="120" ht="15.75" customHeight="1">
      <c r="A120" s="290" t="s">
        <v>434</v>
      </c>
      <c r="B120" s="293"/>
      <c r="C120" s="13"/>
      <c r="D120" s="13"/>
      <c r="E120" s="13"/>
      <c r="F120" s="13"/>
    </row>
    <row r="121" ht="15.75" customHeight="1">
      <c r="A121" s="290" t="s">
        <v>436</v>
      </c>
      <c r="B121" s="291" t="s">
        <v>3863</v>
      </c>
      <c r="C121" s="13"/>
      <c r="D121" s="13"/>
      <c r="E121" s="13"/>
      <c r="F121" s="13"/>
    </row>
    <row r="122" ht="15.75" customHeight="1">
      <c r="A122" s="290" t="s">
        <v>440</v>
      </c>
      <c r="B122" s="293"/>
      <c r="C122" s="13"/>
      <c r="D122" s="13"/>
      <c r="E122" s="13"/>
      <c r="F122" s="13"/>
    </row>
    <row r="123" ht="15.75" customHeight="1">
      <c r="A123" s="290" t="s">
        <v>442</v>
      </c>
      <c r="B123" s="291" t="s">
        <v>444</v>
      </c>
      <c r="C123" s="13"/>
      <c r="D123" s="13"/>
      <c r="E123" s="13"/>
      <c r="F123" s="13"/>
    </row>
    <row r="124" ht="15.75" customHeight="1">
      <c r="A124" s="290" t="s">
        <v>446</v>
      </c>
      <c r="B124" s="293"/>
      <c r="C124" s="13"/>
      <c r="D124" s="13"/>
      <c r="E124" s="13"/>
      <c r="F124" s="13"/>
    </row>
    <row r="125" ht="15.75" customHeight="1">
      <c r="A125" s="290" t="s">
        <v>447</v>
      </c>
      <c r="B125" s="293"/>
      <c r="C125" s="13"/>
      <c r="D125" s="13"/>
      <c r="E125" s="13"/>
      <c r="F125" s="13"/>
    </row>
    <row r="126" ht="15.75" customHeight="1">
      <c r="A126" s="290" t="s">
        <v>448</v>
      </c>
      <c r="B126" s="291" t="s">
        <v>449</v>
      </c>
      <c r="C126" s="13"/>
      <c r="D126" s="13"/>
      <c r="E126" s="13"/>
      <c r="F126" s="13"/>
    </row>
    <row r="127" ht="15.75" customHeight="1">
      <c r="A127" s="290" t="s">
        <v>451</v>
      </c>
      <c r="B127" s="291" t="s">
        <v>453</v>
      </c>
      <c r="C127" s="13"/>
      <c r="D127" s="13"/>
      <c r="E127" s="13"/>
      <c r="F127" s="13"/>
    </row>
    <row r="128" ht="15.75" customHeight="1">
      <c r="A128" s="290" t="s">
        <v>455</v>
      </c>
      <c r="B128" s="291" t="s">
        <v>457</v>
      </c>
      <c r="C128" s="13"/>
      <c r="D128" s="13"/>
      <c r="E128" s="13"/>
      <c r="F128" s="13"/>
    </row>
    <row r="129" ht="15.75" customHeight="1">
      <c r="A129" s="290" t="s">
        <v>459</v>
      </c>
      <c r="B129" s="293"/>
      <c r="C129" s="13"/>
      <c r="D129" s="13"/>
      <c r="E129" s="13"/>
      <c r="F129" s="13"/>
    </row>
    <row r="130" ht="15.75" customHeight="1">
      <c r="A130" s="290" t="s">
        <v>463</v>
      </c>
      <c r="B130" s="292" t="s">
        <v>465</v>
      </c>
      <c r="C130" s="13"/>
      <c r="D130" s="13"/>
      <c r="E130" s="13"/>
      <c r="F130" s="13"/>
    </row>
    <row r="131" ht="15.75" customHeight="1">
      <c r="A131" s="290" t="s">
        <v>468</v>
      </c>
      <c r="B131" s="291" t="s">
        <v>470</v>
      </c>
      <c r="C131" s="13"/>
      <c r="D131" s="13"/>
      <c r="E131" s="13"/>
      <c r="F131" s="13"/>
    </row>
    <row r="132" ht="15.75" customHeight="1">
      <c r="A132" s="290" t="s">
        <v>472</v>
      </c>
      <c r="B132" s="291" t="s">
        <v>474</v>
      </c>
      <c r="C132" s="13"/>
      <c r="D132" s="13"/>
      <c r="E132" s="13"/>
      <c r="F132" s="13"/>
    </row>
    <row r="133" ht="15.75" customHeight="1">
      <c r="A133" s="290" t="s">
        <v>476</v>
      </c>
      <c r="B133" s="291" t="s">
        <v>478</v>
      </c>
      <c r="C133" s="13"/>
      <c r="D133" s="13"/>
      <c r="E133" s="13"/>
      <c r="F133" s="13"/>
    </row>
    <row r="134" ht="15.75" customHeight="1">
      <c r="A134" s="290" t="s">
        <v>480</v>
      </c>
      <c r="B134" s="292" t="s">
        <v>482</v>
      </c>
      <c r="C134" s="13"/>
      <c r="D134" s="13"/>
      <c r="E134" s="13"/>
      <c r="F134" s="13"/>
    </row>
    <row r="135" ht="15.75" customHeight="1">
      <c r="A135" s="290" t="s">
        <v>484</v>
      </c>
      <c r="B135" s="291" t="s">
        <v>486</v>
      </c>
      <c r="C135" s="13"/>
      <c r="D135" s="13"/>
      <c r="E135" s="13"/>
      <c r="F135" s="13"/>
    </row>
    <row r="136" ht="15.75" customHeight="1">
      <c r="A136" s="290" t="s">
        <v>488</v>
      </c>
      <c r="B136" s="291" t="s">
        <v>490</v>
      </c>
      <c r="C136" s="13"/>
      <c r="D136" s="13"/>
      <c r="E136" s="13"/>
      <c r="F136" s="13"/>
    </row>
    <row r="137" ht="15.75" customHeight="1">
      <c r="A137" s="290" t="s">
        <v>492</v>
      </c>
      <c r="B137" s="293"/>
      <c r="C137" s="13"/>
      <c r="D137" s="13"/>
      <c r="E137" s="13"/>
      <c r="F137" s="13"/>
    </row>
    <row r="138" ht="15.75" customHeight="1">
      <c r="A138" s="290" t="s">
        <v>496</v>
      </c>
      <c r="B138" s="291" t="s">
        <v>498</v>
      </c>
      <c r="C138" s="13"/>
      <c r="D138" s="13"/>
      <c r="E138" s="13"/>
      <c r="F138" s="13"/>
    </row>
    <row r="139" ht="15.75" customHeight="1">
      <c r="A139" s="290" t="s">
        <v>500</v>
      </c>
      <c r="B139" s="293"/>
      <c r="C139" s="13"/>
      <c r="D139" s="13"/>
      <c r="E139" s="13"/>
      <c r="F139" s="13"/>
    </row>
    <row r="140" ht="15.75" customHeight="1">
      <c r="A140" s="290" t="s">
        <v>501</v>
      </c>
      <c r="B140" s="293"/>
      <c r="C140" s="13"/>
      <c r="D140" s="13"/>
      <c r="E140" s="13"/>
      <c r="F140" s="13"/>
    </row>
    <row r="141" ht="15.75" customHeight="1">
      <c r="A141" s="290" t="s">
        <v>503</v>
      </c>
      <c r="B141" s="291" t="s">
        <v>505</v>
      </c>
      <c r="C141" s="13"/>
      <c r="D141" s="13"/>
      <c r="E141" s="13"/>
      <c r="F141" s="13"/>
    </row>
    <row r="142" ht="15.75" customHeight="1">
      <c r="A142" s="290" t="s">
        <v>507</v>
      </c>
      <c r="B142" s="291" t="s">
        <v>509</v>
      </c>
      <c r="C142" s="13"/>
      <c r="D142" s="13"/>
      <c r="E142" s="13"/>
      <c r="F142" s="13"/>
    </row>
    <row r="143" ht="15.75" customHeight="1">
      <c r="A143" s="290" t="s">
        <v>511</v>
      </c>
      <c r="B143" s="291" t="s">
        <v>513</v>
      </c>
      <c r="C143" s="13"/>
      <c r="D143" s="13"/>
      <c r="E143" s="13"/>
      <c r="F143" s="13"/>
    </row>
    <row r="144" ht="15.75" customHeight="1">
      <c r="A144" s="295" t="s">
        <v>515</v>
      </c>
      <c r="B144" s="293"/>
      <c r="C144" s="13"/>
      <c r="D144" s="13"/>
      <c r="E144" s="13"/>
      <c r="F144" s="13"/>
    </row>
    <row r="145" ht="15.75" customHeight="1">
      <c r="A145" s="296" t="s">
        <v>517</v>
      </c>
      <c r="B145" s="291" t="s">
        <v>519</v>
      </c>
      <c r="C145" s="13"/>
      <c r="D145" s="13"/>
      <c r="E145" s="13"/>
      <c r="F145" s="13"/>
    </row>
    <row r="146" ht="15.75" customHeight="1">
      <c r="A146" s="296" t="s">
        <v>521</v>
      </c>
      <c r="B146" s="291" t="s">
        <v>522</v>
      </c>
      <c r="C146" s="13"/>
      <c r="D146" s="13"/>
      <c r="E146" s="13"/>
      <c r="F146" s="13"/>
    </row>
    <row r="147" ht="15.75" customHeight="1">
      <c r="A147" s="296" t="s">
        <v>524</v>
      </c>
      <c r="B147" s="291" t="s">
        <v>526</v>
      </c>
      <c r="C147" s="13"/>
      <c r="D147" s="13"/>
      <c r="E147" s="13"/>
      <c r="F147" s="13"/>
    </row>
    <row r="148" ht="15.75" customHeight="1">
      <c r="A148" s="296" t="s">
        <v>532</v>
      </c>
      <c r="B148" s="291" t="s">
        <v>534</v>
      </c>
      <c r="C148" s="13"/>
      <c r="D148" s="13"/>
      <c r="E148" s="13"/>
      <c r="F148" s="13"/>
    </row>
    <row r="149" ht="15.75" customHeight="1">
      <c r="A149" s="296" t="s">
        <v>536</v>
      </c>
      <c r="B149" s="291" t="s">
        <v>538</v>
      </c>
      <c r="C149" s="13"/>
      <c r="D149" s="13"/>
      <c r="E149" s="13"/>
      <c r="F149" s="13"/>
    </row>
    <row r="150" ht="15.75" customHeight="1">
      <c r="A150" s="296" t="s">
        <v>541</v>
      </c>
      <c r="B150" s="291" t="s">
        <v>542</v>
      </c>
      <c r="C150" s="13"/>
      <c r="D150" s="13"/>
      <c r="E150" s="13"/>
      <c r="F150" s="13"/>
    </row>
    <row r="151" ht="15.75" customHeight="1">
      <c r="A151" s="296" t="s">
        <v>544</v>
      </c>
      <c r="B151" s="293"/>
      <c r="C151" s="13"/>
      <c r="D151" s="13"/>
      <c r="E151" s="13"/>
      <c r="F151" s="13"/>
    </row>
    <row r="152" ht="15.75" customHeight="1">
      <c r="A152" s="296" t="s">
        <v>547</v>
      </c>
      <c r="B152" s="291" t="s">
        <v>549</v>
      </c>
      <c r="C152" s="13"/>
      <c r="D152" s="13"/>
      <c r="E152" s="13"/>
      <c r="F152" s="13"/>
    </row>
    <row r="153" ht="15.75" customHeight="1">
      <c r="A153" s="296" t="s">
        <v>551</v>
      </c>
      <c r="B153" s="293"/>
      <c r="C153" s="13"/>
      <c r="D153" s="13"/>
      <c r="E153" s="13"/>
      <c r="F153" s="13"/>
    </row>
    <row r="154" ht="15.75" customHeight="1">
      <c r="A154" s="296" t="s">
        <v>553</v>
      </c>
      <c r="B154" s="291" t="s">
        <v>555</v>
      </c>
      <c r="C154" s="13"/>
      <c r="D154" s="13"/>
      <c r="E154" s="13"/>
      <c r="F154" s="13"/>
    </row>
    <row r="155" ht="15.75" customHeight="1">
      <c r="A155" s="296" t="s">
        <v>560</v>
      </c>
      <c r="B155" s="293"/>
      <c r="C155" s="13"/>
      <c r="D155" s="13"/>
      <c r="E155" s="13"/>
      <c r="F155" s="13"/>
    </row>
    <row r="156" ht="15.75" customHeight="1">
      <c r="A156" s="296" t="s">
        <v>561</v>
      </c>
      <c r="B156" s="293"/>
      <c r="C156" s="13"/>
      <c r="D156" s="13"/>
      <c r="E156" s="13"/>
      <c r="F156" s="13"/>
    </row>
    <row r="157" ht="15.75" customHeight="1">
      <c r="A157" s="296" t="s">
        <v>563</v>
      </c>
      <c r="B157" s="291" t="s">
        <v>565</v>
      </c>
      <c r="C157" s="13"/>
      <c r="D157" s="13"/>
      <c r="E157" s="13"/>
      <c r="F157" s="13"/>
    </row>
    <row r="158" ht="15.75" customHeight="1">
      <c r="A158" s="296" t="s">
        <v>567</v>
      </c>
      <c r="B158" s="291" t="s">
        <v>569</v>
      </c>
      <c r="C158" s="13"/>
      <c r="D158" s="13"/>
      <c r="E158" s="13"/>
      <c r="F158" s="13"/>
    </row>
    <row r="159" ht="15.75" customHeight="1">
      <c r="A159" s="296" t="s">
        <v>571</v>
      </c>
      <c r="B159" s="291" t="s">
        <v>573</v>
      </c>
      <c r="C159" s="13"/>
      <c r="D159" s="13"/>
      <c r="E159" s="13"/>
      <c r="F159" s="13"/>
    </row>
    <row r="160" ht="15.75" customHeight="1">
      <c r="A160" s="296" t="s">
        <v>575</v>
      </c>
      <c r="B160" s="291" t="s">
        <v>577</v>
      </c>
      <c r="C160" s="13"/>
      <c r="D160" s="13"/>
      <c r="E160" s="13"/>
      <c r="F160" s="13"/>
    </row>
    <row r="161" ht="15.75" customHeight="1">
      <c r="A161" s="296" t="s">
        <v>579</v>
      </c>
      <c r="B161" s="291" t="s">
        <v>581</v>
      </c>
      <c r="C161" s="13"/>
      <c r="D161" s="13"/>
      <c r="E161" s="13"/>
      <c r="F161" s="13"/>
    </row>
    <row r="162" ht="15.75" customHeight="1">
      <c r="A162" s="296" t="s">
        <v>583</v>
      </c>
      <c r="B162" s="293"/>
      <c r="C162" s="13"/>
      <c r="D162" s="13"/>
      <c r="E162" s="13"/>
      <c r="F162" s="13"/>
    </row>
    <row r="163" ht="15.75" customHeight="1">
      <c r="A163" s="296" t="s">
        <v>585</v>
      </c>
      <c r="B163" s="291" t="s">
        <v>587</v>
      </c>
      <c r="C163" s="13"/>
      <c r="D163" s="13"/>
      <c r="E163" s="13"/>
      <c r="F163" s="13"/>
    </row>
    <row r="164" ht="15.75" customHeight="1">
      <c r="A164" s="296" t="s">
        <v>589</v>
      </c>
      <c r="B164" s="293"/>
      <c r="C164" s="13"/>
      <c r="D164" s="13"/>
      <c r="E164" s="13"/>
      <c r="F164" s="13"/>
    </row>
    <row r="165" ht="15.75" customHeight="1">
      <c r="A165" s="296" t="s">
        <v>591</v>
      </c>
      <c r="B165" s="291" t="s">
        <v>593</v>
      </c>
      <c r="C165" s="13"/>
      <c r="D165" s="13"/>
      <c r="E165" s="13"/>
      <c r="F165" s="13"/>
    </row>
    <row r="166" ht="15.75" customHeight="1">
      <c r="A166" s="296" t="s">
        <v>596</v>
      </c>
      <c r="B166" s="291" t="s">
        <v>598</v>
      </c>
      <c r="C166" s="13"/>
      <c r="D166" s="13"/>
      <c r="E166" s="13"/>
      <c r="F166" s="13"/>
    </row>
    <row r="167" ht="15.75" customHeight="1">
      <c r="A167" s="296" t="s">
        <v>600</v>
      </c>
      <c r="B167" s="291" t="s">
        <v>602</v>
      </c>
      <c r="C167" s="13"/>
      <c r="D167" s="13"/>
      <c r="E167" s="13"/>
      <c r="F167" s="13"/>
    </row>
    <row r="168" ht="15.75" customHeight="1">
      <c r="A168" s="296" t="s">
        <v>604</v>
      </c>
      <c r="B168" s="293"/>
      <c r="C168" s="13"/>
      <c r="D168" s="13"/>
      <c r="E168" s="13"/>
      <c r="F168" s="13"/>
    </row>
    <row r="169" ht="15.75" customHeight="1">
      <c r="A169" s="296" t="s">
        <v>606</v>
      </c>
      <c r="B169" s="291" t="s">
        <v>608</v>
      </c>
      <c r="C169" s="13"/>
      <c r="D169" s="13"/>
      <c r="E169" s="13"/>
      <c r="F169" s="13"/>
    </row>
    <row r="170" ht="15.75" customHeight="1">
      <c r="A170" s="296" t="s">
        <v>610</v>
      </c>
      <c r="B170" s="293"/>
      <c r="C170" s="13"/>
      <c r="D170" s="13"/>
      <c r="E170" s="13"/>
      <c r="F170" s="13"/>
    </row>
    <row r="171" ht="15.75" customHeight="1">
      <c r="A171" s="296" t="s">
        <v>612</v>
      </c>
      <c r="B171" s="293"/>
      <c r="C171" s="13"/>
      <c r="D171" s="13"/>
      <c r="E171" s="13"/>
      <c r="F171" s="13"/>
    </row>
    <row r="172" ht="15.75" customHeight="1">
      <c r="A172" s="296" t="s">
        <v>614</v>
      </c>
      <c r="B172" s="293"/>
      <c r="C172" s="13"/>
      <c r="D172" s="13"/>
      <c r="E172" s="13"/>
      <c r="F172" s="13"/>
    </row>
    <row r="173" ht="15.75" customHeight="1">
      <c r="A173" s="296" t="s">
        <v>615</v>
      </c>
      <c r="B173" s="293"/>
      <c r="C173" s="13"/>
      <c r="D173" s="13"/>
      <c r="E173" s="13"/>
      <c r="F173" s="13"/>
    </row>
    <row r="174" ht="15.75" customHeight="1">
      <c r="A174" s="296" t="s">
        <v>617</v>
      </c>
      <c r="B174" s="291" t="s">
        <v>618</v>
      </c>
      <c r="C174" s="13"/>
      <c r="D174" s="13"/>
      <c r="E174" s="13"/>
      <c r="F174" s="13"/>
    </row>
    <row r="175" ht="15.75" customHeight="1">
      <c r="A175" s="296" t="s">
        <v>620</v>
      </c>
      <c r="B175" s="291" t="s">
        <v>622</v>
      </c>
      <c r="C175" s="13"/>
      <c r="D175" s="13"/>
      <c r="E175" s="13"/>
      <c r="F175" s="13"/>
    </row>
    <row r="176" ht="15.75" customHeight="1">
      <c r="A176" s="296" t="s">
        <v>624</v>
      </c>
      <c r="B176" s="293"/>
      <c r="C176" s="13"/>
      <c r="D176" s="13"/>
      <c r="E176" s="13"/>
      <c r="F176" s="13"/>
    </row>
    <row r="177" ht="15.75" customHeight="1">
      <c r="A177" s="296" t="s">
        <v>625</v>
      </c>
      <c r="B177" s="291" t="s">
        <v>627</v>
      </c>
      <c r="C177" s="13"/>
      <c r="D177" s="13"/>
      <c r="E177" s="13"/>
      <c r="F177" s="13"/>
    </row>
    <row r="178" ht="15.75" customHeight="1">
      <c r="A178" s="296" t="s">
        <v>629</v>
      </c>
      <c r="B178" s="291" t="s">
        <v>631</v>
      </c>
      <c r="C178" s="13"/>
      <c r="D178" s="13"/>
      <c r="E178" s="13"/>
      <c r="F178" s="13"/>
    </row>
    <row r="179" ht="15.75" customHeight="1">
      <c r="A179" s="296" t="s">
        <v>633</v>
      </c>
      <c r="B179" s="291" t="s">
        <v>634</v>
      </c>
      <c r="C179" s="13"/>
      <c r="D179" s="13"/>
      <c r="E179" s="13"/>
      <c r="F179" s="13"/>
    </row>
    <row r="180" ht="15.75" customHeight="1">
      <c r="A180" s="296" t="s">
        <v>636</v>
      </c>
      <c r="B180" s="291" t="s">
        <v>638</v>
      </c>
      <c r="C180" s="13"/>
      <c r="D180" s="13"/>
      <c r="E180" s="13"/>
      <c r="F180" s="13"/>
    </row>
    <row r="181" ht="15.75" customHeight="1">
      <c r="A181" s="296" t="s">
        <v>640</v>
      </c>
      <c r="B181" s="291" t="s">
        <v>642</v>
      </c>
      <c r="C181" s="13"/>
      <c r="D181" s="13"/>
      <c r="E181" s="13"/>
      <c r="F181" s="13"/>
    </row>
    <row r="182" ht="15.75" customHeight="1">
      <c r="A182" s="296" t="s">
        <v>644</v>
      </c>
      <c r="B182" s="293"/>
      <c r="C182" s="13"/>
      <c r="D182" s="13"/>
      <c r="E182" s="13"/>
      <c r="F182" s="13"/>
    </row>
    <row r="183" ht="15.75" customHeight="1">
      <c r="A183" s="296" t="s">
        <v>3864</v>
      </c>
      <c r="B183" s="293"/>
      <c r="C183" s="13"/>
      <c r="D183" s="13"/>
      <c r="E183" s="13"/>
      <c r="F183" s="13"/>
    </row>
    <row r="184" ht="15.75" customHeight="1">
      <c r="A184" s="296" t="s">
        <v>649</v>
      </c>
      <c r="B184" s="291" t="s">
        <v>651</v>
      </c>
      <c r="C184" s="13"/>
      <c r="D184" s="13"/>
      <c r="E184" s="13"/>
      <c r="F184" s="13"/>
    </row>
    <row r="185" ht="15.75" customHeight="1">
      <c r="A185" s="296" t="s">
        <v>653</v>
      </c>
      <c r="B185" s="293"/>
      <c r="C185" s="13"/>
      <c r="D185" s="13"/>
      <c r="E185" s="13"/>
      <c r="F185" s="13"/>
    </row>
    <row r="186" ht="15.75" customHeight="1">
      <c r="A186" s="296" t="s">
        <v>654</v>
      </c>
      <c r="B186" s="293"/>
      <c r="C186" s="13"/>
      <c r="D186" s="13"/>
      <c r="E186" s="13"/>
      <c r="F186" s="13"/>
    </row>
    <row r="187" ht="15.75" customHeight="1">
      <c r="A187" s="296" t="s">
        <v>656</v>
      </c>
      <c r="B187" s="293"/>
      <c r="C187" s="13"/>
      <c r="D187" s="13"/>
      <c r="E187" s="13"/>
      <c r="F187" s="13"/>
    </row>
    <row r="188" ht="15.75" customHeight="1">
      <c r="A188" s="296" t="s">
        <v>658</v>
      </c>
      <c r="B188" s="293"/>
      <c r="C188" s="13"/>
      <c r="D188" s="13"/>
      <c r="E188" s="13"/>
      <c r="F188" s="13"/>
    </row>
    <row r="189" ht="15.75" customHeight="1">
      <c r="A189" s="296" t="s">
        <v>659</v>
      </c>
      <c r="B189" s="291" t="s">
        <v>661</v>
      </c>
      <c r="C189" s="13"/>
      <c r="D189" s="13"/>
      <c r="E189" s="13"/>
      <c r="F189" s="13"/>
    </row>
    <row r="190" ht="15.75" customHeight="1">
      <c r="A190" s="296" t="s">
        <v>663</v>
      </c>
      <c r="B190" s="291" t="s">
        <v>664</v>
      </c>
      <c r="C190" s="13"/>
      <c r="D190" s="13"/>
      <c r="E190" s="13"/>
      <c r="F190" s="13"/>
    </row>
    <row r="191" ht="15.75" customHeight="1">
      <c r="A191" s="296" t="s">
        <v>666</v>
      </c>
      <c r="B191" s="291" t="s">
        <v>668</v>
      </c>
      <c r="C191" s="13"/>
      <c r="D191" s="13"/>
      <c r="E191" s="13"/>
      <c r="F191" s="13"/>
    </row>
    <row r="192" ht="15.75" customHeight="1">
      <c r="A192" s="296" t="s">
        <v>670</v>
      </c>
      <c r="B192" s="293"/>
      <c r="C192" s="13"/>
      <c r="D192" s="13"/>
      <c r="E192" s="13"/>
      <c r="F192" s="13"/>
    </row>
    <row r="193" ht="15.75" customHeight="1">
      <c r="A193" s="296" t="s">
        <v>671</v>
      </c>
      <c r="B193" s="291" t="s">
        <v>673</v>
      </c>
      <c r="C193" s="13"/>
      <c r="D193" s="13"/>
      <c r="E193" s="13"/>
      <c r="F193" s="13"/>
    </row>
    <row r="194" ht="15.75" customHeight="1">
      <c r="A194" s="296" t="s">
        <v>675</v>
      </c>
      <c r="B194" s="293"/>
      <c r="C194" s="13"/>
      <c r="D194" s="13"/>
      <c r="E194" s="13"/>
      <c r="F194" s="13"/>
    </row>
    <row r="195" ht="15.75" customHeight="1">
      <c r="A195" s="296" t="s">
        <v>676</v>
      </c>
      <c r="B195" s="291" t="s">
        <v>678</v>
      </c>
      <c r="C195" s="13"/>
      <c r="D195" s="13"/>
      <c r="E195" s="13"/>
      <c r="F195" s="13"/>
    </row>
    <row r="196" ht="15.75" customHeight="1">
      <c r="A196" s="296" t="s">
        <v>680</v>
      </c>
      <c r="B196" s="291" t="s">
        <v>682</v>
      </c>
      <c r="C196" s="13"/>
      <c r="D196" s="13"/>
      <c r="E196" s="13"/>
      <c r="F196" s="13"/>
    </row>
    <row r="197" ht="15.75" customHeight="1">
      <c r="A197" s="296" t="s">
        <v>684</v>
      </c>
      <c r="B197" s="291" t="s">
        <v>686</v>
      </c>
      <c r="C197" s="13"/>
      <c r="D197" s="13"/>
      <c r="E197" s="13"/>
      <c r="F197" s="13"/>
    </row>
    <row r="198" ht="15.75" customHeight="1">
      <c r="A198" s="296" t="s">
        <v>688</v>
      </c>
      <c r="B198" s="293"/>
      <c r="C198" s="13"/>
      <c r="D198" s="13"/>
      <c r="E198" s="13"/>
      <c r="F198" s="13"/>
    </row>
    <row r="199" ht="15.75" customHeight="1">
      <c r="A199" s="296" t="s">
        <v>689</v>
      </c>
      <c r="B199" s="293"/>
      <c r="C199" s="13"/>
      <c r="D199" s="13"/>
      <c r="E199" s="13"/>
      <c r="F199" s="13"/>
    </row>
    <row r="200" ht="15.75" customHeight="1">
      <c r="A200" s="296" t="s">
        <v>691</v>
      </c>
      <c r="B200" s="291" t="s">
        <v>693</v>
      </c>
      <c r="C200" s="13"/>
      <c r="D200" s="13"/>
      <c r="E200" s="13"/>
      <c r="F200" s="13"/>
    </row>
    <row r="201" ht="15.75" customHeight="1">
      <c r="A201" s="296" t="s">
        <v>695</v>
      </c>
      <c r="B201" s="293"/>
      <c r="C201" s="13"/>
      <c r="D201" s="13"/>
      <c r="E201" s="13"/>
      <c r="F201" s="13"/>
    </row>
    <row r="202" ht="15.75" customHeight="1">
      <c r="A202" s="296" t="s">
        <v>697</v>
      </c>
      <c r="B202" s="293"/>
      <c r="C202" s="13"/>
      <c r="D202" s="13"/>
      <c r="E202" s="13"/>
      <c r="F202" s="13"/>
    </row>
    <row r="203" ht="15.75" customHeight="1">
      <c r="A203" s="296" t="s">
        <v>699</v>
      </c>
      <c r="B203" s="293"/>
      <c r="C203" s="13"/>
      <c r="D203" s="13"/>
      <c r="E203" s="13"/>
      <c r="F203" s="13"/>
    </row>
    <row r="204" ht="15.75" customHeight="1">
      <c r="A204" s="296" t="s">
        <v>701</v>
      </c>
      <c r="B204" s="291" t="s">
        <v>703</v>
      </c>
      <c r="C204" s="13"/>
      <c r="D204" s="13"/>
      <c r="E204" s="13"/>
      <c r="F204" s="13"/>
    </row>
    <row r="205" ht="15.75" customHeight="1">
      <c r="A205" s="296" t="s">
        <v>705</v>
      </c>
      <c r="B205" s="293"/>
      <c r="C205" s="13"/>
      <c r="D205" s="13"/>
      <c r="E205" s="13"/>
      <c r="F205" s="13"/>
    </row>
    <row r="206" ht="15.75" customHeight="1">
      <c r="A206" s="296" t="s">
        <v>706</v>
      </c>
      <c r="B206" s="291" t="s">
        <v>708</v>
      </c>
      <c r="C206" s="13"/>
      <c r="D206" s="13"/>
      <c r="E206" s="13"/>
      <c r="F206" s="13"/>
    </row>
    <row r="207" ht="15.75" customHeight="1">
      <c r="A207" s="296" t="s">
        <v>713</v>
      </c>
      <c r="B207" s="291" t="s">
        <v>715</v>
      </c>
      <c r="C207" s="13"/>
      <c r="D207" s="13"/>
      <c r="E207" s="13"/>
      <c r="F207" s="13"/>
    </row>
    <row r="208" ht="15.75" customHeight="1">
      <c r="A208" s="296" t="s">
        <v>717</v>
      </c>
      <c r="B208" s="291" t="s">
        <v>719</v>
      </c>
      <c r="C208" s="13"/>
      <c r="D208" s="13"/>
      <c r="E208" s="13"/>
      <c r="F208" s="13"/>
    </row>
    <row r="209" ht="15.75" customHeight="1">
      <c r="A209" s="296" t="s">
        <v>721</v>
      </c>
      <c r="B209" s="293"/>
      <c r="C209" s="13"/>
      <c r="D209" s="13"/>
      <c r="E209" s="13"/>
      <c r="F209" s="13"/>
    </row>
    <row r="210" ht="15.75" customHeight="1">
      <c r="A210" s="296" t="s">
        <v>723</v>
      </c>
      <c r="B210" s="291" t="s">
        <v>725</v>
      </c>
      <c r="C210" s="13"/>
      <c r="D210" s="13"/>
      <c r="E210" s="13"/>
      <c r="F210" s="13"/>
    </row>
    <row r="211" ht="15.75" customHeight="1">
      <c r="A211" s="296" t="s">
        <v>727</v>
      </c>
      <c r="B211" s="291" t="s">
        <v>729</v>
      </c>
      <c r="C211" s="13"/>
      <c r="D211" s="13"/>
      <c r="E211" s="13"/>
      <c r="F211" s="13"/>
    </row>
    <row r="212" ht="15.75" customHeight="1">
      <c r="A212" s="296" t="s">
        <v>731</v>
      </c>
      <c r="B212" s="293"/>
      <c r="C212" s="13"/>
      <c r="D212" s="13"/>
      <c r="E212" s="13"/>
      <c r="F212" s="13"/>
    </row>
    <row r="213" ht="15.75" customHeight="1">
      <c r="A213" s="296" t="s">
        <v>3865</v>
      </c>
      <c r="B213" s="291" t="s">
        <v>735</v>
      </c>
      <c r="C213" s="13"/>
      <c r="D213" s="13"/>
      <c r="E213" s="13"/>
      <c r="F213" s="13"/>
    </row>
    <row r="214" ht="15.75" customHeight="1">
      <c r="A214" s="296" t="s">
        <v>739</v>
      </c>
      <c r="B214" s="291" t="s">
        <v>741</v>
      </c>
      <c r="C214" s="13"/>
      <c r="D214" s="13"/>
      <c r="E214" s="13"/>
      <c r="F214" s="13"/>
    </row>
    <row r="215" ht="15.75" customHeight="1">
      <c r="A215" s="296" t="s">
        <v>743</v>
      </c>
      <c r="B215" s="291" t="s">
        <v>744</v>
      </c>
      <c r="C215" s="13"/>
      <c r="D215" s="13"/>
      <c r="E215" s="13"/>
      <c r="F215" s="13"/>
    </row>
    <row r="216" ht="15.75" customHeight="1">
      <c r="A216" s="296" t="s">
        <v>747</v>
      </c>
      <c r="B216" s="291" t="s">
        <v>748</v>
      </c>
      <c r="C216" s="13"/>
      <c r="D216" s="13"/>
      <c r="E216" s="13"/>
      <c r="F216" s="13"/>
    </row>
    <row r="217" ht="15.75" customHeight="1">
      <c r="A217" s="296" t="s">
        <v>750</v>
      </c>
      <c r="B217" s="293"/>
      <c r="C217" s="13"/>
      <c r="D217" s="13"/>
      <c r="E217" s="13"/>
      <c r="F217" s="13"/>
    </row>
    <row r="218" ht="15.75" customHeight="1">
      <c r="A218" s="296" t="s">
        <v>751</v>
      </c>
      <c r="B218" s="291" t="s">
        <v>753</v>
      </c>
      <c r="C218" s="13"/>
      <c r="D218" s="13"/>
      <c r="E218" s="13"/>
      <c r="F218" s="13"/>
    </row>
    <row r="219" ht="15.75" customHeight="1">
      <c r="A219" s="296" t="s">
        <v>755</v>
      </c>
      <c r="B219" s="293"/>
      <c r="C219" s="13"/>
      <c r="D219" s="13"/>
      <c r="E219" s="13"/>
      <c r="F219" s="13"/>
    </row>
    <row r="220" ht="15.75" customHeight="1">
      <c r="A220" s="296" t="s">
        <v>757</v>
      </c>
      <c r="B220" s="293"/>
      <c r="C220" s="13"/>
      <c r="D220" s="13"/>
      <c r="E220" s="13"/>
      <c r="F220" s="13"/>
    </row>
    <row r="221" ht="15.75" customHeight="1">
      <c r="A221" s="296" t="s">
        <v>759</v>
      </c>
      <c r="B221" s="293"/>
      <c r="C221" s="13"/>
      <c r="D221" s="13"/>
      <c r="E221" s="13"/>
      <c r="F221" s="13"/>
    </row>
    <row r="222" ht="15.75" customHeight="1">
      <c r="A222" s="296" t="s">
        <v>760</v>
      </c>
      <c r="B222" s="291" t="s">
        <v>762</v>
      </c>
      <c r="C222" s="13"/>
      <c r="D222" s="13"/>
      <c r="E222" s="13"/>
      <c r="F222" s="13"/>
    </row>
    <row r="223" ht="15.75" customHeight="1">
      <c r="A223" s="296" t="s">
        <v>764</v>
      </c>
      <c r="B223" s="291" t="s">
        <v>766</v>
      </c>
      <c r="C223" s="13"/>
      <c r="D223" s="13"/>
      <c r="E223" s="13"/>
      <c r="F223" s="13"/>
    </row>
    <row r="224" ht="15.75" customHeight="1">
      <c r="A224" s="296" t="s">
        <v>768</v>
      </c>
      <c r="B224" s="291" t="s">
        <v>770</v>
      </c>
      <c r="C224" s="13"/>
      <c r="D224" s="13"/>
      <c r="E224" s="13"/>
      <c r="F224" s="13"/>
    </row>
    <row r="225" ht="15.75" customHeight="1">
      <c r="A225" s="296" t="s">
        <v>772</v>
      </c>
      <c r="B225" s="293"/>
      <c r="C225" s="13"/>
      <c r="D225" s="13"/>
      <c r="E225" s="13"/>
      <c r="F225" s="13"/>
    </row>
    <row r="226" ht="15.75" customHeight="1">
      <c r="A226" s="296" t="s">
        <v>773</v>
      </c>
      <c r="B226" s="291" t="s">
        <v>775</v>
      </c>
      <c r="C226" s="13"/>
      <c r="D226" s="13"/>
      <c r="E226" s="13"/>
      <c r="F226" s="13"/>
    </row>
    <row r="227" ht="15.75" customHeight="1">
      <c r="A227" s="296" t="s">
        <v>777</v>
      </c>
      <c r="B227" s="291" t="s">
        <v>779</v>
      </c>
      <c r="C227" s="13"/>
      <c r="D227" s="13"/>
      <c r="E227" s="13"/>
      <c r="F227" s="13"/>
    </row>
    <row r="228" ht="15.75" customHeight="1">
      <c r="A228" s="296" t="s">
        <v>781</v>
      </c>
      <c r="B228" s="293"/>
      <c r="C228" s="13"/>
      <c r="D228" s="13"/>
      <c r="E228" s="13"/>
      <c r="F228" s="13"/>
    </row>
    <row r="229" ht="15.75" customHeight="1">
      <c r="A229" s="296" t="s">
        <v>783</v>
      </c>
      <c r="B229" s="291" t="s">
        <v>785</v>
      </c>
      <c r="C229" s="13"/>
      <c r="D229" s="13"/>
      <c r="E229" s="13"/>
      <c r="F229" s="13"/>
    </row>
    <row r="230" ht="15.75" customHeight="1">
      <c r="A230" s="296" t="s">
        <v>787</v>
      </c>
      <c r="B230" s="291" t="s">
        <v>788</v>
      </c>
      <c r="C230" s="13"/>
      <c r="D230" s="13"/>
      <c r="E230" s="13"/>
      <c r="F230" s="13"/>
    </row>
    <row r="231" ht="15.75" customHeight="1">
      <c r="A231" s="296" t="s">
        <v>790</v>
      </c>
      <c r="B231" s="291" t="s">
        <v>792</v>
      </c>
      <c r="C231" s="13"/>
      <c r="D231" s="13"/>
      <c r="E231" s="13"/>
      <c r="F231" s="13"/>
    </row>
    <row r="232" ht="15.75" customHeight="1">
      <c r="A232" s="296" t="s">
        <v>794</v>
      </c>
      <c r="B232" s="293"/>
      <c r="C232" s="13"/>
      <c r="D232" s="13"/>
      <c r="E232" s="13"/>
      <c r="F232" s="13"/>
    </row>
    <row r="233" ht="15.75" customHeight="1">
      <c r="A233" s="296" t="s">
        <v>795</v>
      </c>
      <c r="B233" s="291" t="s">
        <v>797</v>
      </c>
      <c r="C233" s="13"/>
      <c r="D233" s="13"/>
      <c r="E233" s="13"/>
      <c r="F233" s="13"/>
    </row>
    <row r="234" ht="15.75" customHeight="1">
      <c r="A234" s="296" t="s">
        <v>799</v>
      </c>
      <c r="B234" s="291" t="s">
        <v>800</v>
      </c>
      <c r="C234" s="13"/>
      <c r="D234" s="13"/>
      <c r="E234" s="13"/>
      <c r="F234" s="13"/>
    </row>
    <row r="235" ht="15.75" customHeight="1">
      <c r="A235" s="296" t="s">
        <v>802</v>
      </c>
      <c r="B235" s="291" t="s">
        <v>804</v>
      </c>
      <c r="C235" s="13"/>
      <c r="D235" s="13"/>
      <c r="E235" s="13"/>
      <c r="F235" s="13"/>
    </row>
    <row r="236" ht="15.75" customHeight="1">
      <c r="A236" s="296" t="s">
        <v>806</v>
      </c>
      <c r="B236" s="291" t="s">
        <v>808</v>
      </c>
      <c r="C236" s="13"/>
      <c r="D236" s="13"/>
      <c r="E236" s="13"/>
      <c r="F236" s="13"/>
    </row>
    <row r="237" ht="15.75" customHeight="1">
      <c r="A237" s="296" t="s">
        <v>810</v>
      </c>
      <c r="B237" s="291" t="s">
        <v>812</v>
      </c>
      <c r="C237" s="13"/>
      <c r="D237" s="13"/>
      <c r="E237" s="13"/>
      <c r="F237" s="13"/>
    </row>
    <row r="238" ht="15.75" customHeight="1">
      <c r="A238" s="296" t="s">
        <v>814</v>
      </c>
      <c r="B238" s="297"/>
      <c r="C238" s="13"/>
      <c r="D238" s="13"/>
      <c r="E238" s="13"/>
      <c r="F238" s="13"/>
    </row>
    <row r="239" ht="15.75" customHeight="1">
      <c r="A239" s="296" t="s">
        <v>816</v>
      </c>
      <c r="B239" s="291" t="s">
        <v>817</v>
      </c>
      <c r="C239" s="13"/>
      <c r="D239" s="13"/>
      <c r="E239" s="13"/>
      <c r="F239" s="13"/>
    </row>
    <row r="240" ht="15.75" customHeight="1">
      <c r="A240" s="296" t="s">
        <v>820</v>
      </c>
      <c r="B240" s="293"/>
      <c r="C240" s="13"/>
      <c r="D240" s="13"/>
      <c r="E240" s="13"/>
      <c r="F240" s="13"/>
    </row>
    <row r="241" ht="15.75" customHeight="1">
      <c r="A241" s="296" t="s">
        <v>823</v>
      </c>
      <c r="B241" s="291" t="s">
        <v>825</v>
      </c>
      <c r="C241" s="13"/>
      <c r="D241" s="13"/>
      <c r="E241" s="13"/>
      <c r="F241" s="13"/>
    </row>
    <row r="242" ht="15.75" customHeight="1">
      <c r="A242" s="296" t="s">
        <v>827</v>
      </c>
      <c r="B242" s="291" t="s">
        <v>829</v>
      </c>
      <c r="C242" s="13"/>
      <c r="D242" s="13"/>
      <c r="E242" s="13"/>
      <c r="F242" s="13"/>
    </row>
    <row r="243" ht="15.75" customHeight="1">
      <c r="A243" s="296" t="s">
        <v>831</v>
      </c>
      <c r="B243" s="291" t="s">
        <v>833</v>
      </c>
      <c r="C243" s="13"/>
      <c r="D243" s="13"/>
      <c r="E243" s="13"/>
      <c r="F243" s="13"/>
    </row>
    <row r="244" ht="15.75" customHeight="1">
      <c r="A244" s="296" t="s">
        <v>835</v>
      </c>
      <c r="B244" s="291" t="s">
        <v>836</v>
      </c>
      <c r="C244" s="13"/>
      <c r="D244" s="13"/>
      <c r="E244" s="13"/>
      <c r="F244" s="13"/>
    </row>
    <row r="245" ht="15.75" customHeight="1">
      <c r="A245" s="296" t="s">
        <v>838</v>
      </c>
      <c r="B245" s="293"/>
      <c r="C245" s="13"/>
      <c r="D245" s="13"/>
      <c r="E245" s="13"/>
      <c r="F245" s="13"/>
    </row>
    <row r="246" ht="15.75" customHeight="1">
      <c r="A246" s="296" t="s">
        <v>839</v>
      </c>
      <c r="B246" s="291" t="s">
        <v>841</v>
      </c>
      <c r="C246" s="13"/>
      <c r="D246" s="13"/>
      <c r="E246" s="13"/>
      <c r="F246" s="13"/>
    </row>
    <row r="247" ht="15.75" customHeight="1">
      <c r="A247" s="298" t="s">
        <v>843</v>
      </c>
      <c r="B247" s="299"/>
      <c r="C247" s="13"/>
      <c r="D247" s="13"/>
      <c r="E247" s="13"/>
      <c r="F247" s="13"/>
    </row>
    <row r="248" ht="15.75" customHeight="1">
      <c r="A248" s="296" t="s">
        <v>844</v>
      </c>
      <c r="B248" s="291" t="s">
        <v>846</v>
      </c>
      <c r="C248" s="13"/>
      <c r="D248" s="13"/>
      <c r="E248" s="13"/>
      <c r="F248" s="13"/>
    </row>
    <row r="249" ht="15.75" customHeight="1">
      <c r="A249" s="296" t="s">
        <v>848</v>
      </c>
      <c r="B249" s="291" t="s">
        <v>850</v>
      </c>
      <c r="C249" s="13"/>
      <c r="D249" s="13"/>
      <c r="E249" s="13"/>
      <c r="F249" s="13"/>
    </row>
    <row r="250" ht="15.75" customHeight="1">
      <c r="A250" s="296" t="s">
        <v>852</v>
      </c>
      <c r="B250" s="291" t="s">
        <v>853</v>
      </c>
      <c r="C250" s="13"/>
      <c r="D250" s="13"/>
      <c r="E250" s="13"/>
      <c r="F250" s="13"/>
    </row>
    <row r="251" ht="15.75" customHeight="1">
      <c r="A251" s="296" t="s">
        <v>855</v>
      </c>
      <c r="B251" s="293"/>
      <c r="C251" s="13"/>
      <c r="D251" s="13"/>
      <c r="E251" s="13"/>
      <c r="F251" s="13"/>
    </row>
    <row r="252" ht="15.75" customHeight="1">
      <c r="A252" s="296" t="s">
        <v>857</v>
      </c>
      <c r="B252" s="293"/>
      <c r="C252" s="13"/>
      <c r="D252" s="13"/>
      <c r="E252" s="13"/>
      <c r="F252" s="13"/>
    </row>
    <row r="253" ht="15.75" customHeight="1">
      <c r="A253" s="296" t="s">
        <v>860</v>
      </c>
      <c r="B253" s="291" t="s">
        <v>862</v>
      </c>
      <c r="C253" s="13"/>
      <c r="D253" s="13"/>
      <c r="E253" s="13"/>
      <c r="F253" s="13"/>
    </row>
    <row r="254" ht="15.75" customHeight="1">
      <c r="A254" s="296" t="s">
        <v>863</v>
      </c>
      <c r="B254" s="293"/>
      <c r="C254" s="13"/>
      <c r="D254" s="13"/>
      <c r="E254" s="13"/>
      <c r="F254" s="13"/>
    </row>
    <row r="255" ht="15.75" customHeight="1">
      <c r="A255" s="296" t="s">
        <v>867</v>
      </c>
      <c r="B255" s="291" t="s">
        <v>869</v>
      </c>
      <c r="C255" s="13"/>
      <c r="D255" s="13"/>
      <c r="E255" s="13"/>
      <c r="F255" s="13"/>
    </row>
    <row r="256" ht="15.75" customHeight="1">
      <c r="A256" s="296" t="s">
        <v>871</v>
      </c>
      <c r="B256" s="293"/>
      <c r="C256" s="13"/>
      <c r="D256" s="13"/>
      <c r="E256" s="13"/>
      <c r="F256" s="13"/>
    </row>
    <row r="257" ht="15.75" customHeight="1">
      <c r="A257" s="296" t="s">
        <v>872</v>
      </c>
      <c r="B257" s="291" t="s">
        <v>874</v>
      </c>
      <c r="C257" s="13"/>
      <c r="D257" s="13"/>
      <c r="E257" s="13"/>
      <c r="F257" s="13"/>
    </row>
    <row r="258" ht="15.75" customHeight="1">
      <c r="A258" s="296" t="s">
        <v>876</v>
      </c>
      <c r="B258" s="291" t="s">
        <v>877</v>
      </c>
      <c r="C258" s="13"/>
      <c r="D258" s="13"/>
      <c r="E258" s="13"/>
      <c r="F258" s="13"/>
    </row>
    <row r="259" ht="15.75" customHeight="1">
      <c r="A259" s="296" t="s">
        <v>879</v>
      </c>
      <c r="B259" s="291" t="s">
        <v>881</v>
      </c>
      <c r="C259" s="13"/>
      <c r="D259" s="13"/>
      <c r="E259" s="13"/>
      <c r="F259" s="13"/>
    </row>
    <row r="260" ht="15.75" customHeight="1">
      <c r="A260" s="296" t="s">
        <v>883</v>
      </c>
      <c r="B260" s="293"/>
      <c r="C260" s="13"/>
      <c r="D260" s="13"/>
      <c r="E260" s="13"/>
      <c r="F260" s="13"/>
    </row>
    <row r="261" ht="15.75" customHeight="1">
      <c r="A261" s="296" t="s">
        <v>885</v>
      </c>
      <c r="B261" s="291" t="s">
        <v>887</v>
      </c>
      <c r="C261" s="13"/>
      <c r="D261" s="13"/>
      <c r="E261" s="13"/>
      <c r="F261" s="13"/>
    </row>
    <row r="262" ht="15.75" customHeight="1">
      <c r="A262" s="296" t="s">
        <v>889</v>
      </c>
      <c r="B262" s="291" t="s">
        <v>891</v>
      </c>
      <c r="C262" s="13"/>
      <c r="D262" s="13"/>
      <c r="E262" s="13"/>
      <c r="F262" s="13"/>
    </row>
    <row r="263" ht="15.75" customHeight="1">
      <c r="A263" s="296" t="s">
        <v>893</v>
      </c>
      <c r="B263" s="291" t="s">
        <v>895</v>
      </c>
      <c r="C263" s="13"/>
      <c r="D263" s="13"/>
      <c r="E263" s="13"/>
      <c r="F263" s="13"/>
    </row>
    <row r="264" ht="15.75" customHeight="1">
      <c r="A264" s="300" t="s">
        <v>897</v>
      </c>
      <c r="B264" s="293"/>
      <c r="C264" s="13"/>
      <c r="D264" s="13"/>
      <c r="E264" s="13"/>
      <c r="F264" s="13"/>
    </row>
    <row r="265" ht="15.75" customHeight="1">
      <c r="A265" s="290" t="s">
        <v>898</v>
      </c>
      <c r="B265" s="291" t="s">
        <v>899</v>
      </c>
      <c r="C265" s="13"/>
      <c r="D265" s="13"/>
      <c r="E265" s="13"/>
      <c r="F265" s="13"/>
    </row>
    <row r="266" ht="15.75" customHeight="1">
      <c r="A266" s="290" t="s">
        <v>901</v>
      </c>
      <c r="B266" s="291" t="s">
        <v>903</v>
      </c>
      <c r="C266" s="13"/>
      <c r="D266" s="13"/>
      <c r="E266" s="13"/>
      <c r="F266" s="13"/>
    </row>
    <row r="267" ht="15.75" customHeight="1">
      <c r="A267" s="290" t="s">
        <v>905</v>
      </c>
      <c r="B267" s="293"/>
      <c r="C267" s="13"/>
      <c r="D267" s="13"/>
      <c r="E267" s="13"/>
      <c r="F267" s="13"/>
    </row>
    <row r="268" ht="15.75" customHeight="1">
      <c r="A268" s="290" t="s">
        <v>909</v>
      </c>
      <c r="B268" s="291" t="s">
        <v>911</v>
      </c>
      <c r="C268" s="13"/>
      <c r="D268" s="13"/>
      <c r="E268" s="13"/>
      <c r="F268" s="13"/>
    </row>
    <row r="269" ht="15.75" customHeight="1">
      <c r="A269" s="290" t="s">
        <v>913</v>
      </c>
      <c r="B269" s="42" t="s">
        <v>915</v>
      </c>
      <c r="C269" s="13"/>
      <c r="D269" s="13"/>
      <c r="E269" s="13"/>
      <c r="F269" s="13"/>
    </row>
    <row r="270" ht="15.75" customHeight="1">
      <c r="A270" s="290" t="s">
        <v>917</v>
      </c>
      <c r="B270" s="293"/>
      <c r="C270" s="13"/>
      <c r="D270" s="13"/>
      <c r="E270" s="13"/>
      <c r="F270" s="13"/>
    </row>
    <row r="271" ht="15.75" customHeight="1">
      <c r="A271" s="290" t="s">
        <v>919</v>
      </c>
      <c r="B271" s="293"/>
      <c r="C271" s="13"/>
      <c r="D271" s="13"/>
      <c r="E271" s="13"/>
      <c r="F271" s="13"/>
    </row>
    <row r="272" ht="15.75" customHeight="1">
      <c r="A272" s="290" t="s">
        <v>922</v>
      </c>
      <c r="B272" s="291" t="s">
        <v>923</v>
      </c>
      <c r="C272" s="13"/>
      <c r="D272" s="13"/>
      <c r="E272" s="13"/>
      <c r="F272" s="13"/>
    </row>
    <row r="273" ht="15.75" customHeight="1">
      <c r="A273" s="290" t="s">
        <v>925</v>
      </c>
      <c r="B273" s="291" t="s">
        <v>927</v>
      </c>
      <c r="C273" s="13"/>
      <c r="D273" s="13"/>
      <c r="E273" s="13"/>
      <c r="F273" s="13"/>
    </row>
    <row r="274" ht="15.75" customHeight="1">
      <c r="A274" s="290" t="s">
        <v>929</v>
      </c>
      <c r="B274" s="293"/>
      <c r="C274" s="13"/>
      <c r="D274" s="13"/>
      <c r="E274" s="13"/>
      <c r="F274" s="13"/>
    </row>
    <row r="275" ht="15.75" customHeight="1">
      <c r="A275" s="290" t="s">
        <v>931</v>
      </c>
      <c r="B275" s="291" t="s">
        <v>933</v>
      </c>
      <c r="C275" s="13"/>
      <c r="D275" s="13"/>
      <c r="E275" s="13"/>
      <c r="F275" s="13"/>
    </row>
    <row r="276" ht="15.75" customHeight="1">
      <c r="A276" s="290" t="s">
        <v>935</v>
      </c>
      <c r="B276" s="291" t="s">
        <v>937</v>
      </c>
      <c r="C276" s="13"/>
      <c r="D276" s="13"/>
      <c r="E276" s="13"/>
      <c r="F276" s="13"/>
    </row>
    <row r="277" ht="15.75" customHeight="1">
      <c r="A277" s="290" t="s">
        <v>939</v>
      </c>
      <c r="B277" s="291" t="s">
        <v>941</v>
      </c>
      <c r="C277" s="13"/>
      <c r="D277" s="13"/>
      <c r="E277" s="13"/>
      <c r="F277" s="13"/>
    </row>
    <row r="278" ht="15.75" customHeight="1">
      <c r="A278" s="290" t="s">
        <v>943</v>
      </c>
      <c r="B278" s="293"/>
      <c r="C278" s="13"/>
      <c r="D278" s="13"/>
      <c r="E278" s="13"/>
      <c r="F278" s="13"/>
    </row>
    <row r="279" ht="15.75" customHeight="1">
      <c r="A279" s="290" t="s">
        <v>945</v>
      </c>
      <c r="B279" s="291" t="s">
        <v>947</v>
      </c>
      <c r="C279" s="13"/>
      <c r="D279" s="13"/>
      <c r="E279" s="13"/>
      <c r="F279" s="13"/>
    </row>
    <row r="280" ht="15.75" customHeight="1">
      <c r="A280" s="290" t="s">
        <v>949</v>
      </c>
      <c r="B280" s="291" t="s">
        <v>951</v>
      </c>
      <c r="C280" s="13"/>
      <c r="D280" s="13"/>
      <c r="E280" s="13"/>
      <c r="F280" s="13"/>
    </row>
    <row r="281" ht="15.75" customHeight="1">
      <c r="A281" s="290" t="s">
        <v>953</v>
      </c>
      <c r="B281" s="293"/>
      <c r="C281" s="13"/>
      <c r="D281" s="13"/>
      <c r="E281" s="13"/>
      <c r="F281" s="13"/>
    </row>
    <row r="282" ht="15.75" customHeight="1">
      <c r="A282" s="290" t="s">
        <v>954</v>
      </c>
      <c r="B282" s="293"/>
      <c r="C282" s="13"/>
      <c r="D282" s="13"/>
      <c r="E282" s="13"/>
      <c r="F282" s="13"/>
    </row>
    <row r="283" ht="15.75" customHeight="1">
      <c r="A283" s="290" t="s">
        <v>955</v>
      </c>
      <c r="B283" s="293"/>
      <c r="C283" s="13"/>
      <c r="D283" s="13"/>
      <c r="E283" s="13"/>
      <c r="F283" s="13"/>
    </row>
    <row r="284" ht="15.75" customHeight="1">
      <c r="A284" s="290" t="s">
        <v>957</v>
      </c>
      <c r="B284" s="291" t="s">
        <v>959</v>
      </c>
      <c r="C284" s="13"/>
      <c r="D284" s="13"/>
      <c r="E284" s="13"/>
      <c r="F284" s="13"/>
    </row>
    <row r="285" ht="15.75" customHeight="1">
      <c r="A285" s="290" t="s">
        <v>961</v>
      </c>
      <c r="B285" s="293"/>
      <c r="C285" s="13"/>
      <c r="D285" s="13"/>
      <c r="E285" s="13"/>
      <c r="F285" s="13"/>
    </row>
    <row r="286" ht="15.75" customHeight="1">
      <c r="A286" s="290" t="s">
        <v>963</v>
      </c>
      <c r="B286" s="293"/>
      <c r="C286" s="13"/>
      <c r="D286" s="13"/>
      <c r="E286" s="13"/>
      <c r="F286" s="13"/>
    </row>
    <row r="287" ht="15.75" customHeight="1">
      <c r="A287" s="290" t="s">
        <v>965</v>
      </c>
      <c r="B287" s="293"/>
      <c r="C287" s="13"/>
      <c r="D287" s="13"/>
      <c r="E287" s="13"/>
      <c r="F287" s="13"/>
    </row>
    <row r="288" ht="15.75" customHeight="1">
      <c r="A288" s="290" t="s">
        <v>3866</v>
      </c>
      <c r="B288" s="291" t="s">
        <v>969</v>
      </c>
      <c r="C288" s="13"/>
      <c r="D288" s="13"/>
      <c r="E288" s="13"/>
      <c r="F288" s="13"/>
    </row>
    <row r="289" ht="15.75" customHeight="1">
      <c r="A289" s="290" t="s">
        <v>971</v>
      </c>
      <c r="B289" s="293"/>
      <c r="C289" s="13"/>
      <c r="D289" s="13"/>
      <c r="E289" s="13"/>
      <c r="F289" s="13"/>
    </row>
    <row r="290" ht="15.75" customHeight="1">
      <c r="A290" s="290" t="s">
        <v>973</v>
      </c>
      <c r="B290" s="291" t="s">
        <v>975</v>
      </c>
      <c r="C290" s="13"/>
      <c r="D290" s="13"/>
      <c r="E290" s="13"/>
      <c r="F290" s="13"/>
    </row>
    <row r="291" ht="15.75" customHeight="1">
      <c r="A291" s="290" t="s">
        <v>977</v>
      </c>
      <c r="B291" s="293"/>
      <c r="C291" s="13"/>
      <c r="D291" s="13"/>
      <c r="E291" s="13"/>
      <c r="F291" s="13"/>
    </row>
    <row r="292" ht="15.75" customHeight="1">
      <c r="A292" s="290" t="s">
        <v>978</v>
      </c>
      <c r="B292" s="291" t="s">
        <v>980</v>
      </c>
      <c r="C292" s="13"/>
      <c r="D292" s="13"/>
      <c r="E292" s="13"/>
      <c r="F292" s="13"/>
    </row>
    <row r="293" ht="15.75" customHeight="1">
      <c r="A293" s="290" t="s">
        <v>982</v>
      </c>
      <c r="B293" s="291" t="s">
        <v>984</v>
      </c>
      <c r="C293" s="13"/>
      <c r="D293" s="13"/>
      <c r="E293" s="13"/>
      <c r="F293" s="13"/>
    </row>
    <row r="294" ht="15.75" customHeight="1">
      <c r="A294" s="290" t="s">
        <v>986</v>
      </c>
      <c r="B294" s="293"/>
      <c r="C294" s="13"/>
      <c r="D294" s="13"/>
      <c r="E294" s="13"/>
      <c r="F294" s="13"/>
    </row>
    <row r="295" ht="15.75" customHeight="1">
      <c r="A295" s="290" t="s">
        <v>3867</v>
      </c>
      <c r="B295" s="291" t="s">
        <v>989</v>
      </c>
      <c r="C295" s="13"/>
      <c r="D295" s="13"/>
      <c r="E295" s="13"/>
      <c r="F295" s="13"/>
    </row>
    <row r="296" ht="15.75" customHeight="1">
      <c r="A296" s="290" t="s">
        <v>991</v>
      </c>
      <c r="B296" s="291" t="s">
        <v>993</v>
      </c>
      <c r="C296" s="13"/>
      <c r="D296" s="13"/>
      <c r="E296" s="13"/>
      <c r="F296" s="13"/>
    </row>
    <row r="297" ht="15.75" customHeight="1">
      <c r="A297" s="290" t="s">
        <v>995</v>
      </c>
      <c r="B297" s="291" t="s">
        <v>997</v>
      </c>
      <c r="C297" s="13"/>
      <c r="D297" s="13"/>
      <c r="E297" s="13"/>
      <c r="F297" s="13"/>
    </row>
    <row r="298" ht="15.75" customHeight="1">
      <c r="A298" s="290" t="s">
        <v>3868</v>
      </c>
      <c r="B298" s="291" t="s">
        <v>1000</v>
      </c>
      <c r="C298" s="13"/>
      <c r="D298" s="13"/>
      <c r="E298" s="13"/>
      <c r="F298" s="13"/>
    </row>
    <row r="299" ht="15.75" customHeight="1">
      <c r="A299" s="290" t="s">
        <v>1002</v>
      </c>
      <c r="B299" s="291" t="s">
        <v>1004</v>
      </c>
      <c r="C299" s="13"/>
      <c r="D299" s="13"/>
      <c r="E299" s="13"/>
      <c r="F299" s="13"/>
    </row>
    <row r="300" ht="15.75" customHeight="1">
      <c r="A300" s="290" t="s">
        <v>1006</v>
      </c>
      <c r="B300" s="293"/>
      <c r="C300" s="13"/>
      <c r="D300" s="13"/>
      <c r="E300" s="13"/>
      <c r="F300" s="13"/>
    </row>
    <row r="301" ht="15.75" customHeight="1">
      <c r="A301" s="295" t="s">
        <v>1007</v>
      </c>
      <c r="B301" s="291" t="s">
        <v>1009</v>
      </c>
      <c r="C301" s="13"/>
      <c r="D301" s="13"/>
      <c r="E301" s="13"/>
      <c r="F301" s="13"/>
    </row>
    <row r="302" ht="15.75" customHeight="1">
      <c r="A302" s="301" t="s">
        <v>1015</v>
      </c>
      <c r="B302" s="291" t="s">
        <v>1017</v>
      </c>
      <c r="C302" s="13"/>
      <c r="D302" s="13"/>
      <c r="E302" s="13"/>
      <c r="F302" s="13"/>
    </row>
    <row r="303" ht="15.75" customHeight="1">
      <c r="A303" s="290" t="s">
        <v>3869</v>
      </c>
      <c r="B303" s="291" t="s">
        <v>3870</v>
      </c>
      <c r="C303" s="13"/>
      <c r="D303" s="13"/>
      <c r="E303" s="13"/>
      <c r="F303" s="13"/>
    </row>
    <row r="304" ht="15.75" customHeight="1">
      <c r="A304" s="290" t="s">
        <v>1020</v>
      </c>
      <c r="B304" s="293"/>
      <c r="C304" s="13"/>
      <c r="D304" s="13"/>
      <c r="E304" s="13"/>
      <c r="F304" s="13"/>
    </row>
    <row r="305" ht="15.75" customHeight="1">
      <c r="A305" s="290" t="s">
        <v>1024</v>
      </c>
      <c r="B305" s="293"/>
      <c r="C305" s="13"/>
      <c r="D305" s="13"/>
      <c r="E305" s="13"/>
      <c r="F305" s="13"/>
    </row>
    <row r="306" ht="15.75" customHeight="1">
      <c r="A306" s="290" t="s">
        <v>1025</v>
      </c>
      <c r="B306" s="293"/>
      <c r="C306" s="13"/>
      <c r="D306" s="13"/>
      <c r="E306" s="13"/>
      <c r="F306" s="13"/>
    </row>
    <row r="307" ht="15.75" customHeight="1">
      <c r="A307" s="290" t="s">
        <v>1026</v>
      </c>
      <c r="B307" s="293"/>
      <c r="C307" s="13"/>
      <c r="D307" s="13"/>
      <c r="E307" s="13"/>
      <c r="F307" s="13"/>
    </row>
    <row r="308" ht="15.75" customHeight="1">
      <c r="A308" s="302" t="s">
        <v>1028</v>
      </c>
      <c r="B308" s="291" t="s">
        <v>1030</v>
      </c>
      <c r="C308" s="13"/>
      <c r="D308" s="13"/>
      <c r="E308" s="13"/>
      <c r="F308" s="13"/>
    </row>
    <row r="309" ht="15.75" customHeight="1">
      <c r="A309" s="302" t="s">
        <v>1032</v>
      </c>
      <c r="B309" s="291" t="s">
        <v>1034</v>
      </c>
      <c r="C309" s="13"/>
      <c r="D309" s="13"/>
      <c r="E309" s="13"/>
      <c r="F309" s="13"/>
    </row>
    <row r="310" ht="15.75" customHeight="1">
      <c r="A310" s="302" t="s">
        <v>1036</v>
      </c>
      <c r="B310" s="291" t="s">
        <v>1038</v>
      </c>
      <c r="C310" s="13"/>
      <c r="D310" s="13"/>
      <c r="E310" s="13"/>
      <c r="F310" s="13"/>
    </row>
    <row r="311" ht="15.75" customHeight="1">
      <c r="A311" s="295" t="s">
        <v>1040</v>
      </c>
      <c r="B311" s="293"/>
      <c r="C311" s="13"/>
      <c r="D311" s="13"/>
      <c r="E311" s="13"/>
      <c r="F311" s="13"/>
    </row>
    <row r="312" ht="15.75" customHeight="1">
      <c r="A312" s="295" t="s">
        <v>1041</v>
      </c>
      <c r="B312" s="293"/>
      <c r="C312" s="13"/>
      <c r="D312" s="13"/>
      <c r="E312" s="13"/>
      <c r="F312" s="13"/>
    </row>
    <row r="313" ht="15.75" customHeight="1">
      <c r="A313" s="290" t="s">
        <v>1043</v>
      </c>
      <c r="B313" s="291" t="s">
        <v>1045</v>
      </c>
      <c r="C313" s="13"/>
      <c r="D313" s="13"/>
      <c r="E313" s="13"/>
      <c r="F313" s="13"/>
    </row>
    <row r="314" ht="15.75" customHeight="1">
      <c r="A314" s="295" t="s">
        <v>1047</v>
      </c>
      <c r="B314" s="291" t="s">
        <v>1049</v>
      </c>
      <c r="C314" s="13"/>
      <c r="D314" s="13"/>
      <c r="E314" s="13"/>
      <c r="F314" s="13"/>
    </row>
    <row r="315" ht="15.75" customHeight="1">
      <c r="A315" s="295" t="s">
        <v>1051</v>
      </c>
      <c r="B315" s="293"/>
      <c r="C315" s="13"/>
      <c r="D315" s="13"/>
      <c r="E315" s="13"/>
      <c r="F315" s="13"/>
    </row>
    <row r="316" ht="15.75" customHeight="1">
      <c r="A316" s="290" t="s">
        <v>1054</v>
      </c>
      <c r="B316" s="291" t="s">
        <v>1056</v>
      </c>
      <c r="C316" s="13"/>
      <c r="D316" s="13"/>
      <c r="E316" s="13"/>
      <c r="F316" s="13"/>
    </row>
    <row r="317" ht="15.75" customHeight="1">
      <c r="A317" s="290" t="s">
        <v>1058</v>
      </c>
      <c r="B317" s="291" t="s">
        <v>1060</v>
      </c>
      <c r="C317" s="13"/>
      <c r="D317" s="13"/>
      <c r="E317" s="13"/>
      <c r="F317" s="13"/>
    </row>
    <row r="318" ht="15.75" customHeight="1">
      <c r="A318" s="290" t="s">
        <v>1062</v>
      </c>
      <c r="B318" s="293"/>
      <c r="C318" s="13"/>
      <c r="D318" s="13"/>
      <c r="E318" s="13"/>
      <c r="F318" s="13"/>
    </row>
    <row r="319" ht="15.75" customHeight="1">
      <c r="A319" s="290" t="s">
        <v>1063</v>
      </c>
      <c r="B319" s="293"/>
      <c r="C319" s="13"/>
      <c r="D319" s="13"/>
      <c r="E319" s="13"/>
      <c r="F319" s="13"/>
    </row>
    <row r="320" ht="15.75" customHeight="1">
      <c r="A320" s="290" t="s">
        <v>1065</v>
      </c>
      <c r="B320" s="293"/>
      <c r="C320" s="13"/>
      <c r="D320" s="13"/>
      <c r="E320" s="13"/>
      <c r="F320" s="13"/>
    </row>
    <row r="321" ht="15.75" customHeight="1">
      <c r="A321" s="290" t="s">
        <v>1066</v>
      </c>
      <c r="B321" s="291" t="s">
        <v>3871</v>
      </c>
      <c r="C321" s="13"/>
      <c r="D321" s="13"/>
      <c r="E321" s="13"/>
      <c r="F321" s="13"/>
    </row>
    <row r="322" ht="15.75" customHeight="1">
      <c r="A322" s="290" t="s">
        <v>1074</v>
      </c>
      <c r="B322" s="291" t="s">
        <v>1075</v>
      </c>
      <c r="C322" s="13"/>
      <c r="D322" s="13"/>
      <c r="E322" s="13"/>
      <c r="F322" s="13"/>
    </row>
    <row r="323" ht="15.75" customHeight="1">
      <c r="A323" s="295" t="s">
        <v>1077</v>
      </c>
      <c r="B323" s="291" t="s">
        <v>1079</v>
      </c>
      <c r="C323" s="13"/>
      <c r="D323" s="13"/>
      <c r="E323" s="13"/>
      <c r="F323" s="13"/>
    </row>
    <row r="324" ht="15.75" customHeight="1">
      <c r="A324" s="290" t="s">
        <v>1081</v>
      </c>
      <c r="B324" s="291" t="s">
        <v>1083</v>
      </c>
      <c r="C324" s="13"/>
      <c r="D324" s="13"/>
      <c r="E324" s="13"/>
      <c r="F324" s="13"/>
    </row>
    <row r="325" ht="15.75" customHeight="1">
      <c r="A325" s="290" t="s">
        <v>1085</v>
      </c>
      <c r="B325" s="293"/>
      <c r="C325" s="13"/>
      <c r="D325" s="13"/>
      <c r="E325" s="13"/>
      <c r="F325" s="13"/>
    </row>
    <row r="326" ht="15.75" customHeight="1">
      <c r="A326" s="290" t="s">
        <v>1086</v>
      </c>
      <c r="B326" s="293"/>
      <c r="C326" s="13"/>
      <c r="D326" s="13"/>
      <c r="E326" s="13"/>
      <c r="F326" s="13"/>
    </row>
    <row r="327" ht="15.75" customHeight="1">
      <c r="A327" s="290" t="s">
        <v>1088</v>
      </c>
      <c r="B327" s="293"/>
      <c r="C327" s="13"/>
      <c r="D327" s="13"/>
      <c r="E327" s="13"/>
      <c r="F327" s="13"/>
    </row>
    <row r="328" ht="15.75" customHeight="1">
      <c r="A328" s="290" t="s">
        <v>1089</v>
      </c>
      <c r="B328" s="291" t="s">
        <v>1091</v>
      </c>
      <c r="C328" s="13"/>
      <c r="D328" s="13"/>
      <c r="E328" s="13"/>
      <c r="F328" s="13"/>
    </row>
    <row r="329" ht="15.75" customHeight="1">
      <c r="A329" s="290" t="s">
        <v>1093</v>
      </c>
      <c r="B329" s="293"/>
      <c r="C329" s="13"/>
      <c r="D329" s="13"/>
      <c r="E329" s="13"/>
      <c r="F329" s="13"/>
    </row>
    <row r="330" ht="15.75" customHeight="1">
      <c r="A330" s="290" t="s">
        <v>1095</v>
      </c>
      <c r="B330" s="291" t="s">
        <v>1096</v>
      </c>
      <c r="C330" s="13"/>
      <c r="D330" s="13"/>
      <c r="E330" s="13"/>
      <c r="F330" s="13"/>
    </row>
    <row r="331" ht="15.75" customHeight="1">
      <c r="A331" s="290" t="s">
        <v>1097</v>
      </c>
      <c r="B331" s="291" t="s">
        <v>1099</v>
      </c>
      <c r="C331" s="13"/>
      <c r="D331" s="13"/>
      <c r="E331" s="13"/>
      <c r="F331" s="13"/>
    </row>
    <row r="332" ht="15.75" customHeight="1">
      <c r="A332" s="290" t="s">
        <v>1101</v>
      </c>
      <c r="B332" s="291" t="s">
        <v>1103</v>
      </c>
      <c r="C332" s="13"/>
      <c r="D332" s="13"/>
      <c r="E332" s="13"/>
      <c r="F332" s="13"/>
    </row>
    <row r="333" ht="15.75" customHeight="1">
      <c r="A333" s="290" t="s">
        <v>1105</v>
      </c>
      <c r="B333" s="291" t="s">
        <v>1107</v>
      </c>
      <c r="C333" s="13"/>
      <c r="D333" s="13"/>
      <c r="E333" s="13"/>
      <c r="F333" s="13"/>
    </row>
    <row r="334" ht="15.75" customHeight="1">
      <c r="A334" s="290" t="s">
        <v>1110</v>
      </c>
      <c r="B334" s="291" t="s">
        <v>1112</v>
      </c>
      <c r="C334" s="13"/>
      <c r="D334" s="13"/>
      <c r="E334" s="13"/>
      <c r="F334" s="13"/>
    </row>
    <row r="335" ht="15.75" customHeight="1">
      <c r="A335" s="290" t="s">
        <v>1114</v>
      </c>
      <c r="B335" s="291" t="s">
        <v>1116</v>
      </c>
      <c r="C335" s="13"/>
      <c r="D335" s="13"/>
      <c r="E335" s="13"/>
      <c r="F335" s="13"/>
    </row>
    <row r="336" ht="15.75" customHeight="1">
      <c r="A336" s="290" t="s">
        <v>3872</v>
      </c>
      <c r="B336" s="291" t="s">
        <v>1120</v>
      </c>
      <c r="C336" s="13"/>
      <c r="D336" s="13"/>
      <c r="E336" s="13"/>
      <c r="F336" s="13"/>
    </row>
    <row r="337" ht="15.75" customHeight="1">
      <c r="A337" s="290" t="s">
        <v>1122</v>
      </c>
      <c r="B337" s="293"/>
      <c r="C337" s="13"/>
      <c r="D337" s="13"/>
      <c r="E337" s="13"/>
      <c r="F337" s="13"/>
    </row>
    <row r="338" ht="15.75" customHeight="1">
      <c r="A338" s="290" t="s">
        <v>1126</v>
      </c>
      <c r="B338" s="291" t="s">
        <v>1128</v>
      </c>
      <c r="C338" s="13"/>
      <c r="D338" s="13"/>
      <c r="E338" s="13"/>
      <c r="F338" s="13"/>
    </row>
    <row r="339" ht="15.75" customHeight="1">
      <c r="A339" s="290" t="s">
        <v>1130</v>
      </c>
      <c r="B339" s="293"/>
      <c r="C339" s="13"/>
      <c r="D339" s="13"/>
      <c r="E339" s="13"/>
      <c r="F339" s="13"/>
    </row>
    <row r="340" ht="15.75" customHeight="1">
      <c r="A340" s="290" t="s">
        <v>1131</v>
      </c>
      <c r="B340" s="291" t="s">
        <v>1133</v>
      </c>
      <c r="C340" s="13"/>
      <c r="D340" s="13"/>
      <c r="E340" s="13"/>
      <c r="F340" s="13"/>
    </row>
    <row r="341" ht="15.75" customHeight="1">
      <c r="A341" s="290" t="s">
        <v>1135</v>
      </c>
      <c r="B341" s="291" t="s">
        <v>1137</v>
      </c>
      <c r="C341" s="13"/>
      <c r="D341" s="13"/>
      <c r="E341" s="13"/>
      <c r="F341" s="13"/>
    </row>
    <row r="342" ht="15.75" customHeight="1">
      <c r="A342" s="290" t="s">
        <v>1139</v>
      </c>
      <c r="B342" s="293"/>
      <c r="C342" s="13"/>
      <c r="D342" s="13"/>
      <c r="E342" s="13"/>
      <c r="F342" s="13"/>
    </row>
    <row r="343" ht="15.75" customHeight="1">
      <c r="A343" s="290" t="s">
        <v>1141</v>
      </c>
      <c r="B343" s="291" t="s">
        <v>1143</v>
      </c>
      <c r="C343" s="13"/>
      <c r="D343" s="13"/>
      <c r="E343" s="13"/>
      <c r="F343" s="13"/>
    </row>
    <row r="344" ht="15.75" customHeight="1">
      <c r="A344" s="290" t="s">
        <v>1145</v>
      </c>
      <c r="B344" s="291" t="s">
        <v>1147</v>
      </c>
      <c r="C344" s="13"/>
      <c r="D344" s="13"/>
      <c r="E344" s="13"/>
      <c r="F344" s="13"/>
    </row>
    <row r="345" ht="15.75" customHeight="1">
      <c r="A345" s="290" t="s">
        <v>1152</v>
      </c>
      <c r="B345" s="291" t="s">
        <v>1154</v>
      </c>
      <c r="C345" s="13"/>
      <c r="D345" s="13"/>
      <c r="E345" s="13"/>
      <c r="F345" s="13"/>
    </row>
    <row r="346" ht="15.75" customHeight="1">
      <c r="A346" s="290" t="s">
        <v>1156</v>
      </c>
      <c r="B346" s="293"/>
      <c r="C346" s="13"/>
      <c r="D346" s="13"/>
      <c r="E346" s="13"/>
      <c r="F346" s="13"/>
    </row>
    <row r="347" ht="15.75" customHeight="1">
      <c r="A347" s="290" t="s">
        <v>1157</v>
      </c>
      <c r="B347" s="293"/>
      <c r="C347" s="13"/>
      <c r="D347" s="13"/>
      <c r="E347" s="13"/>
      <c r="F347" s="13"/>
    </row>
    <row r="348" ht="15.75" customHeight="1">
      <c r="A348" s="290" t="s">
        <v>1159</v>
      </c>
      <c r="B348" s="291" t="s">
        <v>1161</v>
      </c>
      <c r="C348" s="13"/>
      <c r="D348" s="13"/>
      <c r="E348" s="13"/>
      <c r="F348" s="13"/>
    </row>
    <row r="349" ht="15.75" customHeight="1">
      <c r="A349" s="290" t="s">
        <v>1163</v>
      </c>
      <c r="B349" s="291" t="s">
        <v>1165</v>
      </c>
      <c r="C349" s="13"/>
      <c r="D349" s="13"/>
      <c r="E349" s="13"/>
      <c r="F349" s="13"/>
    </row>
    <row r="350" ht="15.75" customHeight="1">
      <c r="A350" s="290" t="s">
        <v>3873</v>
      </c>
      <c r="B350" s="293"/>
      <c r="C350" s="13"/>
      <c r="D350" s="13"/>
      <c r="E350" s="13"/>
      <c r="F350" s="13"/>
    </row>
    <row r="351" ht="15.75" customHeight="1">
      <c r="A351" s="290" t="s">
        <v>1170</v>
      </c>
      <c r="B351" s="291" t="s">
        <v>1172</v>
      </c>
      <c r="C351" s="13"/>
      <c r="D351" s="13"/>
      <c r="E351" s="13"/>
      <c r="F351" s="13"/>
    </row>
    <row r="352" ht="15.75" customHeight="1">
      <c r="A352" s="290" t="s">
        <v>1174</v>
      </c>
      <c r="B352" s="291" t="s">
        <v>1176</v>
      </c>
      <c r="C352" s="13"/>
      <c r="D352" s="13"/>
      <c r="E352" s="13"/>
      <c r="F352" s="13"/>
    </row>
    <row r="353" ht="15.75" customHeight="1">
      <c r="A353" s="290" t="s">
        <v>1178</v>
      </c>
      <c r="B353" s="291" t="s">
        <v>1180</v>
      </c>
      <c r="C353" s="13"/>
      <c r="D353" s="13"/>
      <c r="E353" s="13"/>
      <c r="F353" s="13"/>
    </row>
    <row r="354" ht="15.75" customHeight="1">
      <c r="A354" s="290" t="s">
        <v>1182</v>
      </c>
      <c r="B354" s="303"/>
      <c r="C354" s="13"/>
      <c r="D354" s="13"/>
      <c r="E354" s="13"/>
      <c r="F354" s="13"/>
    </row>
    <row r="355" ht="15.75" customHeight="1">
      <c r="A355" s="290" t="s">
        <v>1186</v>
      </c>
      <c r="B355" s="303"/>
      <c r="C355" s="13"/>
      <c r="D355" s="13"/>
      <c r="E355" s="13"/>
      <c r="F355" s="13"/>
    </row>
    <row r="356" ht="15.75" customHeight="1">
      <c r="A356" s="290" t="s">
        <v>1190</v>
      </c>
      <c r="B356" s="291" t="s">
        <v>1192</v>
      </c>
      <c r="C356" s="13"/>
      <c r="D356" s="13"/>
      <c r="E356" s="13"/>
      <c r="F356" s="13"/>
    </row>
    <row r="357" ht="15.75" customHeight="1">
      <c r="A357" s="290" t="s">
        <v>1194</v>
      </c>
      <c r="B357" s="291" t="s">
        <v>1196</v>
      </c>
      <c r="C357" s="13"/>
      <c r="D357" s="13"/>
      <c r="E357" s="13"/>
      <c r="F357" s="13"/>
    </row>
    <row r="358" ht="15.75" customHeight="1">
      <c r="A358" s="290" t="s">
        <v>1198</v>
      </c>
      <c r="B358" s="303"/>
      <c r="C358" s="13"/>
      <c r="D358" s="13"/>
      <c r="E358" s="13"/>
      <c r="F358" s="13"/>
    </row>
    <row r="359" ht="15.75" customHeight="1">
      <c r="A359" s="290" t="s">
        <v>1202</v>
      </c>
      <c r="B359" s="303"/>
      <c r="C359" s="13"/>
      <c r="D359" s="13"/>
      <c r="E359" s="13"/>
      <c r="F359" s="13"/>
    </row>
    <row r="360" ht="15.75" customHeight="1">
      <c r="A360" s="290" t="s">
        <v>1203</v>
      </c>
      <c r="B360" s="291" t="s">
        <v>1205</v>
      </c>
      <c r="C360" s="13"/>
      <c r="D360" s="13"/>
      <c r="E360" s="13"/>
      <c r="F360" s="13"/>
    </row>
    <row r="361" ht="15.75" customHeight="1">
      <c r="A361" s="290" t="s">
        <v>1207</v>
      </c>
      <c r="B361" s="291" t="s">
        <v>1209</v>
      </c>
      <c r="C361" s="13"/>
      <c r="D361" s="13"/>
      <c r="E361" s="13"/>
      <c r="F361" s="13"/>
    </row>
    <row r="362" ht="15.75" customHeight="1">
      <c r="A362" s="295" t="s">
        <v>1211</v>
      </c>
      <c r="B362" s="291" t="s">
        <v>1213</v>
      </c>
      <c r="C362" s="13"/>
      <c r="D362" s="13"/>
      <c r="E362" s="13"/>
      <c r="F362" s="13"/>
    </row>
    <row r="363" ht="15.75" customHeight="1">
      <c r="A363" s="295" t="s">
        <v>1215</v>
      </c>
      <c r="B363" s="291" t="s">
        <v>1217</v>
      </c>
      <c r="C363" s="13"/>
      <c r="D363" s="13"/>
      <c r="E363" s="13"/>
      <c r="F363" s="13"/>
    </row>
    <row r="364" ht="15.75" customHeight="1">
      <c r="A364" s="295" t="s">
        <v>1219</v>
      </c>
      <c r="B364" s="291" t="s">
        <v>1220</v>
      </c>
      <c r="C364" s="13"/>
      <c r="D364" s="13"/>
      <c r="E364" s="13"/>
      <c r="F364" s="13"/>
    </row>
    <row r="365" ht="15.75" customHeight="1">
      <c r="A365" s="290" t="s">
        <v>1222</v>
      </c>
      <c r="B365" s="291" t="s">
        <v>1224</v>
      </c>
      <c r="C365" s="13"/>
      <c r="D365" s="13"/>
      <c r="E365" s="13"/>
      <c r="F365" s="13"/>
    </row>
    <row r="366" ht="15.75" customHeight="1">
      <c r="A366" s="290" t="s">
        <v>1226</v>
      </c>
      <c r="B366" s="291" t="s">
        <v>1228</v>
      </c>
      <c r="C366" s="13"/>
      <c r="D366" s="13"/>
      <c r="E366" s="13"/>
      <c r="F366" s="13"/>
    </row>
    <row r="367" ht="15.75" customHeight="1">
      <c r="A367" s="290" t="s">
        <v>1230</v>
      </c>
      <c r="B367" s="291" t="s">
        <v>1232</v>
      </c>
      <c r="C367" s="13"/>
      <c r="D367" s="13"/>
      <c r="E367" s="13"/>
      <c r="F367" s="13"/>
    </row>
    <row r="368" ht="15.75" customHeight="1">
      <c r="A368" s="290" t="s">
        <v>1234</v>
      </c>
      <c r="B368" s="303"/>
      <c r="C368" s="13"/>
      <c r="D368" s="13"/>
      <c r="E368" s="13"/>
      <c r="F368" s="13"/>
    </row>
    <row r="369" ht="15.75" customHeight="1">
      <c r="A369" s="290" t="s">
        <v>1235</v>
      </c>
      <c r="B369" s="303"/>
      <c r="C369" s="13"/>
      <c r="D369" s="13"/>
      <c r="E369" s="13"/>
      <c r="F369" s="13"/>
    </row>
    <row r="370" ht="15.75" customHeight="1">
      <c r="A370" s="290" t="s">
        <v>1236</v>
      </c>
      <c r="B370" s="291" t="s">
        <v>1237</v>
      </c>
      <c r="C370" s="13"/>
      <c r="D370" s="13"/>
      <c r="E370" s="13"/>
      <c r="F370" s="13"/>
    </row>
    <row r="371" ht="15.75" customHeight="1">
      <c r="A371" s="290" t="s">
        <v>1239</v>
      </c>
      <c r="B371" s="293"/>
      <c r="C371" s="13"/>
      <c r="D371" s="13"/>
      <c r="E371" s="13"/>
      <c r="F371" s="13"/>
    </row>
    <row r="372" ht="15.75" customHeight="1">
      <c r="A372" s="290" t="s">
        <v>1240</v>
      </c>
      <c r="B372" s="293"/>
      <c r="C372" s="13"/>
      <c r="D372" s="13"/>
      <c r="E372" s="13"/>
      <c r="F372" s="13"/>
    </row>
    <row r="373" ht="15.75" customHeight="1">
      <c r="A373" s="290" t="s">
        <v>1244</v>
      </c>
      <c r="B373" s="291" t="s">
        <v>1246</v>
      </c>
      <c r="C373" s="13"/>
      <c r="D373" s="13"/>
      <c r="E373" s="13"/>
      <c r="F373" s="13"/>
    </row>
    <row r="374" ht="15.75" customHeight="1">
      <c r="A374" s="290" t="s">
        <v>1248</v>
      </c>
      <c r="B374" s="293"/>
      <c r="C374" s="13"/>
      <c r="D374" s="13"/>
      <c r="E374" s="13"/>
      <c r="F374" s="13"/>
    </row>
    <row r="375" ht="15.75" customHeight="1">
      <c r="A375" s="290" t="s">
        <v>1251</v>
      </c>
      <c r="B375" s="293"/>
      <c r="C375" s="13"/>
      <c r="D375" s="13"/>
      <c r="E375" s="13"/>
      <c r="F375" s="13"/>
    </row>
    <row r="376" ht="15.75" customHeight="1">
      <c r="A376" s="290" t="s">
        <v>1253</v>
      </c>
      <c r="B376" s="291" t="s">
        <v>1255</v>
      </c>
      <c r="C376" s="13"/>
      <c r="D376" s="13"/>
      <c r="E376" s="13"/>
      <c r="F376" s="13"/>
    </row>
    <row r="377" ht="15.75" customHeight="1">
      <c r="A377" s="290" t="s">
        <v>1257</v>
      </c>
      <c r="B377" s="291" t="s">
        <v>1259</v>
      </c>
      <c r="C377" s="13"/>
      <c r="D377" s="13"/>
      <c r="E377" s="13"/>
      <c r="F377" s="13"/>
    </row>
    <row r="378" ht="15.75" customHeight="1">
      <c r="A378" s="295" t="s">
        <v>1261</v>
      </c>
      <c r="B378" s="291" t="s">
        <v>1263</v>
      </c>
      <c r="C378" s="13"/>
      <c r="D378" s="13"/>
      <c r="E378" s="13"/>
      <c r="F378" s="13"/>
    </row>
    <row r="379" ht="15.75" customHeight="1">
      <c r="A379" s="295" t="s">
        <v>1265</v>
      </c>
      <c r="B379" s="293" t="s">
        <v>1267</v>
      </c>
      <c r="C379" s="13"/>
      <c r="D379" s="13"/>
      <c r="E379" s="13"/>
      <c r="F379" s="13"/>
    </row>
    <row r="380" ht="15.75" customHeight="1">
      <c r="A380" s="295" t="s">
        <v>1269</v>
      </c>
      <c r="B380" s="293"/>
      <c r="C380" s="13"/>
      <c r="D380" s="13"/>
      <c r="E380" s="13"/>
      <c r="F380" s="13"/>
    </row>
    <row r="381" ht="15.75" customHeight="1">
      <c r="A381" s="295" t="s">
        <v>1272</v>
      </c>
      <c r="B381" s="291" t="s">
        <v>1274</v>
      </c>
      <c r="C381" s="13"/>
      <c r="D381" s="13"/>
      <c r="E381" s="13"/>
      <c r="F381" s="13"/>
    </row>
    <row r="382" ht="15.75" customHeight="1">
      <c r="A382" s="295" t="s">
        <v>1276</v>
      </c>
      <c r="B382" s="293"/>
      <c r="C382" s="13"/>
      <c r="D382" s="13"/>
      <c r="E382" s="13"/>
      <c r="F382" s="13"/>
    </row>
    <row r="383" ht="15.75" customHeight="1">
      <c r="A383" s="295" t="s">
        <v>1280</v>
      </c>
      <c r="B383" s="291" t="s">
        <v>1282</v>
      </c>
      <c r="C383" s="13"/>
      <c r="D383" s="13"/>
      <c r="E383" s="13"/>
      <c r="F383" s="13"/>
    </row>
    <row r="384" ht="15.75" customHeight="1">
      <c r="A384" s="295" t="s">
        <v>1284</v>
      </c>
      <c r="B384" s="293"/>
      <c r="C384" s="13"/>
      <c r="D384" s="13"/>
      <c r="E384" s="13"/>
      <c r="F384" s="13"/>
    </row>
    <row r="385" ht="15.75" customHeight="1">
      <c r="A385" s="295" t="s">
        <v>1285</v>
      </c>
      <c r="B385" s="291" t="s">
        <v>1287</v>
      </c>
      <c r="C385" s="13"/>
      <c r="D385" s="13"/>
      <c r="E385" s="13"/>
      <c r="F385" s="13"/>
    </row>
    <row r="386" ht="15.75" customHeight="1">
      <c r="A386" s="295" t="s">
        <v>1289</v>
      </c>
      <c r="B386" s="291" t="s">
        <v>1291</v>
      </c>
      <c r="C386" s="13"/>
      <c r="D386" s="13"/>
      <c r="E386" s="13"/>
      <c r="F386" s="13"/>
    </row>
    <row r="387" ht="15.75" customHeight="1">
      <c r="A387" s="295" t="s">
        <v>1293</v>
      </c>
      <c r="B387" s="293"/>
      <c r="C387" s="13"/>
      <c r="D387" s="13"/>
      <c r="E387" s="13"/>
      <c r="F387" s="13"/>
    </row>
    <row r="388" ht="15.75" customHeight="1">
      <c r="A388" s="295" t="s">
        <v>1295</v>
      </c>
      <c r="B388" s="293"/>
      <c r="C388" s="13"/>
      <c r="D388" s="13"/>
      <c r="E388" s="13"/>
      <c r="F388" s="13"/>
    </row>
    <row r="389" ht="15.75" customHeight="1">
      <c r="A389" s="295" t="s">
        <v>1296</v>
      </c>
      <c r="B389" s="293"/>
      <c r="C389" s="13"/>
      <c r="D389" s="13"/>
      <c r="E389" s="13"/>
      <c r="F389" s="13"/>
    </row>
    <row r="390" ht="15.75" customHeight="1">
      <c r="A390" s="290" t="s">
        <v>1297</v>
      </c>
      <c r="B390" s="291" t="s">
        <v>1299</v>
      </c>
      <c r="C390" s="13"/>
      <c r="D390" s="13"/>
      <c r="E390" s="13"/>
      <c r="F390" s="13"/>
    </row>
    <row r="391" ht="15.75" customHeight="1">
      <c r="A391" s="290" t="s">
        <v>1301</v>
      </c>
      <c r="B391" s="291" t="s">
        <v>1303</v>
      </c>
      <c r="C391" s="13"/>
      <c r="D391" s="13"/>
      <c r="E391" s="13"/>
      <c r="F391" s="13"/>
    </row>
    <row r="392" ht="15.75" customHeight="1">
      <c r="A392" s="290" t="s">
        <v>1305</v>
      </c>
      <c r="B392" s="291" t="s">
        <v>1307</v>
      </c>
      <c r="C392" s="13"/>
      <c r="D392" s="13"/>
      <c r="E392" s="13"/>
      <c r="F392" s="13"/>
    </row>
    <row r="393" ht="15.75" customHeight="1">
      <c r="A393" s="290" t="s">
        <v>1309</v>
      </c>
      <c r="B393" s="293"/>
      <c r="C393" s="13"/>
      <c r="D393" s="13"/>
      <c r="E393" s="13"/>
      <c r="F393" s="13"/>
    </row>
    <row r="394" ht="15.75" customHeight="1">
      <c r="A394" s="290" t="s">
        <v>1310</v>
      </c>
      <c r="B394" s="291" t="s">
        <v>1312</v>
      </c>
      <c r="C394" s="13"/>
      <c r="D394" s="13"/>
      <c r="E394" s="13"/>
      <c r="F394" s="13"/>
    </row>
    <row r="395" ht="15.75" customHeight="1">
      <c r="A395" s="290" t="s">
        <v>1314</v>
      </c>
      <c r="B395" s="293"/>
      <c r="C395" s="13"/>
      <c r="D395" s="13"/>
      <c r="E395" s="13"/>
      <c r="F395" s="13"/>
    </row>
    <row r="396" ht="15.75" customHeight="1">
      <c r="A396" s="295" t="s">
        <v>1315</v>
      </c>
      <c r="B396" s="291" t="s">
        <v>1317</v>
      </c>
      <c r="C396" s="13"/>
      <c r="D396" s="13"/>
      <c r="E396" s="13"/>
      <c r="F396" s="13"/>
    </row>
    <row r="397" ht="15.75" customHeight="1">
      <c r="A397" s="295" t="s">
        <v>1319</v>
      </c>
      <c r="B397" s="291" t="s">
        <v>3874</v>
      </c>
      <c r="C397" s="13"/>
      <c r="D397" s="13"/>
      <c r="E397" s="13"/>
      <c r="F397" s="13"/>
    </row>
    <row r="398" ht="15.75" customHeight="1">
      <c r="A398" s="295" t="s">
        <v>3875</v>
      </c>
      <c r="B398" s="291" t="s">
        <v>1325</v>
      </c>
      <c r="C398" s="13"/>
      <c r="D398" s="13"/>
      <c r="E398" s="13"/>
      <c r="F398" s="13"/>
    </row>
    <row r="399" ht="15.75" customHeight="1">
      <c r="A399" s="290" t="s">
        <v>1327</v>
      </c>
      <c r="B399" s="291" t="s">
        <v>1328</v>
      </c>
      <c r="C399" s="13"/>
      <c r="D399" s="13"/>
      <c r="E399" s="13"/>
      <c r="F399" s="13"/>
    </row>
    <row r="400" ht="15.75" customHeight="1">
      <c r="A400" s="290" t="s">
        <v>1330</v>
      </c>
      <c r="B400" s="303"/>
      <c r="C400" s="13"/>
      <c r="D400" s="13"/>
      <c r="E400" s="13"/>
      <c r="F400" s="13"/>
    </row>
    <row r="401" ht="15.75" customHeight="1">
      <c r="A401" s="290" t="s">
        <v>1334</v>
      </c>
      <c r="B401" s="303"/>
      <c r="C401" s="13"/>
      <c r="D401" s="13"/>
      <c r="E401" s="13"/>
      <c r="F401" s="13"/>
    </row>
    <row r="402" ht="15.75" customHeight="1">
      <c r="A402" s="290" t="s">
        <v>1336</v>
      </c>
      <c r="B402" s="291" t="s">
        <v>1338</v>
      </c>
      <c r="C402" s="13"/>
      <c r="D402" s="13"/>
      <c r="E402" s="13"/>
      <c r="F402" s="13"/>
    </row>
    <row r="403" ht="15.75" customHeight="1">
      <c r="A403" s="290" t="s">
        <v>1340</v>
      </c>
      <c r="B403" s="291" t="s">
        <v>1342</v>
      </c>
      <c r="C403" s="13"/>
      <c r="D403" s="13"/>
      <c r="E403" s="13"/>
      <c r="F403" s="13"/>
    </row>
    <row r="404" ht="15.75" customHeight="1">
      <c r="A404" s="295" t="s">
        <v>1344</v>
      </c>
      <c r="B404" s="291" t="s">
        <v>1346</v>
      </c>
      <c r="C404" s="13"/>
      <c r="D404" s="13"/>
      <c r="E404" s="13"/>
      <c r="F404" s="13"/>
    </row>
    <row r="405" ht="15.75" customHeight="1">
      <c r="A405" s="295" t="s">
        <v>1348</v>
      </c>
      <c r="B405" s="291" t="s">
        <v>1350</v>
      </c>
      <c r="C405" s="13"/>
      <c r="D405" s="13"/>
      <c r="E405" s="13"/>
      <c r="F405" s="13"/>
    </row>
    <row r="406" ht="15.75" customHeight="1">
      <c r="A406" s="295" t="s">
        <v>1352</v>
      </c>
      <c r="B406" s="291" t="s">
        <v>1354</v>
      </c>
      <c r="C406" s="13"/>
      <c r="D406" s="13"/>
      <c r="E406" s="13"/>
      <c r="F406" s="13"/>
    </row>
    <row r="407" ht="15.75" customHeight="1">
      <c r="A407" s="290" t="s">
        <v>1356</v>
      </c>
      <c r="B407" s="303"/>
      <c r="C407" s="13"/>
      <c r="D407" s="13"/>
      <c r="E407" s="13"/>
      <c r="F407" s="13"/>
    </row>
    <row r="408" ht="15.75" customHeight="1">
      <c r="A408" s="290" t="s">
        <v>1359</v>
      </c>
      <c r="B408" s="303"/>
      <c r="C408" s="13"/>
      <c r="D408" s="13"/>
      <c r="E408" s="13"/>
      <c r="F408" s="13"/>
    </row>
    <row r="409" ht="15.75" customHeight="1">
      <c r="A409" s="290" t="s">
        <v>1361</v>
      </c>
      <c r="B409" s="303"/>
      <c r="C409" s="13"/>
      <c r="D409" s="13"/>
      <c r="E409" s="13"/>
      <c r="F409" s="13"/>
    </row>
    <row r="410" ht="15.75" customHeight="1">
      <c r="A410" s="290" t="s">
        <v>1363</v>
      </c>
      <c r="B410" s="291" t="s">
        <v>3876</v>
      </c>
      <c r="C410" s="13"/>
      <c r="D410" s="13"/>
      <c r="E410" s="13"/>
      <c r="F410" s="13"/>
    </row>
    <row r="411" ht="15.75" customHeight="1">
      <c r="A411" s="290" t="s">
        <v>1365</v>
      </c>
      <c r="B411" s="291" t="s">
        <v>1367</v>
      </c>
      <c r="C411" s="13"/>
      <c r="D411" s="13"/>
      <c r="E411" s="13"/>
      <c r="F411" s="13"/>
    </row>
    <row r="412" ht="15.75" customHeight="1">
      <c r="A412" s="290" t="s">
        <v>1369</v>
      </c>
      <c r="B412" s="303"/>
      <c r="C412" s="13"/>
      <c r="D412" s="13"/>
      <c r="E412" s="13"/>
      <c r="F412" s="13"/>
    </row>
    <row r="413" ht="15.75" customHeight="1">
      <c r="A413" s="295" t="s">
        <v>1371</v>
      </c>
      <c r="B413" s="291" t="s">
        <v>1373</v>
      </c>
      <c r="C413" s="13"/>
      <c r="D413" s="13"/>
      <c r="E413" s="13"/>
      <c r="F413" s="13"/>
    </row>
    <row r="414" ht="15.75" customHeight="1">
      <c r="A414" s="295" t="s">
        <v>1375</v>
      </c>
      <c r="B414" s="291" t="s">
        <v>1377</v>
      </c>
      <c r="C414" s="13"/>
      <c r="D414" s="13"/>
      <c r="E414" s="13"/>
      <c r="F414" s="13"/>
    </row>
    <row r="415" ht="15.75" customHeight="1">
      <c r="A415" s="295" t="s">
        <v>1379</v>
      </c>
      <c r="B415" s="291" t="s">
        <v>1381</v>
      </c>
      <c r="C415" s="13"/>
      <c r="D415" s="13"/>
      <c r="E415" s="13"/>
      <c r="F415" s="13"/>
    </row>
    <row r="416" ht="15.75" customHeight="1">
      <c r="A416" s="295" t="s">
        <v>1383</v>
      </c>
      <c r="B416" s="303"/>
      <c r="C416" s="13"/>
      <c r="D416" s="13"/>
      <c r="E416" s="13"/>
      <c r="F416" s="13"/>
    </row>
    <row r="417" ht="15.75" customHeight="1">
      <c r="A417" s="295" t="s">
        <v>1384</v>
      </c>
      <c r="B417" s="291" t="s">
        <v>1386</v>
      </c>
      <c r="C417" s="13"/>
      <c r="D417" s="13"/>
      <c r="E417" s="13"/>
      <c r="F417" s="13"/>
    </row>
    <row r="418" ht="15.75" customHeight="1">
      <c r="A418" s="295" t="s">
        <v>1388</v>
      </c>
      <c r="B418" s="291" t="s">
        <v>1390</v>
      </c>
      <c r="C418" s="13"/>
      <c r="D418" s="13"/>
      <c r="E418" s="13"/>
      <c r="F418" s="13"/>
    </row>
    <row r="419" ht="15.75" customHeight="1">
      <c r="A419" s="295" t="s">
        <v>1392</v>
      </c>
      <c r="B419" s="303"/>
      <c r="C419" s="13"/>
      <c r="D419" s="13"/>
      <c r="E419" s="13"/>
      <c r="F419" s="13"/>
    </row>
    <row r="420" ht="15.75" customHeight="1">
      <c r="A420" s="295" t="s">
        <v>1394</v>
      </c>
      <c r="B420" s="291" t="s">
        <v>1396</v>
      </c>
      <c r="C420" s="13"/>
      <c r="D420" s="13"/>
      <c r="E420" s="13"/>
      <c r="F420" s="13"/>
    </row>
    <row r="421" ht="15.75" customHeight="1">
      <c r="A421" s="295" t="s">
        <v>1401</v>
      </c>
      <c r="B421" s="303"/>
      <c r="C421" s="13"/>
      <c r="D421" s="13"/>
      <c r="E421" s="13"/>
      <c r="F421" s="13"/>
    </row>
    <row r="422" ht="15.75" customHeight="1">
      <c r="A422" s="295" t="s">
        <v>1402</v>
      </c>
      <c r="B422" s="304" t="s">
        <v>1404</v>
      </c>
      <c r="C422" s="13"/>
      <c r="D422" s="13"/>
      <c r="E422" s="13"/>
      <c r="F422" s="13"/>
    </row>
    <row r="423" ht="15.75" customHeight="1">
      <c r="A423" s="295" t="s">
        <v>1406</v>
      </c>
      <c r="B423" s="291" t="s">
        <v>1408</v>
      </c>
      <c r="C423" s="13"/>
      <c r="D423" s="13"/>
      <c r="E423" s="13"/>
      <c r="F423" s="13"/>
    </row>
    <row r="424" ht="15.75" customHeight="1">
      <c r="A424" s="295" t="s">
        <v>1410</v>
      </c>
      <c r="B424" s="291" t="s">
        <v>1412</v>
      </c>
      <c r="C424" s="13"/>
      <c r="D424" s="13"/>
      <c r="E424" s="13"/>
      <c r="F424" s="13"/>
    </row>
    <row r="425" ht="15.75" customHeight="1">
      <c r="A425" s="295" t="s">
        <v>1414</v>
      </c>
      <c r="B425" s="294" t="s">
        <v>1416</v>
      </c>
      <c r="C425" s="13"/>
      <c r="D425" s="13"/>
      <c r="E425" s="13"/>
      <c r="F425" s="13"/>
    </row>
    <row r="426" ht="15.75" customHeight="1">
      <c r="A426" s="295" t="s">
        <v>1418</v>
      </c>
      <c r="B426" s="294" t="s">
        <v>1420</v>
      </c>
      <c r="C426" s="13"/>
      <c r="D426" s="13"/>
      <c r="E426" s="13"/>
      <c r="F426" s="13"/>
    </row>
    <row r="427" ht="15.75" customHeight="1">
      <c r="A427" s="295" t="s">
        <v>1422</v>
      </c>
      <c r="B427" s="304" t="s">
        <v>1424</v>
      </c>
      <c r="C427" s="13"/>
      <c r="D427" s="13"/>
      <c r="E427" s="13"/>
      <c r="F427" s="13"/>
    </row>
    <row r="428" ht="15.75" customHeight="1">
      <c r="A428" s="295" t="s">
        <v>1426</v>
      </c>
      <c r="B428" s="291" t="s">
        <v>1428</v>
      </c>
      <c r="C428" s="13"/>
      <c r="D428" s="13"/>
      <c r="E428" s="13"/>
      <c r="F428" s="13"/>
    </row>
    <row r="429" ht="15.75" customHeight="1">
      <c r="A429" s="295" t="s">
        <v>1430</v>
      </c>
      <c r="B429" s="291" t="s">
        <v>1432</v>
      </c>
      <c r="C429" s="13"/>
      <c r="D429" s="13"/>
      <c r="E429" s="13"/>
      <c r="F429" s="13"/>
    </row>
    <row r="430" ht="15.75" customHeight="1">
      <c r="A430" s="295" t="s">
        <v>1434</v>
      </c>
      <c r="B430" s="303"/>
      <c r="C430" s="13"/>
      <c r="D430" s="13"/>
      <c r="E430" s="13"/>
      <c r="F430" s="13"/>
    </row>
    <row r="431" ht="15.75" customHeight="1">
      <c r="A431" s="295" t="s">
        <v>1436</v>
      </c>
      <c r="B431" s="291" t="s">
        <v>1438</v>
      </c>
      <c r="C431" s="13"/>
      <c r="D431" s="13"/>
      <c r="E431" s="13"/>
      <c r="F431" s="13"/>
    </row>
    <row r="432" ht="15.75" customHeight="1">
      <c r="A432" s="295" t="s">
        <v>1440</v>
      </c>
      <c r="B432" s="291" t="s">
        <v>1441</v>
      </c>
      <c r="C432" s="13"/>
      <c r="D432" s="13"/>
      <c r="E432" s="13"/>
      <c r="F432" s="13"/>
    </row>
    <row r="433" ht="15.75" customHeight="1">
      <c r="A433" s="295" t="s">
        <v>1443</v>
      </c>
      <c r="B433" s="304" t="s">
        <v>1445</v>
      </c>
      <c r="C433" s="13"/>
      <c r="D433" s="13"/>
      <c r="E433" s="13"/>
      <c r="F433" s="13"/>
    </row>
    <row r="434" ht="15.75" customHeight="1">
      <c r="A434" s="295" t="s">
        <v>1447</v>
      </c>
      <c r="B434" s="291" t="s">
        <v>1449</v>
      </c>
      <c r="C434" s="13"/>
      <c r="D434" s="13"/>
      <c r="E434" s="13"/>
      <c r="F434" s="13"/>
    </row>
    <row r="435" ht="15.75" customHeight="1">
      <c r="A435" s="295" t="s">
        <v>1451</v>
      </c>
      <c r="B435" s="303"/>
      <c r="C435" s="13"/>
      <c r="D435" s="13"/>
      <c r="E435" s="13"/>
      <c r="F435" s="13"/>
    </row>
    <row r="436" ht="15.75" customHeight="1">
      <c r="A436" s="295" t="s">
        <v>1455</v>
      </c>
      <c r="B436" s="291" t="s">
        <v>1457</v>
      </c>
      <c r="C436" s="13"/>
      <c r="D436" s="13"/>
      <c r="E436" s="13"/>
      <c r="F436" s="13"/>
    </row>
    <row r="437" ht="15.75" customHeight="1">
      <c r="A437" s="295" t="s">
        <v>1459</v>
      </c>
      <c r="B437" s="291" t="s">
        <v>1461</v>
      </c>
      <c r="C437" s="13"/>
      <c r="D437" s="13"/>
      <c r="E437" s="13"/>
      <c r="F437" s="13"/>
    </row>
    <row r="438" ht="15.75" customHeight="1">
      <c r="A438" s="295" t="s">
        <v>1463</v>
      </c>
      <c r="B438" s="291" t="s">
        <v>1465</v>
      </c>
      <c r="C438" s="13"/>
      <c r="D438" s="13"/>
      <c r="E438" s="13"/>
      <c r="F438" s="13"/>
    </row>
    <row r="439" ht="15.75" customHeight="1">
      <c r="A439" s="295" t="s">
        <v>1467</v>
      </c>
      <c r="B439" s="303"/>
      <c r="C439" s="13"/>
      <c r="D439" s="13"/>
      <c r="E439" s="13"/>
      <c r="F439" s="13"/>
    </row>
    <row r="440" ht="15.75" customHeight="1">
      <c r="A440" s="295" t="s">
        <v>1470</v>
      </c>
      <c r="B440" s="303"/>
      <c r="C440" s="13"/>
      <c r="D440" s="13"/>
      <c r="E440" s="13"/>
      <c r="F440" s="13"/>
    </row>
    <row r="441" ht="15.75" customHeight="1">
      <c r="A441" s="295" t="s">
        <v>1473</v>
      </c>
      <c r="B441" s="303"/>
      <c r="C441" s="13"/>
      <c r="D441" s="13"/>
      <c r="E441" s="13"/>
      <c r="F441" s="13"/>
    </row>
    <row r="442" ht="15.75" customHeight="1">
      <c r="A442" s="295" t="s">
        <v>1474</v>
      </c>
      <c r="B442" s="303"/>
      <c r="C442" s="13"/>
      <c r="D442" s="13"/>
      <c r="E442" s="13"/>
      <c r="F442" s="13"/>
    </row>
    <row r="443" ht="15.75" customHeight="1">
      <c r="A443" s="295" t="s">
        <v>1476</v>
      </c>
      <c r="B443" s="291" t="s">
        <v>1478</v>
      </c>
      <c r="C443" s="13"/>
      <c r="D443" s="13"/>
      <c r="E443" s="13"/>
      <c r="F443" s="13"/>
    </row>
    <row r="444" ht="15.75" customHeight="1">
      <c r="A444" s="295" t="s">
        <v>3877</v>
      </c>
      <c r="B444" s="291" t="s">
        <v>1482</v>
      </c>
      <c r="C444" s="13"/>
      <c r="D444" s="13"/>
      <c r="E444" s="13"/>
      <c r="F444" s="13"/>
    </row>
    <row r="445" ht="15.75" customHeight="1">
      <c r="A445" s="295" t="s">
        <v>1484</v>
      </c>
      <c r="B445" s="304" t="s">
        <v>1486</v>
      </c>
      <c r="C445" s="13"/>
      <c r="D445" s="13"/>
      <c r="E445" s="13"/>
      <c r="F445" s="13"/>
    </row>
    <row r="446" ht="15.75" customHeight="1">
      <c r="A446" s="295" t="s">
        <v>1488</v>
      </c>
      <c r="B446" s="303"/>
      <c r="C446" s="13"/>
      <c r="D446" s="13"/>
      <c r="E446" s="13"/>
      <c r="F446" s="13"/>
    </row>
    <row r="447" ht="15.75" customHeight="1">
      <c r="A447" s="295" t="s">
        <v>1490</v>
      </c>
      <c r="B447" s="304" t="s">
        <v>1492</v>
      </c>
      <c r="C447" s="13"/>
      <c r="D447" s="13"/>
      <c r="E447" s="13"/>
      <c r="F447" s="13"/>
    </row>
    <row r="448" ht="15.75" customHeight="1">
      <c r="A448" s="295" t="s">
        <v>1495</v>
      </c>
      <c r="B448" s="291" t="s">
        <v>1497</v>
      </c>
      <c r="C448" s="13"/>
      <c r="D448" s="13"/>
      <c r="E448" s="13"/>
      <c r="F448" s="13"/>
    </row>
    <row r="449" ht="15.75" customHeight="1">
      <c r="A449" s="295" t="s">
        <v>1499</v>
      </c>
      <c r="B449" s="303"/>
      <c r="C449" s="13"/>
      <c r="D449" s="13"/>
      <c r="E449" s="13"/>
      <c r="F449" s="13"/>
    </row>
    <row r="450" ht="15.75" customHeight="1">
      <c r="A450" s="295" t="s">
        <v>1502</v>
      </c>
      <c r="B450" s="291" t="s">
        <v>1504</v>
      </c>
      <c r="C450" s="13"/>
      <c r="D450" s="13"/>
      <c r="E450" s="13"/>
      <c r="F450" s="13"/>
    </row>
    <row r="451" ht="15.75" customHeight="1">
      <c r="A451" s="295" t="s">
        <v>1506</v>
      </c>
      <c r="B451" s="291" t="s">
        <v>1508</v>
      </c>
      <c r="C451" s="13"/>
      <c r="D451" s="13"/>
      <c r="E451" s="13"/>
      <c r="F451" s="13"/>
    </row>
    <row r="452" ht="15.75" customHeight="1">
      <c r="A452" s="295" t="s">
        <v>1511</v>
      </c>
      <c r="B452" s="303"/>
      <c r="C452" s="13"/>
      <c r="D452" s="13"/>
      <c r="E452" s="13"/>
      <c r="F452" s="13"/>
    </row>
    <row r="453" ht="15.75" customHeight="1">
      <c r="A453" s="295" t="s">
        <v>1512</v>
      </c>
      <c r="B453" s="303"/>
      <c r="C453" s="13"/>
      <c r="D453" s="13"/>
      <c r="E453" s="13"/>
      <c r="F453" s="13"/>
    </row>
    <row r="454" ht="15.75" customHeight="1">
      <c r="A454" s="295" t="s">
        <v>1514</v>
      </c>
      <c r="B454" s="303"/>
      <c r="C454" s="13"/>
      <c r="D454" s="13"/>
      <c r="E454" s="13"/>
      <c r="F454" s="13"/>
    </row>
    <row r="455" ht="15.75" customHeight="1">
      <c r="A455" s="295" t="s">
        <v>1516</v>
      </c>
      <c r="B455" s="304" t="s">
        <v>1518</v>
      </c>
      <c r="C455" s="13"/>
      <c r="D455" s="13"/>
      <c r="E455" s="13"/>
      <c r="F455" s="13"/>
    </row>
    <row r="456" ht="15.75" customHeight="1">
      <c r="A456" s="295" t="s">
        <v>1520</v>
      </c>
      <c r="B456" s="303"/>
      <c r="C456" s="13"/>
      <c r="D456" s="13"/>
      <c r="E456" s="13"/>
      <c r="F456" s="13"/>
    </row>
    <row r="457" ht="15.75" customHeight="1">
      <c r="A457" s="295" t="s">
        <v>1522</v>
      </c>
      <c r="B457" s="303"/>
      <c r="C457" s="13"/>
      <c r="D457" s="13"/>
      <c r="E457" s="13"/>
      <c r="F457" s="13"/>
    </row>
    <row r="458" ht="15.75" customHeight="1">
      <c r="A458" s="295" t="s">
        <v>1524</v>
      </c>
      <c r="B458" s="303"/>
      <c r="C458" s="13"/>
      <c r="D458" s="13"/>
      <c r="E458" s="13"/>
      <c r="F458" s="13"/>
    </row>
    <row r="459" ht="15.75" customHeight="1">
      <c r="A459" s="295" t="s">
        <v>1528</v>
      </c>
      <c r="B459" s="303"/>
      <c r="C459" s="13"/>
      <c r="D459" s="13"/>
      <c r="E459" s="13"/>
      <c r="F459" s="13"/>
    </row>
    <row r="460" ht="15.75" customHeight="1">
      <c r="A460" s="295" t="s">
        <v>1529</v>
      </c>
      <c r="B460" s="291" t="s">
        <v>1531</v>
      </c>
      <c r="C460" s="13"/>
      <c r="D460" s="13"/>
      <c r="E460" s="13"/>
      <c r="F460" s="13"/>
    </row>
    <row r="461" ht="15.75" customHeight="1">
      <c r="A461" s="295" t="s">
        <v>1533</v>
      </c>
      <c r="B461" s="291" t="s">
        <v>1535</v>
      </c>
      <c r="C461" s="13"/>
      <c r="D461" s="13"/>
      <c r="E461" s="13"/>
      <c r="F461" s="13"/>
    </row>
    <row r="462" ht="15.75" customHeight="1">
      <c r="A462" s="295" t="s">
        <v>1537</v>
      </c>
      <c r="B462" s="291" t="s">
        <v>1539</v>
      </c>
      <c r="C462" s="13"/>
      <c r="D462" s="13"/>
      <c r="E462" s="13"/>
      <c r="F462" s="13"/>
    </row>
    <row r="463" ht="15.75" customHeight="1">
      <c r="A463" s="295" t="s">
        <v>1541</v>
      </c>
      <c r="B463" s="291" t="s">
        <v>1542</v>
      </c>
      <c r="C463" s="13"/>
      <c r="D463" s="13"/>
      <c r="E463" s="13"/>
      <c r="F463" s="13"/>
    </row>
    <row r="464" ht="15.75" customHeight="1">
      <c r="A464" s="295" t="s">
        <v>1544</v>
      </c>
      <c r="B464" s="303"/>
      <c r="C464" s="13"/>
      <c r="D464" s="13"/>
      <c r="E464" s="13"/>
      <c r="F464" s="13"/>
    </row>
    <row r="465" ht="15.75" customHeight="1">
      <c r="A465" s="295" t="s">
        <v>3878</v>
      </c>
      <c r="B465" s="303"/>
      <c r="C465" s="13"/>
      <c r="D465" s="13"/>
      <c r="E465" s="13"/>
      <c r="F465" s="13"/>
    </row>
    <row r="466" ht="15.75" customHeight="1">
      <c r="A466" s="295" t="s">
        <v>1547</v>
      </c>
      <c r="B466" s="305" t="s">
        <v>1549</v>
      </c>
      <c r="C466" s="13"/>
      <c r="D466" s="13"/>
      <c r="E466" s="13"/>
      <c r="F466" s="13"/>
    </row>
    <row r="467" ht="15.75" customHeight="1">
      <c r="A467" s="295" t="s">
        <v>1551</v>
      </c>
      <c r="B467" s="305" t="s">
        <v>1553</v>
      </c>
      <c r="C467" s="13"/>
      <c r="D467" s="13"/>
      <c r="E467" s="13"/>
      <c r="F467" s="13"/>
    </row>
    <row r="468" ht="15.75" customHeight="1">
      <c r="A468" s="295" t="s">
        <v>1555</v>
      </c>
      <c r="B468" s="303"/>
      <c r="C468" s="13"/>
      <c r="D468" s="13"/>
      <c r="E468" s="13"/>
      <c r="F468" s="13"/>
    </row>
    <row r="469" ht="15.75" customHeight="1">
      <c r="A469" s="295" t="s">
        <v>1556</v>
      </c>
      <c r="B469" s="305" t="s">
        <v>1558</v>
      </c>
      <c r="C469" s="13"/>
      <c r="D469" s="13"/>
      <c r="E469" s="13"/>
      <c r="F469" s="13"/>
    </row>
    <row r="470" ht="15.75" customHeight="1">
      <c r="A470" s="295" t="s">
        <v>1560</v>
      </c>
      <c r="B470" s="305" t="s">
        <v>1562</v>
      </c>
      <c r="C470" s="13"/>
      <c r="D470" s="13"/>
      <c r="E470" s="13"/>
      <c r="F470" s="13"/>
    </row>
    <row r="471" ht="15.75" customHeight="1">
      <c r="A471" s="295" t="s">
        <v>1564</v>
      </c>
      <c r="B471" s="305" t="s">
        <v>1566</v>
      </c>
      <c r="C471" s="13"/>
      <c r="D471" s="13"/>
      <c r="E471" s="13"/>
      <c r="F471" s="13"/>
    </row>
    <row r="472" ht="15.75" customHeight="1">
      <c r="A472" s="295" t="s">
        <v>1568</v>
      </c>
      <c r="B472" s="305" t="s">
        <v>1570</v>
      </c>
      <c r="C472" s="13"/>
      <c r="D472" s="13"/>
      <c r="E472" s="13"/>
      <c r="F472" s="13"/>
    </row>
    <row r="473" ht="15.75" customHeight="1">
      <c r="A473" s="295" t="s">
        <v>1572</v>
      </c>
      <c r="B473" s="303"/>
      <c r="C473" s="13"/>
      <c r="D473" s="13"/>
      <c r="E473" s="13"/>
      <c r="F473" s="13"/>
    </row>
    <row r="474" ht="15.75" customHeight="1">
      <c r="A474" s="295" t="s">
        <v>1576</v>
      </c>
      <c r="B474" s="303"/>
      <c r="C474" s="13"/>
      <c r="D474" s="13"/>
      <c r="E474" s="13"/>
      <c r="F474" s="13"/>
    </row>
    <row r="475" ht="15.75" customHeight="1">
      <c r="A475" s="295" t="s">
        <v>1578</v>
      </c>
      <c r="B475" s="303"/>
      <c r="C475" s="13"/>
      <c r="D475" s="13"/>
      <c r="E475" s="13"/>
      <c r="F475" s="13"/>
    </row>
    <row r="476" ht="15.75" customHeight="1">
      <c r="A476" s="295" t="s">
        <v>1580</v>
      </c>
      <c r="B476" s="303"/>
      <c r="C476" s="13"/>
      <c r="D476" s="13"/>
      <c r="E476" s="13"/>
      <c r="F476" s="13"/>
    </row>
    <row r="477" ht="15.75" customHeight="1">
      <c r="A477" s="295" t="s">
        <v>1582</v>
      </c>
      <c r="B477" s="305" t="s">
        <v>1584</v>
      </c>
      <c r="C477" s="13"/>
      <c r="D477" s="13"/>
      <c r="E477" s="13"/>
      <c r="F477" s="13"/>
    </row>
    <row r="478" ht="15.75" customHeight="1">
      <c r="A478" s="295" t="s">
        <v>1586</v>
      </c>
      <c r="B478" s="305" t="s">
        <v>1588</v>
      </c>
      <c r="C478" s="13"/>
      <c r="D478" s="13"/>
      <c r="E478" s="13"/>
      <c r="F478" s="13"/>
    </row>
    <row r="479" ht="15.75" customHeight="1">
      <c r="A479" s="295" t="s">
        <v>1590</v>
      </c>
      <c r="B479" s="303"/>
      <c r="C479" s="13"/>
      <c r="D479" s="13"/>
      <c r="E479" s="13"/>
      <c r="F479" s="13"/>
    </row>
    <row r="480" ht="15.75" customHeight="1">
      <c r="A480" s="295" t="s">
        <v>1592</v>
      </c>
      <c r="B480" s="305" t="s">
        <v>1594</v>
      </c>
      <c r="C480" s="13"/>
      <c r="D480" s="13"/>
      <c r="E480" s="13"/>
      <c r="F480" s="13"/>
    </row>
    <row r="481" ht="15.75" customHeight="1">
      <c r="A481" s="295" t="s">
        <v>1596</v>
      </c>
      <c r="B481" s="303"/>
      <c r="C481" s="13"/>
      <c r="D481" s="13"/>
      <c r="E481" s="13"/>
      <c r="F481" s="13"/>
    </row>
    <row r="482" ht="15.75" customHeight="1">
      <c r="A482" s="295" t="s">
        <v>1598</v>
      </c>
      <c r="B482" s="303"/>
      <c r="C482" s="13"/>
      <c r="D482" s="13"/>
      <c r="E482" s="13"/>
      <c r="F482" s="13"/>
    </row>
    <row r="483" ht="15.75" customHeight="1">
      <c r="A483" s="295" t="s">
        <v>1600</v>
      </c>
      <c r="B483" s="305" t="s">
        <v>1602</v>
      </c>
      <c r="C483" s="13"/>
      <c r="D483" s="13"/>
      <c r="E483" s="13"/>
      <c r="F483" s="13"/>
    </row>
    <row r="484" ht="15.75" customHeight="1">
      <c r="A484" s="295" t="s">
        <v>1604</v>
      </c>
      <c r="B484" s="305" t="s">
        <v>1606</v>
      </c>
      <c r="C484" s="13"/>
      <c r="D484" s="13"/>
      <c r="E484" s="13"/>
      <c r="F484" s="13"/>
    </row>
    <row r="485" ht="15.75" customHeight="1">
      <c r="A485" s="295" t="s">
        <v>1608</v>
      </c>
      <c r="B485" s="305" t="s">
        <v>1610</v>
      </c>
      <c r="C485" s="13"/>
      <c r="D485" s="13"/>
      <c r="E485" s="13"/>
      <c r="F485" s="13"/>
    </row>
    <row r="486" ht="15.75" customHeight="1">
      <c r="A486" s="295" t="s">
        <v>1612</v>
      </c>
      <c r="B486" s="303"/>
      <c r="C486" s="13"/>
      <c r="D486" s="13"/>
      <c r="E486" s="13"/>
      <c r="F486" s="13"/>
    </row>
    <row r="487" ht="15.75" customHeight="1">
      <c r="A487" s="295" t="s">
        <v>1613</v>
      </c>
      <c r="B487" s="305" t="s">
        <v>1615</v>
      </c>
      <c r="C487" s="13"/>
      <c r="D487" s="13"/>
      <c r="E487" s="13"/>
      <c r="F487" s="13"/>
    </row>
    <row r="488" ht="15.75" customHeight="1">
      <c r="A488" s="295" t="s">
        <v>1617</v>
      </c>
      <c r="B488" s="303"/>
      <c r="C488" s="13"/>
      <c r="D488" s="13"/>
      <c r="E488" s="13"/>
      <c r="F488" s="13"/>
    </row>
    <row r="489" ht="15.75" customHeight="1">
      <c r="A489" s="295" t="s">
        <v>1618</v>
      </c>
      <c r="B489" s="303"/>
      <c r="C489" s="13"/>
      <c r="D489" s="13"/>
      <c r="E489" s="13"/>
      <c r="F489" s="13"/>
    </row>
    <row r="490" ht="15.75" customHeight="1">
      <c r="A490" s="295" t="s">
        <v>1620</v>
      </c>
      <c r="B490" s="303"/>
      <c r="C490" s="13"/>
      <c r="D490" s="13"/>
      <c r="E490" s="13"/>
      <c r="F490" s="13"/>
    </row>
    <row r="491" ht="15.75" customHeight="1">
      <c r="A491" s="295" t="s">
        <v>1622</v>
      </c>
      <c r="B491" s="305" t="s">
        <v>3879</v>
      </c>
      <c r="C491" s="13"/>
      <c r="D491" s="13"/>
      <c r="E491" s="13"/>
      <c r="F491" s="13"/>
    </row>
    <row r="492" ht="15.75" customHeight="1">
      <c r="A492" s="295" t="s">
        <v>1626</v>
      </c>
      <c r="B492" s="303"/>
      <c r="C492" s="13"/>
      <c r="D492" s="13"/>
      <c r="E492" s="13"/>
      <c r="F492" s="13"/>
    </row>
    <row r="493" ht="15.75" customHeight="1">
      <c r="A493" s="295" t="s">
        <v>1628</v>
      </c>
      <c r="B493" s="305" t="s">
        <v>1630</v>
      </c>
      <c r="C493" s="13"/>
      <c r="D493" s="13"/>
      <c r="E493" s="13"/>
      <c r="F493" s="13"/>
    </row>
    <row r="494" ht="15.75" customHeight="1">
      <c r="A494" s="295" t="s">
        <v>1632</v>
      </c>
      <c r="B494" s="303"/>
      <c r="C494" s="13"/>
      <c r="D494" s="13"/>
      <c r="E494" s="13"/>
      <c r="F494" s="13"/>
    </row>
    <row r="495" ht="15.75" customHeight="1">
      <c r="A495" s="295" t="s">
        <v>1633</v>
      </c>
      <c r="B495" s="303"/>
      <c r="C495" s="13"/>
      <c r="D495" s="13"/>
      <c r="E495" s="13"/>
      <c r="F495" s="13"/>
    </row>
    <row r="496" ht="15.75" customHeight="1">
      <c r="A496" s="295" t="s">
        <v>1635</v>
      </c>
      <c r="B496" s="305" t="s">
        <v>1637</v>
      </c>
      <c r="C496" s="13"/>
      <c r="D496" s="13"/>
      <c r="E496" s="13"/>
      <c r="F496" s="13"/>
    </row>
    <row r="497" ht="15.75" customHeight="1">
      <c r="A497" s="295" t="s">
        <v>1639</v>
      </c>
      <c r="B497" s="305" t="s">
        <v>1641</v>
      </c>
      <c r="C497" s="13"/>
      <c r="D497" s="13"/>
      <c r="E497" s="13"/>
      <c r="F497" s="13"/>
    </row>
    <row r="498" ht="15.75" customHeight="1">
      <c r="A498" s="295" t="s">
        <v>1643</v>
      </c>
      <c r="B498" s="305" t="s">
        <v>1645</v>
      </c>
      <c r="C498" s="13"/>
      <c r="D498" s="13"/>
      <c r="E498" s="13"/>
      <c r="F498" s="13"/>
    </row>
    <row r="499" ht="15.75" customHeight="1">
      <c r="A499" s="295" t="s">
        <v>1647</v>
      </c>
      <c r="B499" s="305" t="s">
        <v>1649</v>
      </c>
      <c r="C499" s="13"/>
      <c r="D499" s="13"/>
      <c r="E499" s="13"/>
      <c r="F499" s="13"/>
    </row>
    <row r="500" ht="15.75" customHeight="1">
      <c r="A500" s="295" t="s">
        <v>1651</v>
      </c>
      <c r="B500" s="303"/>
      <c r="C500" s="13"/>
      <c r="D500" s="13"/>
      <c r="E500" s="13"/>
      <c r="F500" s="13"/>
    </row>
    <row r="501" ht="15.75" customHeight="1">
      <c r="A501" s="295" t="s">
        <v>1655</v>
      </c>
      <c r="B501" s="305" t="s">
        <v>1657</v>
      </c>
      <c r="C501" s="13"/>
      <c r="D501" s="13"/>
      <c r="E501" s="13"/>
      <c r="F501" s="13"/>
    </row>
    <row r="502" ht="15.75" customHeight="1">
      <c r="A502" s="295" t="s">
        <v>1659</v>
      </c>
      <c r="B502" s="303"/>
      <c r="C502" s="13"/>
      <c r="D502" s="13"/>
      <c r="E502" s="13"/>
      <c r="F502" s="13"/>
    </row>
    <row r="503" ht="15.75" customHeight="1">
      <c r="A503" s="295" t="s">
        <v>1661</v>
      </c>
      <c r="B503" s="305" t="s">
        <v>1663</v>
      </c>
      <c r="C503" s="13"/>
      <c r="D503" s="13"/>
      <c r="E503" s="13"/>
      <c r="F503" s="13"/>
    </row>
    <row r="504" ht="15.75" customHeight="1">
      <c r="A504" s="295" t="s">
        <v>1665</v>
      </c>
      <c r="B504" s="303"/>
      <c r="C504" s="13"/>
      <c r="D504" s="13"/>
      <c r="E504" s="13"/>
      <c r="F504" s="13"/>
    </row>
    <row r="505" ht="15.75" customHeight="1">
      <c r="A505" s="295" t="s">
        <v>1668</v>
      </c>
      <c r="B505" s="303"/>
      <c r="C505" s="13"/>
      <c r="D505" s="13"/>
      <c r="E505" s="13"/>
      <c r="F505" s="13"/>
    </row>
    <row r="506" ht="15.75" customHeight="1">
      <c r="A506" s="306" t="s">
        <v>1671</v>
      </c>
      <c r="B506" s="305" t="s">
        <v>1673</v>
      </c>
      <c r="C506" s="13"/>
      <c r="D506" s="13"/>
      <c r="E506" s="13"/>
      <c r="F506" s="13"/>
    </row>
    <row r="507" ht="15.75" customHeight="1">
      <c r="A507" s="306" t="s">
        <v>1675</v>
      </c>
      <c r="B507" s="303"/>
      <c r="C507" s="13"/>
      <c r="D507" s="13"/>
      <c r="E507" s="13"/>
      <c r="F507" s="13"/>
    </row>
    <row r="508" ht="15.75" customHeight="1">
      <c r="A508" s="306" t="s">
        <v>1676</v>
      </c>
      <c r="B508" s="303"/>
      <c r="C508" s="13"/>
      <c r="D508" s="13"/>
      <c r="E508" s="13"/>
      <c r="F508" s="13"/>
    </row>
    <row r="509" ht="15.75" customHeight="1">
      <c r="A509" s="295" t="s">
        <v>1678</v>
      </c>
      <c r="B509" s="305" t="s">
        <v>1680</v>
      </c>
      <c r="C509" s="13"/>
      <c r="D509" s="13"/>
      <c r="E509" s="13"/>
      <c r="F509" s="13"/>
    </row>
    <row r="510" ht="15.75" customHeight="1">
      <c r="A510" s="295" t="s">
        <v>1682</v>
      </c>
      <c r="B510" s="305" t="s">
        <v>1684</v>
      </c>
      <c r="C510" s="13"/>
      <c r="D510" s="13"/>
      <c r="E510" s="13"/>
      <c r="F510" s="13"/>
    </row>
    <row r="511" ht="15.75" customHeight="1">
      <c r="A511" s="295" t="s">
        <v>1686</v>
      </c>
      <c r="B511" s="303"/>
      <c r="C511" s="13"/>
      <c r="D511" s="13"/>
      <c r="E511" s="13"/>
      <c r="F511" s="13"/>
    </row>
    <row r="512" ht="15.75" customHeight="1">
      <c r="A512" s="295" t="s">
        <v>1688</v>
      </c>
      <c r="B512" s="305" t="s">
        <v>1690</v>
      </c>
      <c r="C512" s="13"/>
      <c r="D512" s="13"/>
      <c r="E512" s="13"/>
      <c r="F512" s="13"/>
    </row>
    <row r="513" ht="15.75" customHeight="1">
      <c r="A513" s="295" t="s">
        <v>1692</v>
      </c>
      <c r="B513" s="305" t="s">
        <v>1694</v>
      </c>
      <c r="C513" s="13"/>
      <c r="D513" s="13"/>
      <c r="E513" s="13"/>
      <c r="F513" s="13"/>
    </row>
    <row r="514" ht="15.75" customHeight="1">
      <c r="A514" s="295" t="s">
        <v>1700</v>
      </c>
      <c r="B514" s="305" t="s">
        <v>1702</v>
      </c>
      <c r="C514" s="13"/>
      <c r="D514" s="13"/>
      <c r="E514" s="13"/>
      <c r="F514" s="13"/>
    </row>
    <row r="515" ht="15.75" customHeight="1">
      <c r="A515" s="295" t="s">
        <v>1704</v>
      </c>
      <c r="B515" s="303"/>
      <c r="C515" s="13"/>
      <c r="D515" s="13"/>
      <c r="E515" s="13"/>
      <c r="F515" s="13"/>
    </row>
    <row r="516" ht="15.75" customHeight="1">
      <c r="A516" s="295" t="s">
        <v>1706</v>
      </c>
      <c r="B516" s="305" t="s">
        <v>3880</v>
      </c>
      <c r="C516" s="13"/>
      <c r="D516" s="13"/>
      <c r="E516" s="13"/>
      <c r="F516" s="13"/>
    </row>
    <row r="517" ht="15.75" customHeight="1">
      <c r="A517" s="295" t="s">
        <v>1710</v>
      </c>
      <c r="B517" s="305" t="s">
        <v>1712</v>
      </c>
      <c r="C517" s="13"/>
      <c r="D517" s="13"/>
      <c r="E517" s="13"/>
      <c r="F517" s="13"/>
    </row>
    <row r="518" ht="15.75" customHeight="1">
      <c r="A518" s="295" t="s">
        <v>1714</v>
      </c>
      <c r="B518" s="303"/>
      <c r="C518" s="13"/>
      <c r="D518" s="13"/>
      <c r="E518" s="13"/>
      <c r="F518" s="13"/>
    </row>
    <row r="519" ht="15.75" customHeight="1">
      <c r="A519" s="295" t="s">
        <v>1716</v>
      </c>
      <c r="B519" s="305" t="s">
        <v>1718</v>
      </c>
      <c r="C519" s="13"/>
      <c r="D519" s="13"/>
      <c r="E519" s="13"/>
      <c r="F519" s="13"/>
    </row>
    <row r="520" ht="15.75" customHeight="1">
      <c r="A520" s="295" t="s">
        <v>1720</v>
      </c>
      <c r="B520" s="303"/>
      <c r="C520" s="13"/>
      <c r="D520" s="13"/>
      <c r="E520" s="13"/>
      <c r="F520" s="13"/>
    </row>
    <row r="521" ht="15.75" customHeight="1">
      <c r="A521" s="295" t="s">
        <v>1721</v>
      </c>
      <c r="B521" s="303"/>
      <c r="C521" s="13"/>
      <c r="D521" s="13"/>
      <c r="E521" s="13"/>
      <c r="F521" s="13"/>
    </row>
    <row r="522" ht="15.75" customHeight="1">
      <c r="A522" s="295" t="s">
        <v>1722</v>
      </c>
      <c r="B522" s="305" t="s">
        <v>1724</v>
      </c>
      <c r="C522" s="13"/>
      <c r="D522" s="13"/>
      <c r="E522" s="13"/>
      <c r="F522" s="13"/>
    </row>
    <row r="523" ht="15.75" customHeight="1">
      <c r="A523" s="295" t="s">
        <v>1726</v>
      </c>
      <c r="B523" s="303"/>
      <c r="C523" s="13"/>
      <c r="D523" s="13"/>
      <c r="E523" s="13"/>
      <c r="F523" s="13"/>
    </row>
    <row r="524" ht="15.75" customHeight="1">
      <c r="A524" s="295" t="s">
        <v>1730</v>
      </c>
      <c r="B524" s="303"/>
      <c r="C524" s="13"/>
      <c r="D524" s="13"/>
      <c r="E524" s="13"/>
      <c r="F524" s="13"/>
    </row>
    <row r="525" ht="15.75" customHeight="1">
      <c r="A525" s="295" t="s">
        <v>1732</v>
      </c>
      <c r="B525" s="305" t="s">
        <v>1734</v>
      </c>
      <c r="C525" s="13"/>
      <c r="D525" s="13"/>
      <c r="E525" s="13"/>
      <c r="F525" s="13"/>
    </row>
    <row r="526" ht="15.75" customHeight="1">
      <c r="A526" s="295" t="s">
        <v>1736</v>
      </c>
      <c r="B526" s="307" t="s">
        <v>1738</v>
      </c>
      <c r="C526" s="13"/>
      <c r="D526" s="13"/>
      <c r="E526" s="13"/>
      <c r="F526" s="13"/>
    </row>
    <row r="527" ht="15.75" customHeight="1">
      <c r="A527" s="300" t="s">
        <v>1740</v>
      </c>
      <c r="B527" s="307" t="s">
        <v>1742</v>
      </c>
      <c r="C527" s="13"/>
      <c r="D527" s="13"/>
      <c r="E527" s="13"/>
      <c r="F527" s="13"/>
    </row>
    <row r="528" ht="15.75" customHeight="1">
      <c r="A528" s="295" t="s">
        <v>1748</v>
      </c>
      <c r="B528" s="307" t="s">
        <v>1750</v>
      </c>
      <c r="C528" s="13"/>
      <c r="D528" s="13"/>
      <c r="E528" s="13"/>
      <c r="F528" s="13"/>
    </row>
    <row r="529" ht="15.75" customHeight="1">
      <c r="A529" s="295" t="s">
        <v>1752</v>
      </c>
      <c r="B529" s="308"/>
      <c r="C529" s="13"/>
      <c r="D529" s="13"/>
      <c r="E529" s="13"/>
      <c r="F529" s="13"/>
    </row>
    <row r="530" ht="15.75" customHeight="1">
      <c r="A530" s="295" t="s">
        <v>1753</v>
      </c>
      <c r="B530" s="307" t="s">
        <v>1755</v>
      </c>
      <c r="C530" s="13"/>
      <c r="D530" s="13"/>
      <c r="E530" s="13"/>
      <c r="F530" s="13"/>
    </row>
    <row r="531" ht="15.75" customHeight="1">
      <c r="A531" s="295" t="s">
        <v>1757</v>
      </c>
      <c r="B531" s="307" t="s">
        <v>1759</v>
      </c>
      <c r="C531" s="13"/>
      <c r="D531" s="13"/>
      <c r="E531" s="13"/>
      <c r="F531" s="13"/>
    </row>
    <row r="532" ht="15.75" customHeight="1">
      <c r="A532" s="295" t="s">
        <v>1761</v>
      </c>
      <c r="B532" s="308"/>
      <c r="C532" s="13"/>
      <c r="D532" s="13"/>
      <c r="E532" s="13"/>
      <c r="F532" s="13"/>
    </row>
    <row r="533" ht="15.75" customHeight="1">
      <c r="A533" s="295" t="s">
        <v>1763</v>
      </c>
      <c r="B533" s="307" t="s">
        <v>1764</v>
      </c>
      <c r="C533" s="13"/>
      <c r="D533" s="13"/>
      <c r="E533" s="13"/>
      <c r="F533" s="13"/>
    </row>
    <row r="534" ht="15.75" customHeight="1">
      <c r="A534" s="309" t="s">
        <v>1766</v>
      </c>
      <c r="B534" s="307" t="s">
        <v>1768</v>
      </c>
      <c r="C534" s="13"/>
      <c r="D534" s="13"/>
      <c r="E534" s="13"/>
      <c r="F534" s="13"/>
    </row>
    <row r="535" ht="15.75" customHeight="1">
      <c r="A535" s="295" t="s">
        <v>3881</v>
      </c>
      <c r="B535" s="307" t="s">
        <v>1771</v>
      </c>
      <c r="C535" s="13"/>
      <c r="D535" s="13"/>
      <c r="E535" s="13"/>
      <c r="F535" s="13"/>
    </row>
    <row r="536" ht="15.75" customHeight="1">
      <c r="A536" s="295" t="s">
        <v>1773</v>
      </c>
      <c r="B536" s="308"/>
      <c r="C536" s="13"/>
      <c r="D536" s="13"/>
      <c r="E536" s="13"/>
      <c r="F536" s="13"/>
    </row>
    <row r="537" ht="15.75" customHeight="1">
      <c r="A537" s="295" t="s">
        <v>1777</v>
      </c>
      <c r="B537" s="307" t="s">
        <v>1779</v>
      </c>
      <c r="C537" s="13"/>
      <c r="D537" s="13"/>
      <c r="E537" s="13"/>
      <c r="F537" s="13"/>
    </row>
    <row r="538" ht="15.75" customHeight="1">
      <c r="A538" s="295" t="s">
        <v>1781</v>
      </c>
      <c r="B538" s="308"/>
      <c r="C538" s="13"/>
      <c r="D538" s="13"/>
      <c r="E538" s="13"/>
      <c r="F538" s="13"/>
    </row>
    <row r="539" ht="15.75" customHeight="1">
      <c r="A539" s="295" t="s">
        <v>1783</v>
      </c>
      <c r="B539" s="310" t="s">
        <v>1785</v>
      </c>
      <c r="C539" s="13"/>
      <c r="D539" s="13"/>
      <c r="E539" s="13"/>
      <c r="F539" s="13"/>
    </row>
    <row r="540" ht="15.75" customHeight="1">
      <c r="A540" s="295" t="s">
        <v>1787</v>
      </c>
      <c r="B540" s="307" t="s">
        <v>1789</v>
      </c>
      <c r="C540" s="13"/>
      <c r="D540" s="13"/>
      <c r="E540" s="13"/>
      <c r="F540" s="13"/>
    </row>
    <row r="541" ht="15.75" customHeight="1">
      <c r="A541" s="295" t="s">
        <v>3882</v>
      </c>
      <c r="B541" s="307" t="s">
        <v>1793</v>
      </c>
      <c r="C541" s="13"/>
      <c r="D541" s="13"/>
      <c r="E541" s="13"/>
      <c r="F541" s="13"/>
    </row>
    <row r="542" ht="15.75" customHeight="1">
      <c r="A542" s="295" t="s">
        <v>1795</v>
      </c>
      <c r="B542" s="307" t="s">
        <v>1797</v>
      </c>
      <c r="C542" s="13"/>
      <c r="D542" s="13"/>
      <c r="E542" s="13"/>
      <c r="F542" s="13"/>
    </row>
    <row r="543" ht="15.75" customHeight="1">
      <c r="A543" s="295" t="s">
        <v>1799</v>
      </c>
      <c r="B543" s="307" t="s">
        <v>1801</v>
      </c>
      <c r="C543" s="13"/>
      <c r="D543" s="13"/>
      <c r="E543" s="13"/>
      <c r="F543" s="13"/>
    </row>
    <row r="544" ht="15.75" customHeight="1">
      <c r="A544" s="295" t="s">
        <v>1803</v>
      </c>
      <c r="B544" s="307" t="s">
        <v>1805</v>
      </c>
      <c r="C544" s="13"/>
      <c r="D544" s="13"/>
      <c r="E544" s="13"/>
      <c r="F544" s="13"/>
    </row>
    <row r="545" ht="15.75" customHeight="1">
      <c r="A545" s="295" t="s">
        <v>1807</v>
      </c>
      <c r="B545" s="308"/>
      <c r="C545" s="13"/>
      <c r="D545" s="13"/>
      <c r="E545" s="13"/>
      <c r="F545" s="13"/>
    </row>
    <row r="546" ht="15.75" customHeight="1">
      <c r="A546" s="295" t="s">
        <v>1811</v>
      </c>
      <c r="B546" s="307" t="s">
        <v>1813</v>
      </c>
      <c r="C546" s="13"/>
      <c r="D546" s="13"/>
      <c r="E546" s="13"/>
      <c r="F546" s="13"/>
    </row>
    <row r="547" ht="15.75" customHeight="1">
      <c r="A547" s="295" t="s">
        <v>1815</v>
      </c>
      <c r="B547" s="307" t="s">
        <v>1817</v>
      </c>
      <c r="C547" s="13"/>
      <c r="D547" s="13"/>
      <c r="E547" s="13"/>
      <c r="F547" s="13"/>
    </row>
    <row r="548" ht="15.75" customHeight="1">
      <c r="A548" s="295" t="s">
        <v>1819</v>
      </c>
      <c r="B548" s="307" t="s">
        <v>1821</v>
      </c>
      <c r="C548" s="13"/>
      <c r="D548" s="13"/>
      <c r="E548" s="13"/>
      <c r="F548" s="13"/>
    </row>
    <row r="549" ht="15.75" customHeight="1">
      <c r="A549" s="295" t="s">
        <v>1823</v>
      </c>
      <c r="B549" s="307" t="s">
        <v>1825</v>
      </c>
      <c r="C549" s="13"/>
      <c r="D549" s="13"/>
      <c r="E549" s="13"/>
      <c r="F549" s="13"/>
    </row>
    <row r="550" ht="15.75" customHeight="1">
      <c r="A550" s="295" t="s">
        <v>1827</v>
      </c>
      <c r="B550" s="308"/>
      <c r="C550" s="13"/>
      <c r="D550" s="13"/>
      <c r="E550" s="13"/>
      <c r="F550" s="13"/>
    </row>
    <row r="551" ht="15.75" customHeight="1">
      <c r="A551" s="295" t="s">
        <v>1828</v>
      </c>
      <c r="B551" s="307" t="s">
        <v>1830</v>
      </c>
      <c r="C551" s="13"/>
      <c r="D551" s="13"/>
      <c r="E551" s="13"/>
      <c r="F551" s="13"/>
    </row>
    <row r="552" ht="15.75" customHeight="1">
      <c r="A552" s="295" t="s">
        <v>1832</v>
      </c>
      <c r="B552" s="308"/>
      <c r="C552" s="13"/>
      <c r="D552" s="13"/>
      <c r="E552" s="13"/>
      <c r="F552" s="13"/>
    </row>
    <row r="553" ht="15.75" customHeight="1">
      <c r="A553" s="295" t="s">
        <v>1834</v>
      </c>
      <c r="B553" s="308"/>
      <c r="C553" s="13"/>
      <c r="D553" s="13"/>
      <c r="E553" s="13"/>
      <c r="F553" s="13"/>
    </row>
    <row r="554" ht="15.75" customHeight="1">
      <c r="A554" s="295" t="s">
        <v>1838</v>
      </c>
      <c r="B554" s="307" t="s">
        <v>1839</v>
      </c>
      <c r="C554" s="13"/>
      <c r="D554" s="13"/>
      <c r="E554" s="13"/>
      <c r="F554" s="13"/>
    </row>
    <row r="555" ht="15.75" customHeight="1">
      <c r="A555" s="295" t="s">
        <v>1841</v>
      </c>
      <c r="B555" s="307" t="s">
        <v>1843</v>
      </c>
      <c r="C555" s="13"/>
      <c r="D555" s="13"/>
      <c r="E555" s="13"/>
      <c r="F555" s="13"/>
    </row>
    <row r="556" ht="15.75" customHeight="1">
      <c r="A556" s="295" t="s">
        <v>1847</v>
      </c>
      <c r="B556" s="307" t="s">
        <v>1849</v>
      </c>
      <c r="C556" s="13"/>
      <c r="D556" s="13"/>
      <c r="E556" s="13"/>
      <c r="F556" s="13"/>
    </row>
    <row r="557" ht="15.75" customHeight="1">
      <c r="A557" s="295" t="s">
        <v>1851</v>
      </c>
      <c r="B557" s="307" t="s">
        <v>1853</v>
      </c>
      <c r="C557" s="13"/>
      <c r="D557" s="13"/>
      <c r="E557" s="13"/>
      <c r="F557" s="13"/>
    </row>
    <row r="558" ht="15.75" customHeight="1">
      <c r="A558" s="295" t="s">
        <v>1855</v>
      </c>
      <c r="B558" s="307" t="s">
        <v>1857</v>
      </c>
      <c r="C558" s="13"/>
      <c r="D558" s="13"/>
      <c r="E558" s="13"/>
      <c r="F558" s="13"/>
    </row>
    <row r="559" ht="15.75" customHeight="1">
      <c r="A559" s="295" t="s">
        <v>1859</v>
      </c>
      <c r="B559" s="307" t="s">
        <v>1861</v>
      </c>
      <c r="C559" s="13"/>
      <c r="D559" s="13"/>
      <c r="E559" s="13"/>
      <c r="F559" s="13"/>
    </row>
    <row r="560" ht="15.75" customHeight="1">
      <c r="A560" s="295" t="s">
        <v>1863</v>
      </c>
      <c r="B560" s="307" t="s">
        <v>1865</v>
      </c>
      <c r="C560" s="13"/>
      <c r="D560" s="13"/>
      <c r="E560" s="13"/>
      <c r="F560" s="13"/>
    </row>
    <row r="561" ht="15.75" customHeight="1">
      <c r="A561" s="295" t="s">
        <v>1867</v>
      </c>
      <c r="B561" s="307" t="s">
        <v>1869</v>
      </c>
      <c r="C561" s="13"/>
      <c r="D561" s="13"/>
      <c r="E561" s="13"/>
      <c r="F561" s="13"/>
    </row>
    <row r="562" ht="15.75" customHeight="1">
      <c r="A562" s="295" t="s">
        <v>1871</v>
      </c>
      <c r="B562" s="307" t="s">
        <v>1873</v>
      </c>
      <c r="C562" s="13"/>
      <c r="D562" s="13"/>
      <c r="E562" s="13"/>
      <c r="F562" s="13"/>
    </row>
    <row r="563" ht="15.75" customHeight="1">
      <c r="A563" s="295" t="s">
        <v>1875</v>
      </c>
      <c r="B563" s="307" t="s">
        <v>1877</v>
      </c>
      <c r="C563" s="13"/>
      <c r="D563" s="13"/>
      <c r="E563" s="13"/>
      <c r="F563" s="13"/>
    </row>
    <row r="564" ht="15.75" customHeight="1">
      <c r="A564" s="295" t="s">
        <v>1879</v>
      </c>
      <c r="B564" s="307" t="s">
        <v>1881</v>
      </c>
      <c r="C564" s="13"/>
      <c r="D564" s="13"/>
      <c r="E564" s="13"/>
      <c r="F564" s="13"/>
    </row>
    <row r="565" ht="15.75" customHeight="1">
      <c r="A565" s="295" t="s">
        <v>1883</v>
      </c>
      <c r="B565" s="311"/>
      <c r="C565" s="13"/>
      <c r="D565" s="13"/>
      <c r="E565" s="13"/>
      <c r="F565" s="13"/>
    </row>
    <row r="566" ht="15.75" customHeight="1">
      <c r="A566" s="295" t="s">
        <v>1887</v>
      </c>
      <c r="B566" s="307" t="s">
        <v>1889</v>
      </c>
      <c r="C566" s="13"/>
      <c r="D566" s="13"/>
      <c r="E566" s="13"/>
      <c r="F566" s="13"/>
    </row>
    <row r="567" ht="15.75" customHeight="1">
      <c r="A567" s="295" t="s">
        <v>1891</v>
      </c>
      <c r="B567" s="311"/>
      <c r="C567" s="13"/>
      <c r="D567" s="13"/>
      <c r="E567" s="13"/>
      <c r="F567" s="13"/>
    </row>
    <row r="568" ht="15.75" customHeight="1">
      <c r="A568" s="295" t="s">
        <v>1895</v>
      </c>
      <c r="B568" s="308"/>
      <c r="C568" s="13"/>
      <c r="D568" s="13"/>
      <c r="E568" s="13"/>
      <c r="F568" s="13"/>
    </row>
    <row r="569" ht="15.75" customHeight="1">
      <c r="A569" s="295" t="s">
        <v>1896</v>
      </c>
      <c r="B569" s="307" t="s">
        <v>1898</v>
      </c>
      <c r="C569" s="13"/>
      <c r="D569" s="13"/>
      <c r="E569" s="13"/>
      <c r="F569" s="13"/>
    </row>
    <row r="570" ht="15.75" customHeight="1">
      <c r="A570" s="295" t="s">
        <v>1900</v>
      </c>
      <c r="B570" s="307" t="s">
        <v>1902</v>
      </c>
      <c r="C570" s="13"/>
      <c r="D570" s="13"/>
      <c r="E570" s="13"/>
      <c r="F570" s="13"/>
    </row>
    <row r="571" ht="15.75" customHeight="1">
      <c r="A571" s="295" t="s">
        <v>1904</v>
      </c>
      <c r="B571" s="308"/>
      <c r="C571" s="13"/>
      <c r="D571" s="13"/>
      <c r="E571" s="13"/>
      <c r="F571" s="13"/>
    </row>
    <row r="572" ht="15.75" customHeight="1">
      <c r="A572" s="295" t="s">
        <v>1905</v>
      </c>
      <c r="B572" s="307" t="s">
        <v>1907</v>
      </c>
      <c r="C572" s="13"/>
      <c r="D572" s="13"/>
      <c r="E572" s="13"/>
      <c r="F572" s="13"/>
    </row>
    <row r="573" ht="15.75" customHeight="1">
      <c r="A573" s="295" t="s">
        <v>1909</v>
      </c>
      <c r="B573" s="308"/>
      <c r="C573" s="13"/>
      <c r="D573" s="13"/>
      <c r="E573" s="13"/>
      <c r="F573" s="13"/>
    </row>
    <row r="574" ht="15.75" customHeight="1">
      <c r="A574" s="295" t="s">
        <v>1910</v>
      </c>
      <c r="B574" s="307" t="s">
        <v>1912</v>
      </c>
      <c r="C574" s="13"/>
      <c r="D574" s="13"/>
      <c r="E574" s="13"/>
      <c r="F574" s="13"/>
    </row>
    <row r="575" ht="15.75" customHeight="1">
      <c r="A575" s="295" t="s">
        <v>1914</v>
      </c>
      <c r="B575" s="308"/>
      <c r="C575" s="13"/>
      <c r="D575" s="13"/>
      <c r="E575" s="13"/>
      <c r="F575" s="13"/>
    </row>
    <row r="576" ht="15.75" customHeight="1">
      <c r="A576" s="295" t="s">
        <v>1916</v>
      </c>
      <c r="B576" s="307" t="s">
        <v>1918</v>
      </c>
      <c r="C576" s="13"/>
      <c r="D576" s="13"/>
      <c r="E576" s="13"/>
      <c r="F576" s="13"/>
    </row>
    <row r="577" ht="15.75" customHeight="1">
      <c r="A577" s="295" t="s">
        <v>1920</v>
      </c>
      <c r="B577" s="311"/>
      <c r="C577" s="13"/>
      <c r="D577" s="13"/>
      <c r="E577" s="13"/>
      <c r="F577" s="13"/>
    </row>
    <row r="578" ht="15.75" customHeight="1">
      <c r="A578" s="295" t="s">
        <v>1923</v>
      </c>
      <c r="B578" s="311"/>
      <c r="C578" s="13"/>
      <c r="D578" s="13"/>
      <c r="E578" s="13"/>
      <c r="F578" s="13"/>
    </row>
    <row r="579" ht="15.75" customHeight="1">
      <c r="A579" s="295" t="s">
        <v>1925</v>
      </c>
      <c r="B579" s="307" t="s">
        <v>1927</v>
      </c>
      <c r="C579" s="13"/>
      <c r="D579" s="13"/>
      <c r="E579" s="13"/>
      <c r="F579" s="13"/>
    </row>
    <row r="580" ht="15.75" customHeight="1">
      <c r="A580" s="295" t="s">
        <v>1929</v>
      </c>
      <c r="B580" s="311"/>
      <c r="C580" s="13"/>
      <c r="D580" s="13"/>
      <c r="E580" s="13"/>
      <c r="F580" s="13"/>
    </row>
    <row r="581" ht="15.75" customHeight="1">
      <c r="A581" s="295" t="s">
        <v>1930</v>
      </c>
      <c r="B581" s="311"/>
      <c r="C581" s="13"/>
      <c r="D581" s="13"/>
      <c r="E581" s="13"/>
      <c r="F581" s="13"/>
    </row>
    <row r="582" ht="15.75" customHeight="1">
      <c r="A582" s="295" t="s">
        <v>1931</v>
      </c>
      <c r="B582" s="307" t="s">
        <v>1933</v>
      </c>
      <c r="C582" s="13"/>
      <c r="D582" s="13"/>
      <c r="E582" s="13"/>
      <c r="F582" s="13"/>
    </row>
    <row r="583" ht="15.75" customHeight="1">
      <c r="A583" s="295" t="s">
        <v>1935</v>
      </c>
      <c r="B583" s="307" t="s">
        <v>1936</v>
      </c>
      <c r="C583" s="13"/>
      <c r="D583" s="13"/>
      <c r="E583" s="13"/>
      <c r="F583" s="13"/>
    </row>
    <row r="584" ht="15.75" customHeight="1">
      <c r="A584" s="295" t="s">
        <v>1938</v>
      </c>
      <c r="B584" s="312"/>
      <c r="C584" s="13"/>
      <c r="D584" s="13"/>
      <c r="E584" s="13"/>
      <c r="F584" s="13"/>
    </row>
    <row r="585" ht="15.75" customHeight="1">
      <c r="A585" s="295" t="s">
        <v>1941</v>
      </c>
      <c r="B585" s="312"/>
      <c r="C585" s="13"/>
      <c r="D585" s="13"/>
      <c r="E585" s="13"/>
      <c r="F585" s="13"/>
    </row>
    <row r="586" ht="15.75" customHeight="1">
      <c r="A586" s="295" t="s">
        <v>1943</v>
      </c>
      <c r="B586" s="312"/>
      <c r="C586" s="13"/>
      <c r="D586" s="13"/>
      <c r="E586" s="13"/>
      <c r="F586" s="13"/>
    </row>
    <row r="587" ht="15.75" customHeight="1">
      <c r="A587" s="295" t="s">
        <v>1944</v>
      </c>
      <c r="B587" s="307" t="s">
        <v>1946</v>
      </c>
      <c r="C587" s="13"/>
      <c r="D587" s="13"/>
      <c r="E587" s="13"/>
      <c r="F587" s="13"/>
    </row>
    <row r="588" ht="15.75" customHeight="1">
      <c r="A588" s="295" t="s">
        <v>1948</v>
      </c>
      <c r="B588" s="307" t="s">
        <v>1949</v>
      </c>
      <c r="C588" s="13"/>
      <c r="D588" s="13"/>
      <c r="E588" s="13"/>
      <c r="F588" s="13"/>
    </row>
    <row r="589" ht="15.75" customHeight="1">
      <c r="A589" s="295" t="s">
        <v>1951</v>
      </c>
      <c r="B589" s="307" t="s">
        <v>1953</v>
      </c>
      <c r="C589" s="13"/>
      <c r="D589" s="13"/>
      <c r="E589" s="13"/>
      <c r="F589" s="13"/>
    </row>
    <row r="590" ht="15.75" customHeight="1">
      <c r="A590" s="295" t="s">
        <v>1955</v>
      </c>
      <c r="B590" s="312"/>
      <c r="C590" s="13"/>
      <c r="D590" s="13"/>
      <c r="E590" s="13"/>
      <c r="F590" s="13"/>
    </row>
    <row r="591" ht="15.75" customHeight="1">
      <c r="A591" s="295" t="s">
        <v>1957</v>
      </c>
      <c r="B591" s="307" t="s">
        <v>1959</v>
      </c>
      <c r="C591" s="13"/>
      <c r="D591" s="13"/>
      <c r="E591" s="13"/>
      <c r="F591" s="13"/>
    </row>
    <row r="592" ht="15.75" customHeight="1">
      <c r="A592" s="295" t="s">
        <v>1961</v>
      </c>
      <c r="B592" s="312"/>
      <c r="C592" s="13"/>
      <c r="D592" s="13"/>
      <c r="E592" s="13"/>
      <c r="F592" s="13"/>
    </row>
    <row r="593" ht="15.75" customHeight="1">
      <c r="A593" s="295" t="s">
        <v>1962</v>
      </c>
      <c r="B593" s="312"/>
      <c r="C593" s="13"/>
      <c r="D593" s="13"/>
      <c r="E593" s="13"/>
      <c r="F593" s="13"/>
    </row>
    <row r="594" ht="15.75" customHeight="1">
      <c r="A594" s="295" t="s">
        <v>1965</v>
      </c>
      <c r="B594" s="307" t="s">
        <v>1967</v>
      </c>
      <c r="C594" s="13"/>
      <c r="D594" s="13"/>
      <c r="E594" s="13"/>
      <c r="F594" s="13"/>
    </row>
    <row r="595" ht="15.75" customHeight="1">
      <c r="A595" s="290" t="s">
        <v>1969</v>
      </c>
      <c r="B595" s="312"/>
      <c r="C595" s="13"/>
      <c r="D595" s="13"/>
      <c r="E595" s="13"/>
      <c r="F595" s="13"/>
    </row>
    <row r="596" ht="15.75" customHeight="1">
      <c r="A596" s="290" t="s">
        <v>1970</v>
      </c>
      <c r="B596" s="312"/>
      <c r="C596" s="13"/>
      <c r="D596" s="13"/>
      <c r="E596" s="13"/>
      <c r="F596" s="13"/>
    </row>
    <row r="597" ht="15.75" customHeight="1">
      <c r="A597" s="290" t="s">
        <v>1972</v>
      </c>
      <c r="B597" s="307" t="s">
        <v>1974</v>
      </c>
      <c r="C597" s="13"/>
      <c r="D597" s="13"/>
      <c r="E597" s="13"/>
      <c r="F597" s="13"/>
    </row>
    <row r="598" ht="15.75" customHeight="1">
      <c r="A598" s="290" t="s">
        <v>1976</v>
      </c>
      <c r="B598" s="312"/>
      <c r="C598" s="13"/>
      <c r="D598" s="13"/>
      <c r="E598" s="13"/>
      <c r="F598" s="13"/>
    </row>
    <row r="599" ht="15.75" customHeight="1">
      <c r="A599" s="290" t="s">
        <v>1978</v>
      </c>
      <c r="B599" s="312"/>
      <c r="C599" s="13"/>
      <c r="D599" s="13"/>
      <c r="E599" s="13"/>
      <c r="F599" s="13"/>
    </row>
    <row r="600" ht="15.75" customHeight="1">
      <c r="A600" s="290" t="s">
        <v>1980</v>
      </c>
      <c r="B600" s="312"/>
      <c r="C600" s="13"/>
      <c r="D600" s="13"/>
      <c r="E600" s="13"/>
      <c r="F600" s="13"/>
    </row>
    <row r="601" ht="15.75" customHeight="1">
      <c r="A601" s="290" t="s">
        <v>1981</v>
      </c>
      <c r="B601" s="312"/>
      <c r="C601" s="13"/>
      <c r="D601" s="13"/>
      <c r="E601" s="13"/>
      <c r="F601" s="13"/>
    </row>
    <row r="602" ht="15.75" customHeight="1">
      <c r="A602" s="290" t="s">
        <v>1984</v>
      </c>
      <c r="B602" s="312"/>
      <c r="C602" s="13"/>
      <c r="D602" s="13"/>
      <c r="E602" s="13"/>
      <c r="F602" s="13"/>
    </row>
    <row r="603" ht="15.75" customHeight="1">
      <c r="A603" s="290" t="s">
        <v>1985</v>
      </c>
      <c r="B603" s="313" t="s">
        <v>1987</v>
      </c>
      <c r="C603" s="13"/>
      <c r="D603" s="13"/>
      <c r="E603" s="13"/>
      <c r="F603" s="13"/>
    </row>
    <row r="604" ht="15.75" customHeight="1">
      <c r="A604" s="290" t="s">
        <v>1989</v>
      </c>
      <c r="B604" s="312"/>
      <c r="C604" s="13"/>
      <c r="D604" s="13"/>
      <c r="E604" s="13"/>
      <c r="F604" s="13"/>
    </row>
    <row r="605" ht="15.75" customHeight="1">
      <c r="A605" s="290" t="s">
        <v>1990</v>
      </c>
      <c r="B605" s="312"/>
      <c r="C605" s="13"/>
      <c r="D605" s="13"/>
      <c r="E605" s="13"/>
      <c r="F605" s="13"/>
    </row>
    <row r="606" ht="15.75" customHeight="1">
      <c r="A606" s="290" t="s">
        <v>1992</v>
      </c>
      <c r="B606" s="312"/>
      <c r="C606" s="13"/>
      <c r="D606" s="13"/>
      <c r="E606" s="13"/>
      <c r="F606" s="13"/>
    </row>
    <row r="607" ht="15.75" customHeight="1">
      <c r="A607" s="290" t="s">
        <v>1996</v>
      </c>
      <c r="B607" s="314" t="s">
        <v>1998</v>
      </c>
      <c r="C607" s="13"/>
      <c r="D607" s="13"/>
      <c r="E607" s="13"/>
      <c r="F607" s="13"/>
    </row>
    <row r="608" ht="15.75" customHeight="1">
      <c r="A608" s="290" t="s">
        <v>2000</v>
      </c>
      <c r="B608" s="313" t="s">
        <v>2002</v>
      </c>
      <c r="C608" s="13"/>
      <c r="D608" s="13"/>
      <c r="E608" s="13"/>
      <c r="F608" s="13"/>
    </row>
    <row r="609" ht="15.75" customHeight="1">
      <c r="A609" s="290" t="s">
        <v>2004</v>
      </c>
      <c r="B609" s="314" t="s">
        <v>2006</v>
      </c>
      <c r="C609" s="13"/>
      <c r="D609" s="13"/>
      <c r="E609" s="13"/>
      <c r="F609" s="13"/>
    </row>
    <row r="610" ht="15.75" customHeight="1">
      <c r="A610" s="290" t="s">
        <v>2008</v>
      </c>
      <c r="B610" s="314" t="s">
        <v>2010</v>
      </c>
      <c r="C610" s="13"/>
      <c r="D610" s="13"/>
      <c r="E610" s="13"/>
      <c r="F610" s="13"/>
    </row>
    <row r="611" ht="15.75" customHeight="1">
      <c r="A611" s="290" t="s">
        <v>2012</v>
      </c>
      <c r="B611" s="311"/>
      <c r="C611" s="13"/>
      <c r="D611" s="13"/>
      <c r="E611" s="13"/>
      <c r="F611" s="13"/>
    </row>
    <row r="612" ht="15.75" customHeight="1">
      <c r="A612" s="290" t="s">
        <v>2014</v>
      </c>
      <c r="B612" s="311"/>
      <c r="C612" s="13"/>
      <c r="D612" s="13"/>
      <c r="E612" s="13"/>
      <c r="F612" s="13"/>
    </row>
    <row r="613" ht="15.75" customHeight="1">
      <c r="A613" s="290" t="s">
        <v>2016</v>
      </c>
      <c r="B613" s="311"/>
      <c r="C613" s="13"/>
      <c r="D613" s="13"/>
      <c r="E613" s="13"/>
      <c r="F613" s="13"/>
    </row>
    <row r="614" ht="15.75" customHeight="1">
      <c r="A614" s="290" t="s">
        <v>2017</v>
      </c>
      <c r="B614" s="311"/>
      <c r="C614" s="13"/>
      <c r="D614" s="13"/>
      <c r="E614" s="13"/>
      <c r="F614" s="13"/>
    </row>
    <row r="615" ht="15.75" customHeight="1">
      <c r="A615" s="290" t="s">
        <v>2019</v>
      </c>
      <c r="B615" s="311"/>
      <c r="C615" s="13"/>
      <c r="D615" s="13"/>
      <c r="E615" s="13"/>
      <c r="F615" s="13"/>
    </row>
    <row r="616" ht="15.75" customHeight="1">
      <c r="A616" s="290" t="s">
        <v>2023</v>
      </c>
      <c r="B616" s="314" t="s">
        <v>2025</v>
      </c>
      <c r="C616" s="13"/>
      <c r="D616" s="13"/>
      <c r="E616" s="13"/>
      <c r="F616" s="13"/>
    </row>
    <row r="617" ht="15.75" customHeight="1">
      <c r="A617" s="290" t="s">
        <v>2027</v>
      </c>
      <c r="B617" s="311"/>
      <c r="C617" s="13"/>
      <c r="D617" s="13"/>
      <c r="E617" s="13"/>
      <c r="F617" s="13"/>
    </row>
    <row r="618" ht="15.75" customHeight="1">
      <c r="A618" s="290" t="s">
        <v>2030</v>
      </c>
      <c r="B618" s="314" t="s">
        <v>2032</v>
      </c>
      <c r="C618" s="13"/>
      <c r="D618" s="13"/>
      <c r="E618" s="13"/>
      <c r="F618" s="13"/>
    </row>
    <row r="619" ht="15.75" customHeight="1">
      <c r="A619" s="290" t="s">
        <v>2034</v>
      </c>
      <c r="B619" s="314" t="s">
        <v>2036</v>
      </c>
      <c r="C619" s="13"/>
      <c r="D619" s="13"/>
      <c r="E619" s="13"/>
      <c r="F619" s="13"/>
    </row>
    <row r="620" ht="15.75" customHeight="1">
      <c r="A620" s="290" t="s">
        <v>2038</v>
      </c>
      <c r="B620" s="311"/>
      <c r="C620" s="13"/>
      <c r="D620" s="13"/>
      <c r="E620" s="13"/>
      <c r="F620" s="13"/>
    </row>
    <row r="621" ht="15.75" customHeight="1">
      <c r="A621" s="290" t="s">
        <v>2040</v>
      </c>
      <c r="B621" s="311"/>
      <c r="C621" s="13"/>
      <c r="D621" s="13"/>
      <c r="E621" s="13"/>
      <c r="F621" s="13"/>
    </row>
    <row r="622" ht="15.75" customHeight="1">
      <c r="A622" s="290" t="s">
        <v>2042</v>
      </c>
      <c r="B622" s="314" t="s">
        <v>2044</v>
      </c>
      <c r="C622" s="13"/>
      <c r="D622" s="13"/>
      <c r="E622" s="13"/>
      <c r="F622" s="13"/>
    </row>
    <row r="623" ht="15.75" customHeight="1">
      <c r="A623" s="290" t="s">
        <v>2046</v>
      </c>
      <c r="B623" s="314" t="s">
        <v>2048</v>
      </c>
      <c r="C623" s="13"/>
      <c r="D623" s="13"/>
      <c r="E623" s="13"/>
      <c r="F623" s="13"/>
    </row>
    <row r="624" ht="15.75" customHeight="1">
      <c r="A624" s="290" t="s">
        <v>2050</v>
      </c>
      <c r="B624" s="314" t="s">
        <v>2052</v>
      </c>
      <c r="C624" s="13"/>
      <c r="D624" s="13"/>
      <c r="E624" s="13"/>
      <c r="F624" s="13"/>
    </row>
    <row r="625" ht="15.75" customHeight="1">
      <c r="A625" s="290" t="s">
        <v>2054</v>
      </c>
      <c r="B625" s="313" t="s">
        <v>2056</v>
      </c>
      <c r="C625" s="13"/>
      <c r="D625" s="13"/>
      <c r="E625" s="13"/>
      <c r="F625" s="13"/>
    </row>
    <row r="626" ht="15.75" customHeight="1">
      <c r="A626" s="290" t="s">
        <v>2058</v>
      </c>
      <c r="B626" s="311"/>
      <c r="C626" s="13"/>
      <c r="D626" s="13"/>
      <c r="E626" s="13"/>
      <c r="F626" s="13"/>
    </row>
    <row r="627" ht="15.75" customHeight="1">
      <c r="A627" s="290" t="s">
        <v>2060</v>
      </c>
      <c r="B627" s="315"/>
      <c r="C627" s="13"/>
      <c r="D627" s="13"/>
      <c r="E627" s="13"/>
      <c r="F627" s="13"/>
    </row>
    <row r="628" ht="15.75" customHeight="1">
      <c r="A628" s="290" t="s">
        <v>2063</v>
      </c>
      <c r="B628" s="311"/>
      <c r="C628" s="13"/>
      <c r="D628" s="13"/>
      <c r="E628" s="13"/>
      <c r="F628" s="13"/>
    </row>
    <row r="629" ht="15.75" customHeight="1">
      <c r="A629" s="290" t="s">
        <v>2064</v>
      </c>
      <c r="B629" s="313" t="s">
        <v>2065</v>
      </c>
      <c r="C629" s="13"/>
      <c r="D629" s="13"/>
      <c r="E629" s="13"/>
      <c r="F629" s="13"/>
    </row>
    <row r="630" ht="15.75" customHeight="1">
      <c r="A630" s="290" t="s">
        <v>2067</v>
      </c>
      <c r="B630" s="314" t="s">
        <v>2069</v>
      </c>
      <c r="C630" s="13"/>
      <c r="D630" s="13"/>
      <c r="E630" s="13"/>
      <c r="F630" s="13"/>
    </row>
    <row r="631" ht="15.75" customHeight="1">
      <c r="A631" s="290" t="s">
        <v>2071</v>
      </c>
      <c r="B631" s="313" t="s">
        <v>2073</v>
      </c>
      <c r="C631" s="13"/>
      <c r="D631" s="13"/>
      <c r="E631" s="13"/>
      <c r="F631" s="13"/>
    </row>
    <row r="632" ht="15.75" customHeight="1">
      <c r="A632" s="290" t="s">
        <v>2075</v>
      </c>
      <c r="B632" s="311"/>
      <c r="C632" s="13"/>
      <c r="D632" s="13"/>
      <c r="E632" s="13"/>
      <c r="F632" s="13"/>
    </row>
    <row r="633" ht="15.75" customHeight="1">
      <c r="A633" s="290" t="s">
        <v>2077</v>
      </c>
      <c r="B633" s="311"/>
      <c r="C633" s="13"/>
      <c r="D633" s="13"/>
      <c r="E633" s="13"/>
      <c r="F633" s="13"/>
    </row>
    <row r="634" ht="15.75" customHeight="1">
      <c r="A634" s="290" t="s">
        <v>2079</v>
      </c>
      <c r="B634" s="311"/>
      <c r="C634" s="13"/>
      <c r="D634" s="13"/>
      <c r="E634" s="13"/>
      <c r="F634" s="13"/>
    </row>
    <row r="635" ht="15.75" customHeight="1">
      <c r="A635" s="290" t="s">
        <v>2081</v>
      </c>
      <c r="B635" s="311"/>
      <c r="C635" s="13"/>
      <c r="D635" s="13"/>
      <c r="E635" s="13"/>
      <c r="F635" s="13"/>
    </row>
    <row r="636" ht="15.75" customHeight="1">
      <c r="A636" s="290" t="s">
        <v>2083</v>
      </c>
      <c r="B636" s="305" t="s">
        <v>2085</v>
      </c>
      <c r="C636" s="13"/>
      <c r="D636" s="13"/>
      <c r="E636" s="13"/>
      <c r="F636" s="13"/>
    </row>
    <row r="637" ht="15.75" customHeight="1">
      <c r="A637" s="290" t="s">
        <v>2087</v>
      </c>
      <c r="B637" s="305" t="s">
        <v>2089</v>
      </c>
      <c r="C637" s="13"/>
      <c r="D637" s="13"/>
      <c r="E637" s="13"/>
      <c r="F637" s="13"/>
    </row>
    <row r="638" ht="15.75" customHeight="1">
      <c r="A638" s="290" t="s">
        <v>2091</v>
      </c>
      <c r="B638" s="305" t="s">
        <v>2093</v>
      </c>
      <c r="C638" s="13"/>
      <c r="D638" s="13"/>
      <c r="E638" s="13"/>
      <c r="F638" s="13"/>
    </row>
    <row r="639" ht="15.75" customHeight="1">
      <c r="A639" s="290" t="s">
        <v>2095</v>
      </c>
      <c r="B639" s="305" t="s">
        <v>2097</v>
      </c>
      <c r="C639" s="13"/>
      <c r="D639" s="13"/>
      <c r="E639" s="13"/>
      <c r="F639" s="13"/>
    </row>
    <row r="640" ht="15.75" customHeight="1">
      <c r="A640" s="290" t="s">
        <v>2099</v>
      </c>
      <c r="B640" s="311"/>
      <c r="C640" s="13"/>
      <c r="D640" s="13"/>
      <c r="E640" s="13"/>
      <c r="F640" s="13"/>
    </row>
    <row r="641" ht="15.75" customHeight="1">
      <c r="A641" s="290" t="s">
        <v>2102</v>
      </c>
      <c r="B641" s="305" t="s">
        <v>2104</v>
      </c>
      <c r="C641" s="13"/>
      <c r="D641" s="13"/>
      <c r="E641" s="13"/>
      <c r="F641" s="13"/>
    </row>
    <row r="642" ht="15.75" customHeight="1">
      <c r="A642" s="290" t="s">
        <v>2106</v>
      </c>
      <c r="B642" s="305" t="s">
        <v>2108</v>
      </c>
      <c r="C642" s="13"/>
      <c r="D642" s="13"/>
      <c r="E642" s="13"/>
      <c r="F642" s="13"/>
    </row>
    <row r="643" ht="15.75" customHeight="1">
      <c r="A643" s="290" t="s">
        <v>2110</v>
      </c>
      <c r="B643" s="305" t="s">
        <v>2112</v>
      </c>
      <c r="C643" s="13"/>
      <c r="D643" s="13"/>
      <c r="E643" s="13"/>
      <c r="F643" s="13"/>
    </row>
    <row r="644" ht="15.75" customHeight="1">
      <c r="A644" s="290" t="s">
        <v>2114</v>
      </c>
      <c r="B644" s="311"/>
      <c r="C644" s="13"/>
      <c r="D644" s="13"/>
      <c r="E644" s="13"/>
      <c r="F644" s="13"/>
    </row>
    <row r="645" ht="15.75" customHeight="1">
      <c r="A645" s="290" t="s">
        <v>2115</v>
      </c>
      <c r="B645" s="311"/>
      <c r="C645" s="13"/>
      <c r="D645" s="13"/>
      <c r="E645" s="13"/>
      <c r="F645" s="13"/>
    </row>
    <row r="646" ht="15.75" customHeight="1">
      <c r="A646" s="290" t="s">
        <v>2116</v>
      </c>
      <c r="B646" s="311"/>
      <c r="C646" s="13"/>
      <c r="D646" s="13"/>
      <c r="E646" s="13"/>
      <c r="F646" s="13"/>
    </row>
    <row r="647" ht="15.75" customHeight="1">
      <c r="A647" s="290" t="s">
        <v>2119</v>
      </c>
      <c r="B647" s="311"/>
      <c r="C647" s="13"/>
      <c r="D647" s="13"/>
      <c r="E647" s="13"/>
      <c r="F647" s="13"/>
    </row>
    <row r="648" ht="15.75" customHeight="1">
      <c r="A648" s="290" t="s">
        <v>3883</v>
      </c>
      <c r="B648" s="305" t="s">
        <v>2125</v>
      </c>
      <c r="C648" s="13"/>
      <c r="D648" s="13"/>
      <c r="E648" s="13"/>
      <c r="F648" s="13"/>
    </row>
    <row r="649" ht="15.75" customHeight="1">
      <c r="A649" s="290" t="s">
        <v>2127</v>
      </c>
      <c r="B649" s="305" t="s">
        <v>2129</v>
      </c>
      <c r="C649" s="13"/>
      <c r="D649" s="13"/>
      <c r="E649" s="13"/>
      <c r="F649" s="13"/>
    </row>
    <row r="650" ht="15.75" customHeight="1">
      <c r="A650" s="290" t="s">
        <v>2131</v>
      </c>
      <c r="B650" s="305" t="s">
        <v>2133</v>
      </c>
      <c r="C650" s="13"/>
      <c r="D650" s="13"/>
      <c r="E650" s="13"/>
      <c r="F650" s="13"/>
    </row>
    <row r="651" ht="15.75" customHeight="1">
      <c r="A651" s="290" t="s">
        <v>2135</v>
      </c>
      <c r="B651" s="311"/>
      <c r="C651" s="13"/>
      <c r="D651" s="13"/>
      <c r="E651" s="13"/>
      <c r="F651" s="13"/>
    </row>
    <row r="652" ht="15.75" customHeight="1">
      <c r="A652" s="290" t="s">
        <v>2136</v>
      </c>
      <c r="B652" s="311"/>
      <c r="C652" s="13"/>
      <c r="D652" s="13"/>
      <c r="E652" s="13"/>
      <c r="F652" s="13"/>
    </row>
    <row r="653" ht="15.75" customHeight="1">
      <c r="A653" s="290" t="s">
        <v>2137</v>
      </c>
      <c r="B653" s="305" t="s">
        <v>2138</v>
      </c>
      <c r="C653" s="13"/>
      <c r="D653" s="13"/>
      <c r="E653" s="13"/>
      <c r="F653" s="13"/>
    </row>
    <row r="654" ht="15.75" customHeight="1">
      <c r="A654" s="290" t="s">
        <v>2140</v>
      </c>
      <c r="B654" s="305" t="s">
        <v>2142</v>
      </c>
      <c r="C654" s="13"/>
      <c r="D654" s="13"/>
      <c r="E654" s="13"/>
      <c r="F654" s="13"/>
    </row>
    <row r="655" ht="15.75" customHeight="1">
      <c r="A655" s="290" t="s">
        <v>2144</v>
      </c>
      <c r="B655" s="305" t="s">
        <v>2146</v>
      </c>
      <c r="C655" s="13"/>
      <c r="D655" s="13"/>
      <c r="E655" s="13"/>
      <c r="F655" s="13"/>
    </row>
    <row r="656" ht="15.75" customHeight="1">
      <c r="A656" s="290" t="s">
        <v>2148</v>
      </c>
      <c r="B656" s="305" t="s">
        <v>2150</v>
      </c>
      <c r="C656" s="13"/>
      <c r="D656" s="13"/>
      <c r="E656" s="13"/>
      <c r="F656" s="13"/>
    </row>
    <row r="657" ht="15.75" customHeight="1">
      <c r="A657" s="290" t="s">
        <v>2152</v>
      </c>
      <c r="B657" s="305" t="s">
        <v>2153</v>
      </c>
      <c r="C657" s="13"/>
      <c r="D657" s="13"/>
      <c r="E657" s="13"/>
      <c r="F657" s="13"/>
    </row>
    <row r="658" ht="15.75" customHeight="1">
      <c r="A658" s="290" t="s">
        <v>2155</v>
      </c>
      <c r="B658" s="305" t="s">
        <v>2157</v>
      </c>
      <c r="C658" s="13"/>
      <c r="D658" s="13"/>
      <c r="E658" s="13"/>
      <c r="F658" s="13"/>
    </row>
    <row r="659" ht="15.75" customHeight="1">
      <c r="A659" s="290" t="s">
        <v>2159</v>
      </c>
      <c r="B659" s="305" t="s">
        <v>2161</v>
      </c>
      <c r="C659" s="13"/>
      <c r="D659" s="13"/>
      <c r="E659" s="13"/>
      <c r="F659" s="13"/>
    </row>
    <row r="660" ht="15.75" customHeight="1">
      <c r="A660" s="290" t="s">
        <v>2163</v>
      </c>
      <c r="B660" s="316"/>
      <c r="C660" s="13"/>
      <c r="D660" s="13"/>
      <c r="E660" s="13"/>
      <c r="F660" s="13"/>
    </row>
    <row r="661" ht="15.75" customHeight="1">
      <c r="A661" s="290" t="s">
        <v>2165</v>
      </c>
      <c r="B661" s="305" t="s">
        <v>2167</v>
      </c>
      <c r="C661" s="13"/>
      <c r="D661" s="13"/>
      <c r="E661" s="13"/>
      <c r="F661" s="13"/>
    </row>
    <row r="662" ht="15.75" customHeight="1">
      <c r="A662" s="290" t="s">
        <v>2169</v>
      </c>
      <c r="B662" s="305" t="s">
        <v>2171</v>
      </c>
      <c r="C662" s="13"/>
      <c r="D662" s="13"/>
      <c r="E662" s="13"/>
      <c r="F662" s="13"/>
    </row>
    <row r="663" ht="15.75" customHeight="1">
      <c r="A663" s="290" t="s">
        <v>2173</v>
      </c>
      <c r="B663" s="305" t="s">
        <v>2175</v>
      </c>
      <c r="C663" s="13"/>
      <c r="D663" s="13"/>
      <c r="E663" s="13"/>
      <c r="F663" s="13"/>
    </row>
    <row r="664" ht="15.75" customHeight="1">
      <c r="A664" s="290" t="s">
        <v>2177</v>
      </c>
      <c r="B664" s="305" t="s">
        <v>2179</v>
      </c>
      <c r="C664" s="13"/>
      <c r="D664" s="13"/>
      <c r="E664" s="13"/>
      <c r="F664" s="13"/>
    </row>
    <row r="665" ht="15.75" customHeight="1">
      <c r="A665" s="290" t="s">
        <v>2181</v>
      </c>
      <c r="B665" s="305" t="s">
        <v>2183</v>
      </c>
      <c r="C665" s="13"/>
      <c r="D665" s="13"/>
      <c r="E665" s="13"/>
      <c r="F665" s="13"/>
    </row>
    <row r="666" ht="15.75" customHeight="1">
      <c r="A666" s="290" t="s">
        <v>2185</v>
      </c>
      <c r="B666" s="305" t="s">
        <v>2187</v>
      </c>
      <c r="C666" s="13"/>
      <c r="D666" s="13"/>
      <c r="E666" s="13"/>
      <c r="F666" s="13"/>
    </row>
    <row r="667" ht="15.75" customHeight="1">
      <c r="A667" s="290" t="s">
        <v>2189</v>
      </c>
      <c r="B667" s="305" t="s">
        <v>2191</v>
      </c>
      <c r="C667" s="13"/>
      <c r="D667" s="13"/>
      <c r="E667" s="13"/>
      <c r="F667" s="13"/>
    </row>
    <row r="668" ht="15.75" customHeight="1">
      <c r="A668" s="290" t="s">
        <v>2193</v>
      </c>
      <c r="B668" s="305" t="s">
        <v>2194</v>
      </c>
      <c r="C668" s="13"/>
      <c r="D668" s="13"/>
      <c r="E668" s="13"/>
      <c r="F668" s="13"/>
    </row>
    <row r="669" ht="15.75" customHeight="1">
      <c r="A669" s="290" t="s">
        <v>2196</v>
      </c>
      <c r="B669" s="317"/>
      <c r="C669" s="13"/>
      <c r="D669" s="13"/>
      <c r="E669" s="13"/>
      <c r="F669" s="13"/>
    </row>
    <row r="670" ht="15.75" customHeight="1">
      <c r="A670" s="290" t="s">
        <v>2198</v>
      </c>
      <c r="B670" s="317"/>
      <c r="C670" s="13"/>
      <c r="D670" s="13"/>
      <c r="E670" s="13"/>
      <c r="F670" s="13"/>
    </row>
    <row r="671" ht="15.75" customHeight="1">
      <c r="A671" s="290" t="s">
        <v>2201</v>
      </c>
      <c r="B671" s="317"/>
      <c r="C671" s="13"/>
      <c r="D671" s="13"/>
      <c r="E671" s="13"/>
      <c r="F671" s="13"/>
    </row>
    <row r="672" ht="15.75" customHeight="1">
      <c r="A672" s="290" t="s">
        <v>2202</v>
      </c>
      <c r="B672" s="305" t="s">
        <v>2204</v>
      </c>
      <c r="C672" s="13"/>
      <c r="D672" s="13"/>
      <c r="E672" s="13"/>
      <c r="F672" s="13"/>
    </row>
    <row r="673" ht="15.75" customHeight="1">
      <c r="A673" s="290" t="s">
        <v>2206</v>
      </c>
      <c r="B673" s="305" t="s">
        <v>2208</v>
      </c>
      <c r="C673" s="13"/>
      <c r="D673" s="13"/>
      <c r="E673" s="13"/>
      <c r="F673" s="13"/>
    </row>
    <row r="674" ht="15.75" customHeight="1">
      <c r="A674" s="290" t="s">
        <v>2210</v>
      </c>
      <c r="B674" s="305" t="s">
        <v>2212</v>
      </c>
      <c r="C674" s="13"/>
      <c r="D674" s="13"/>
      <c r="E674" s="13"/>
      <c r="F674" s="13"/>
    </row>
    <row r="675" ht="15.75" customHeight="1">
      <c r="A675" s="290" t="s">
        <v>2214</v>
      </c>
      <c r="B675" s="303"/>
      <c r="C675" s="13"/>
      <c r="D675" s="13"/>
      <c r="E675" s="13"/>
      <c r="F675" s="13"/>
    </row>
    <row r="676" ht="15.75" customHeight="1">
      <c r="A676" s="290" t="s">
        <v>2215</v>
      </c>
      <c r="B676" s="305" t="s">
        <v>2217</v>
      </c>
      <c r="C676" s="13"/>
      <c r="D676" s="13"/>
      <c r="E676" s="13"/>
      <c r="F676" s="13"/>
    </row>
    <row r="677" ht="15.75" customHeight="1">
      <c r="A677" s="290" t="s">
        <v>2219</v>
      </c>
      <c r="B677" s="305" t="s">
        <v>2221</v>
      </c>
      <c r="C677" s="13"/>
      <c r="D677" s="13"/>
      <c r="E677" s="13"/>
      <c r="F677" s="13"/>
    </row>
    <row r="678" ht="15.75" customHeight="1">
      <c r="A678" s="290" t="s">
        <v>2223</v>
      </c>
      <c r="B678" s="305" t="s">
        <v>2225</v>
      </c>
      <c r="C678" s="13"/>
      <c r="D678" s="13"/>
      <c r="E678" s="13"/>
      <c r="F678" s="13"/>
    </row>
    <row r="679" ht="15.75" customHeight="1">
      <c r="A679" s="290" t="s">
        <v>2227</v>
      </c>
      <c r="B679" s="305" t="s">
        <v>2229</v>
      </c>
      <c r="C679" s="13"/>
      <c r="D679" s="13"/>
      <c r="E679" s="13"/>
      <c r="F679" s="13"/>
    </row>
    <row r="680" ht="15.75" customHeight="1">
      <c r="A680" s="290" t="s">
        <v>2231</v>
      </c>
      <c r="B680" s="305" t="s">
        <v>2233</v>
      </c>
      <c r="C680" s="13"/>
      <c r="D680" s="13"/>
      <c r="E680" s="13"/>
      <c r="F680" s="13"/>
    </row>
    <row r="681" ht="15.75" customHeight="1">
      <c r="A681" s="290" t="s">
        <v>2235</v>
      </c>
      <c r="B681" s="303"/>
      <c r="C681" s="13"/>
      <c r="D681" s="13"/>
      <c r="E681" s="13"/>
      <c r="F681" s="13"/>
    </row>
    <row r="682" ht="15.75" customHeight="1">
      <c r="A682" s="290" t="s">
        <v>2236</v>
      </c>
      <c r="B682" s="305" t="s">
        <v>2238</v>
      </c>
      <c r="C682" s="13"/>
      <c r="D682" s="13"/>
      <c r="E682" s="13"/>
      <c r="F682" s="13"/>
    </row>
    <row r="683" ht="15.75" customHeight="1">
      <c r="A683" s="290" t="s">
        <v>2240</v>
      </c>
      <c r="B683" s="303"/>
      <c r="C683" s="13"/>
      <c r="D683" s="13"/>
      <c r="E683" s="13"/>
      <c r="F683" s="13"/>
    </row>
    <row r="684" ht="15.75" customHeight="1">
      <c r="A684" s="290" t="s">
        <v>2241</v>
      </c>
      <c r="B684" s="303"/>
      <c r="C684" s="13"/>
      <c r="D684" s="13"/>
      <c r="E684" s="13"/>
      <c r="F684" s="13"/>
    </row>
    <row r="685" ht="15.75" customHeight="1">
      <c r="A685" s="290" t="s">
        <v>2242</v>
      </c>
      <c r="B685" s="303"/>
      <c r="C685" s="13"/>
      <c r="D685" s="13"/>
      <c r="E685" s="13"/>
      <c r="F685" s="13"/>
    </row>
    <row r="686" ht="15.75" customHeight="1">
      <c r="A686" s="290" t="s">
        <v>2243</v>
      </c>
      <c r="B686" s="303"/>
      <c r="C686" s="13"/>
      <c r="D686" s="13"/>
      <c r="E686" s="13"/>
      <c r="F686" s="13"/>
    </row>
    <row r="687" ht="15.75" customHeight="1">
      <c r="A687" s="290" t="s">
        <v>2247</v>
      </c>
      <c r="B687" s="305" t="s">
        <v>2249</v>
      </c>
      <c r="C687" s="13"/>
      <c r="D687" s="13"/>
      <c r="E687" s="13"/>
      <c r="F687" s="13"/>
    </row>
    <row r="688" ht="15.75" customHeight="1">
      <c r="A688" s="290" t="s">
        <v>2251</v>
      </c>
      <c r="B688" s="305" t="s">
        <v>3884</v>
      </c>
      <c r="C688" s="13"/>
      <c r="D688" s="13"/>
      <c r="E688" s="13"/>
      <c r="F688" s="13"/>
    </row>
    <row r="689" ht="15.75" customHeight="1">
      <c r="A689" s="290" t="s">
        <v>2255</v>
      </c>
      <c r="B689" s="305" t="s">
        <v>2257</v>
      </c>
      <c r="C689" s="13"/>
      <c r="D689" s="13"/>
      <c r="E689" s="13"/>
      <c r="F689" s="13"/>
    </row>
    <row r="690" ht="15.75" customHeight="1">
      <c r="A690" s="290" t="s">
        <v>2259</v>
      </c>
      <c r="B690" s="305" t="s">
        <v>2261</v>
      </c>
      <c r="C690" s="13"/>
      <c r="D690" s="13"/>
      <c r="E690" s="13"/>
      <c r="F690" s="13"/>
    </row>
    <row r="691" ht="15.75" customHeight="1">
      <c r="A691" s="290" t="s">
        <v>2263</v>
      </c>
      <c r="B691" s="305" t="s">
        <v>2265</v>
      </c>
      <c r="C691" s="13"/>
      <c r="D691" s="13"/>
      <c r="E691" s="13"/>
      <c r="F691" s="13"/>
    </row>
    <row r="692" ht="15.75" customHeight="1">
      <c r="A692" s="290" t="s">
        <v>2267</v>
      </c>
      <c r="B692" s="305" t="s">
        <v>2269</v>
      </c>
      <c r="C692" s="13"/>
      <c r="D692" s="13"/>
      <c r="E692" s="13"/>
      <c r="F692" s="13"/>
    </row>
    <row r="693" ht="15.75" customHeight="1">
      <c r="A693" s="290" t="s">
        <v>2271</v>
      </c>
      <c r="B693" s="305" t="s">
        <v>2273</v>
      </c>
      <c r="C693" s="13"/>
      <c r="D693" s="13"/>
      <c r="E693" s="13"/>
      <c r="F693" s="13"/>
    </row>
    <row r="694" ht="15.75" customHeight="1">
      <c r="A694" s="290" t="s">
        <v>2275</v>
      </c>
      <c r="B694" s="303"/>
      <c r="C694" s="13"/>
      <c r="D694" s="13"/>
      <c r="E694" s="13"/>
      <c r="F694" s="13"/>
    </row>
    <row r="695" ht="15.75" customHeight="1">
      <c r="A695" s="290" t="s">
        <v>2277</v>
      </c>
      <c r="B695" s="305" t="s">
        <v>2279</v>
      </c>
      <c r="C695" s="13"/>
      <c r="D695" s="13"/>
      <c r="E695" s="13"/>
      <c r="F695" s="13"/>
    </row>
    <row r="696" ht="15.75" customHeight="1">
      <c r="A696" s="290" t="s">
        <v>2281</v>
      </c>
      <c r="B696" s="303"/>
      <c r="C696" s="13"/>
      <c r="D696" s="13"/>
      <c r="E696" s="13"/>
      <c r="F696" s="13"/>
    </row>
    <row r="697" ht="15.75" customHeight="1">
      <c r="A697" s="290" t="s">
        <v>2283</v>
      </c>
      <c r="B697" s="303"/>
      <c r="C697" s="13"/>
      <c r="D697" s="13"/>
      <c r="E697" s="13"/>
      <c r="F697" s="13"/>
    </row>
    <row r="698" ht="15.75" customHeight="1">
      <c r="A698" s="290" t="s">
        <v>2291</v>
      </c>
      <c r="B698" s="305" t="s">
        <v>2293</v>
      </c>
      <c r="C698" s="13"/>
      <c r="D698" s="13"/>
      <c r="E698" s="13"/>
      <c r="F698" s="13"/>
    </row>
    <row r="699" ht="15.75" customHeight="1">
      <c r="A699" s="290" t="s">
        <v>2295</v>
      </c>
      <c r="B699" s="305" t="s">
        <v>2297</v>
      </c>
      <c r="C699" s="13"/>
      <c r="D699" s="13"/>
      <c r="E699" s="13"/>
      <c r="F699" s="13"/>
    </row>
    <row r="700" ht="15.75" customHeight="1">
      <c r="A700" s="290" t="s">
        <v>2299</v>
      </c>
      <c r="B700" s="305" t="s">
        <v>2301</v>
      </c>
      <c r="C700" s="13"/>
      <c r="D700" s="13"/>
      <c r="E700" s="13"/>
      <c r="F700" s="13"/>
    </row>
    <row r="701" ht="15.75" customHeight="1">
      <c r="A701" s="290" t="s">
        <v>2303</v>
      </c>
      <c r="B701" s="305" t="s">
        <v>2305</v>
      </c>
      <c r="C701" s="13"/>
      <c r="D701" s="13"/>
      <c r="E701" s="13"/>
      <c r="F701" s="13"/>
    </row>
    <row r="702" ht="15.75" customHeight="1">
      <c r="A702" s="290" t="s">
        <v>2307</v>
      </c>
      <c r="B702" s="305" t="s">
        <v>2309</v>
      </c>
      <c r="C702" s="13"/>
      <c r="D702" s="13"/>
      <c r="E702" s="13"/>
      <c r="F702" s="13"/>
    </row>
    <row r="703" ht="15.75" customHeight="1">
      <c r="A703" s="290" t="s">
        <v>2311</v>
      </c>
      <c r="B703" s="303"/>
      <c r="C703" s="13"/>
      <c r="D703" s="13"/>
      <c r="E703" s="13"/>
      <c r="F703" s="13"/>
    </row>
    <row r="704" ht="15.75" customHeight="1">
      <c r="A704" s="290" t="s">
        <v>2314</v>
      </c>
      <c r="B704" s="305" t="s">
        <v>2316</v>
      </c>
      <c r="C704" s="13"/>
      <c r="D704" s="13"/>
      <c r="E704" s="13"/>
      <c r="F704" s="13"/>
    </row>
    <row r="705" ht="15.75" customHeight="1">
      <c r="A705" s="290" t="s">
        <v>2318</v>
      </c>
      <c r="B705" s="305" t="s">
        <v>2320</v>
      </c>
      <c r="C705" s="13"/>
      <c r="D705" s="13"/>
      <c r="E705" s="13"/>
      <c r="F705" s="13"/>
    </row>
    <row r="706" ht="15.75" customHeight="1">
      <c r="A706" s="290" t="s">
        <v>2322</v>
      </c>
      <c r="B706" s="305" t="s">
        <v>2324</v>
      </c>
      <c r="C706" s="13"/>
      <c r="D706" s="13"/>
      <c r="E706" s="13"/>
      <c r="F706" s="13"/>
    </row>
    <row r="707" ht="15.75" customHeight="1">
      <c r="A707" s="290" t="s">
        <v>2326</v>
      </c>
      <c r="B707" s="305" t="s">
        <v>2328</v>
      </c>
      <c r="C707" s="13"/>
      <c r="D707" s="13"/>
      <c r="E707" s="13"/>
      <c r="F707" s="13"/>
    </row>
    <row r="708" ht="15.75" customHeight="1">
      <c r="A708" s="290" t="s">
        <v>2330</v>
      </c>
      <c r="B708" s="305" t="s">
        <v>2332</v>
      </c>
      <c r="C708" s="13"/>
      <c r="D708" s="13"/>
      <c r="E708" s="13"/>
      <c r="F708" s="13"/>
    </row>
    <row r="709" ht="15.75" customHeight="1">
      <c r="A709" s="290" t="s">
        <v>2334</v>
      </c>
      <c r="B709" s="305" t="s">
        <v>2336</v>
      </c>
      <c r="C709" s="13"/>
      <c r="D709" s="13"/>
      <c r="E709" s="13"/>
      <c r="F709" s="13"/>
    </row>
    <row r="710" ht="15.75" customHeight="1">
      <c r="A710" s="290" t="s">
        <v>2338</v>
      </c>
      <c r="B710" s="305" t="s">
        <v>2340</v>
      </c>
      <c r="C710" s="13"/>
      <c r="D710" s="13"/>
      <c r="E710" s="13"/>
      <c r="F710" s="13"/>
    </row>
    <row r="711" ht="15.75" customHeight="1">
      <c r="A711" s="290" t="s">
        <v>2346</v>
      </c>
      <c r="B711" s="305" t="s">
        <v>2348</v>
      </c>
      <c r="C711" s="13"/>
      <c r="D711" s="13"/>
      <c r="E711" s="13"/>
      <c r="F711" s="13"/>
    </row>
    <row r="712" ht="15.75" customHeight="1">
      <c r="A712" s="290" t="s">
        <v>2350</v>
      </c>
      <c r="B712" s="305" t="s">
        <v>2352</v>
      </c>
      <c r="C712" s="13"/>
      <c r="D712" s="13"/>
      <c r="E712" s="13"/>
      <c r="F712" s="13"/>
    </row>
    <row r="713" ht="15.75" customHeight="1">
      <c r="A713" s="290" t="s">
        <v>2354</v>
      </c>
      <c r="B713" s="305" t="s">
        <v>2356</v>
      </c>
      <c r="C713" s="13"/>
      <c r="D713" s="13"/>
      <c r="E713" s="13"/>
      <c r="F713" s="13"/>
    </row>
    <row r="714" ht="15.75" customHeight="1">
      <c r="A714" s="290" t="s">
        <v>2358</v>
      </c>
      <c r="B714" s="303"/>
      <c r="C714" s="13"/>
      <c r="D714" s="13"/>
      <c r="E714" s="13"/>
      <c r="F714" s="13"/>
    </row>
    <row r="715" ht="15.75" customHeight="1">
      <c r="A715" s="290" t="s">
        <v>2361</v>
      </c>
      <c r="B715" s="303"/>
      <c r="C715" s="13"/>
      <c r="D715" s="13"/>
      <c r="E715" s="13"/>
      <c r="F715" s="13"/>
    </row>
    <row r="716" ht="15.75" customHeight="1">
      <c r="A716" s="290" t="s">
        <v>2364</v>
      </c>
      <c r="B716" s="303"/>
      <c r="C716" s="13"/>
      <c r="D716" s="13"/>
      <c r="E716" s="13"/>
      <c r="F716" s="13"/>
    </row>
    <row r="717" ht="15.75" customHeight="1">
      <c r="A717" s="290" t="s">
        <v>2365</v>
      </c>
      <c r="B717" s="305" t="s">
        <v>2367</v>
      </c>
      <c r="C717" s="13"/>
      <c r="D717" s="13"/>
      <c r="E717" s="13"/>
      <c r="F717" s="13"/>
    </row>
    <row r="718" ht="15.75" customHeight="1">
      <c r="A718" s="290" t="s">
        <v>2369</v>
      </c>
      <c r="B718" s="303"/>
      <c r="C718" s="13"/>
      <c r="D718" s="13"/>
      <c r="E718" s="13"/>
      <c r="F718" s="13"/>
    </row>
    <row r="719" ht="15.75" customHeight="1">
      <c r="A719" s="290" t="s">
        <v>2371</v>
      </c>
      <c r="B719" s="305" t="s">
        <v>2373</v>
      </c>
      <c r="C719" s="13"/>
      <c r="D719" s="13"/>
      <c r="E719" s="13"/>
      <c r="F719" s="13"/>
    </row>
    <row r="720" ht="15.75" customHeight="1">
      <c r="A720" s="290" t="s">
        <v>2375</v>
      </c>
      <c r="B720" s="305" t="s">
        <v>2377</v>
      </c>
      <c r="C720" s="13"/>
      <c r="D720" s="13"/>
      <c r="E720" s="13"/>
      <c r="F720" s="13"/>
    </row>
    <row r="721" ht="15.75" customHeight="1">
      <c r="A721" s="290" t="s">
        <v>2379</v>
      </c>
      <c r="B721" s="303"/>
      <c r="C721" s="13"/>
      <c r="D721" s="13"/>
      <c r="E721" s="13"/>
      <c r="F721" s="13"/>
    </row>
    <row r="722" ht="15.75" customHeight="1">
      <c r="A722" s="290" t="s">
        <v>2380</v>
      </c>
      <c r="B722" s="305" t="s">
        <v>2382</v>
      </c>
      <c r="C722" s="13"/>
      <c r="D722" s="13"/>
      <c r="E722" s="13"/>
      <c r="F722" s="13"/>
    </row>
    <row r="723" ht="15.75" customHeight="1">
      <c r="A723" s="290" t="s">
        <v>3885</v>
      </c>
      <c r="B723" s="303"/>
      <c r="C723" s="13"/>
      <c r="D723" s="13"/>
      <c r="E723" s="13"/>
      <c r="F723" s="13"/>
    </row>
    <row r="724" ht="15.75" customHeight="1">
      <c r="A724" s="290" t="s">
        <v>2388</v>
      </c>
      <c r="B724" s="305" t="s">
        <v>2390</v>
      </c>
      <c r="C724" s="13"/>
      <c r="D724" s="13"/>
      <c r="E724" s="13"/>
      <c r="F724" s="13"/>
    </row>
    <row r="725" ht="15.75" customHeight="1">
      <c r="A725" s="290" t="s">
        <v>2392</v>
      </c>
      <c r="B725" s="305" t="s">
        <v>2394</v>
      </c>
      <c r="C725" s="13"/>
      <c r="D725" s="13"/>
      <c r="E725" s="13"/>
      <c r="F725" s="13"/>
    </row>
    <row r="726" ht="15.75" customHeight="1">
      <c r="A726" s="290" t="s">
        <v>2396</v>
      </c>
      <c r="B726" s="305" t="s">
        <v>2398</v>
      </c>
      <c r="C726" s="13"/>
      <c r="D726" s="13"/>
      <c r="E726" s="13"/>
      <c r="F726" s="13"/>
    </row>
    <row r="727" ht="15.75" customHeight="1">
      <c r="A727" s="290" t="s">
        <v>2400</v>
      </c>
      <c r="B727" s="303"/>
      <c r="C727" s="13"/>
      <c r="D727" s="13"/>
      <c r="E727" s="13"/>
      <c r="F727" s="13"/>
    </row>
    <row r="728" ht="15.75" customHeight="1">
      <c r="A728" s="290" t="s">
        <v>2402</v>
      </c>
      <c r="B728" s="305" t="s">
        <v>2404</v>
      </c>
      <c r="C728" s="13"/>
      <c r="D728" s="13"/>
      <c r="E728" s="13"/>
      <c r="F728" s="13"/>
    </row>
    <row r="729" ht="15.75" customHeight="1">
      <c r="A729" s="290" t="s">
        <v>2406</v>
      </c>
      <c r="B729" s="305" t="s">
        <v>2408</v>
      </c>
      <c r="C729" s="13"/>
      <c r="D729" s="13"/>
      <c r="E729" s="13"/>
      <c r="F729" s="13"/>
    </row>
    <row r="730" ht="15.75" customHeight="1">
      <c r="A730" s="290" t="s">
        <v>2410</v>
      </c>
      <c r="B730" s="303"/>
      <c r="C730" s="13"/>
      <c r="D730" s="13"/>
      <c r="E730" s="13"/>
      <c r="F730" s="13"/>
    </row>
    <row r="731" ht="15.75" customHeight="1">
      <c r="A731" s="290" t="s">
        <v>2412</v>
      </c>
      <c r="B731" s="305" t="s">
        <v>2414</v>
      </c>
      <c r="C731" s="13"/>
      <c r="D731" s="13"/>
      <c r="E731" s="13"/>
      <c r="F731" s="13"/>
    </row>
    <row r="732" ht="15.75" customHeight="1">
      <c r="A732" s="290" t="s">
        <v>2416</v>
      </c>
      <c r="B732" s="305" t="s">
        <v>2418</v>
      </c>
      <c r="C732" s="13"/>
      <c r="D732" s="13"/>
      <c r="E732" s="13"/>
      <c r="F732" s="13"/>
    </row>
    <row r="733" ht="15.75" customHeight="1">
      <c r="A733" s="290" t="s">
        <v>2420</v>
      </c>
      <c r="B733" s="305" t="s">
        <v>2422</v>
      </c>
      <c r="C733" s="13"/>
      <c r="D733" s="13"/>
      <c r="E733" s="13"/>
      <c r="F733" s="13"/>
    </row>
    <row r="734" ht="15.75" customHeight="1">
      <c r="A734" s="290" t="s">
        <v>2424</v>
      </c>
      <c r="B734" s="305" t="s">
        <v>2426</v>
      </c>
      <c r="C734" s="13"/>
      <c r="D734" s="13"/>
      <c r="E734" s="13"/>
      <c r="F734" s="13"/>
    </row>
    <row r="735" ht="15.75" customHeight="1">
      <c r="A735" s="290" t="s">
        <v>2428</v>
      </c>
      <c r="B735" s="305" t="s">
        <v>2430</v>
      </c>
      <c r="C735" s="13"/>
      <c r="D735" s="13"/>
      <c r="E735" s="13"/>
      <c r="F735" s="13"/>
    </row>
    <row r="736" ht="15.75" customHeight="1">
      <c r="A736" s="290" t="s">
        <v>2432</v>
      </c>
      <c r="B736" s="303"/>
      <c r="C736" s="13"/>
      <c r="D736" s="13"/>
      <c r="E736" s="13"/>
      <c r="F736" s="13"/>
    </row>
    <row r="737" ht="15.75" customHeight="1">
      <c r="A737" s="290" t="s">
        <v>2434</v>
      </c>
      <c r="B737" s="303"/>
      <c r="C737" s="13"/>
      <c r="D737" s="13"/>
      <c r="E737" s="13"/>
      <c r="F737" s="13"/>
    </row>
    <row r="738" ht="15.75" customHeight="1">
      <c r="A738" s="290" t="s">
        <v>2436</v>
      </c>
      <c r="B738" s="303"/>
      <c r="C738" s="13"/>
      <c r="D738" s="13"/>
      <c r="E738" s="13"/>
      <c r="F738" s="13"/>
    </row>
    <row r="739" ht="15.75" customHeight="1">
      <c r="A739" s="290" t="s">
        <v>2437</v>
      </c>
      <c r="B739" s="303"/>
      <c r="C739" s="13"/>
      <c r="D739" s="13"/>
      <c r="E739" s="13"/>
      <c r="F739" s="13"/>
    </row>
    <row r="740" ht="15.75" customHeight="1">
      <c r="A740" s="290" t="s">
        <v>2439</v>
      </c>
      <c r="B740" s="303"/>
      <c r="C740" s="13"/>
      <c r="D740" s="13"/>
      <c r="E740" s="13"/>
      <c r="F740" s="13"/>
    </row>
    <row r="741" ht="15.75" customHeight="1">
      <c r="A741" s="290" t="s">
        <v>2441</v>
      </c>
      <c r="B741" s="305" t="s">
        <v>2443</v>
      </c>
      <c r="C741" s="13"/>
      <c r="D741" s="13"/>
      <c r="E741" s="13"/>
      <c r="F741" s="13"/>
    </row>
    <row r="742" ht="15.75" customHeight="1">
      <c r="A742" s="290" t="s">
        <v>2444</v>
      </c>
      <c r="B742" s="305" t="s">
        <v>2446</v>
      </c>
      <c r="C742" s="13"/>
      <c r="D742" s="13"/>
      <c r="E742" s="13"/>
      <c r="F742" s="13"/>
    </row>
    <row r="743" ht="15.75" customHeight="1">
      <c r="A743" s="290" t="s">
        <v>3886</v>
      </c>
      <c r="B743" s="305" t="s">
        <v>2450</v>
      </c>
      <c r="C743" s="13"/>
      <c r="D743" s="13"/>
      <c r="E743" s="13"/>
      <c r="F743" s="13"/>
    </row>
    <row r="744" ht="15.75" customHeight="1">
      <c r="A744" s="290" t="s">
        <v>2452</v>
      </c>
      <c r="B744" s="305" t="s">
        <v>2454</v>
      </c>
      <c r="C744" s="13"/>
      <c r="D744" s="13"/>
      <c r="E744" s="13"/>
      <c r="F744" s="13"/>
    </row>
    <row r="745" ht="15.75" customHeight="1">
      <c r="A745" s="290" t="s">
        <v>2456</v>
      </c>
      <c r="B745" s="305" t="s">
        <v>2458</v>
      </c>
      <c r="C745" s="13"/>
      <c r="D745" s="13"/>
      <c r="E745" s="13"/>
      <c r="F745" s="13"/>
    </row>
    <row r="746" ht="15.75" customHeight="1">
      <c r="A746" s="290" t="s">
        <v>2461</v>
      </c>
      <c r="B746" s="303"/>
      <c r="C746" s="13"/>
      <c r="D746" s="13"/>
      <c r="E746" s="13"/>
      <c r="F746" s="13"/>
    </row>
    <row r="747" ht="15.75" customHeight="1">
      <c r="A747" s="290" t="s">
        <v>2465</v>
      </c>
      <c r="B747" s="303"/>
      <c r="C747" s="13"/>
      <c r="D747" s="13"/>
      <c r="E747" s="13"/>
      <c r="F747" s="13"/>
    </row>
    <row r="748" ht="15.75" customHeight="1">
      <c r="A748" s="290" t="s">
        <v>2468</v>
      </c>
      <c r="B748" s="303"/>
      <c r="C748" s="13"/>
      <c r="D748" s="13"/>
      <c r="E748" s="13"/>
      <c r="F748" s="13"/>
    </row>
    <row r="749" ht="15.75" customHeight="1">
      <c r="A749" s="290" t="s">
        <v>2469</v>
      </c>
      <c r="B749" s="305" t="s">
        <v>2471</v>
      </c>
      <c r="C749" s="13"/>
      <c r="D749" s="13"/>
      <c r="E749" s="13"/>
      <c r="F749" s="13"/>
    </row>
    <row r="750" ht="15.75" customHeight="1">
      <c r="A750" s="290" t="s">
        <v>2473</v>
      </c>
      <c r="B750" s="305" t="s">
        <v>2475</v>
      </c>
      <c r="C750" s="13"/>
      <c r="D750" s="13"/>
      <c r="E750" s="13"/>
      <c r="F750" s="13"/>
    </row>
    <row r="751" ht="15.75" customHeight="1">
      <c r="A751" s="290" t="s">
        <v>2477</v>
      </c>
      <c r="B751" s="305" t="s">
        <v>2479</v>
      </c>
      <c r="C751" s="13"/>
      <c r="D751" s="13"/>
      <c r="E751" s="13"/>
      <c r="F751" s="13"/>
    </row>
    <row r="752" ht="15.75" customHeight="1">
      <c r="A752" s="290" t="s">
        <v>2481</v>
      </c>
      <c r="B752" s="303"/>
      <c r="C752" s="13"/>
      <c r="D752" s="13"/>
      <c r="E752" s="13"/>
      <c r="F752" s="13"/>
    </row>
    <row r="753" ht="15.75" customHeight="1">
      <c r="A753" s="290" t="s">
        <v>2485</v>
      </c>
      <c r="B753" s="303"/>
      <c r="C753" s="13"/>
      <c r="D753" s="13"/>
      <c r="E753" s="13"/>
      <c r="F753" s="13"/>
    </row>
    <row r="754" ht="15.75" customHeight="1">
      <c r="A754" s="290" t="s">
        <v>2486</v>
      </c>
      <c r="B754" s="305" t="s">
        <v>2488</v>
      </c>
      <c r="C754" s="13"/>
      <c r="D754" s="13"/>
      <c r="E754" s="13"/>
      <c r="F754" s="13"/>
    </row>
    <row r="755" ht="15.75" customHeight="1">
      <c r="A755" s="290" t="s">
        <v>2491</v>
      </c>
      <c r="B755" s="303" t="s">
        <v>3887</v>
      </c>
      <c r="C755" s="13"/>
      <c r="D755" s="13"/>
      <c r="E755" s="13"/>
      <c r="F755" s="13"/>
    </row>
    <row r="756" ht="15.75" customHeight="1">
      <c r="A756" s="290" t="s">
        <v>2493</v>
      </c>
      <c r="B756" s="305" t="s">
        <v>2495</v>
      </c>
      <c r="C756" s="13"/>
      <c r="D756" s="13"/>
      <c r="E756" s="13"/>
      <c r="F756" s="13"/>
    </row>
    <row r="757" ht="15.75" customHeight="1">
      <c r="A757" s="290" t="s">
        <v>2497</v>
      </c>
      <c r="B757" s="305" t="s">
        <v>2499</v>
      </c>
      <c r="C757" s="13"/>
      <c r="D757" s="13"/>
      <c r="E757" s="13"/>
      <c r="F757" s="13"/>
    </row>
    <row r="758" ht="15.75" customHeight="1">
      <c r="A758" s="290" t="s">
        <v>2501</v>
      </c>
      <c r="B758" s="305" t="s">
        <v>2503</v>
      </c>
      <c r="C758" s="13"/>
      <c r="D758" s="13"/>
      <c r="E758" s="13"/>
      <c r="F758" s="13"/>
    </row>
    <row r="759" ht="15.75" customHeight="1">
      <c r="A759" s="290" t="s">
        <v>2506</v>
      </c>
      <c r="B759" s="305" t="s">
        <v>2508</v>
      </c>
      <c r="C759" s="13"/>
      <c r="D759" s="13"/>
      <c r="E759" s="13"/>
      <c r="F759" s="13"/>
    </row>
    <row r="760" ht="15.75" customHeight="1">
      <c r="A760" s="290" t="s">
        <v>2510</v>
      </c>
      <c r="B760" s="305" t="s">
        <v>2512</v>
      </c>
      <c r="C760" s="13"/>
      <c r="D760" s="13"/>
      <c r="E760" s="13"/>
      <c r="F760" s="13"/>
    </row>
    <row r="761" ht="15.75" customHeight="1">
      <c r="A761" s="290" t="s">
        <v>2514</v>
      </c>
      <c r="B761" s="303"/>
      <c r="C761" s="13"/>
      <c r="D761" s="13"/>
      <c r="E761" s="13"/>
      <c r="F761" s="13"/>
    </row>
    <row r="762" ht="15.75" customHeight="1">
      <c r="A762" s="290" t="s">
        <v>2516</v>
      </c>
      <c r="B762" s="305" t="s">
        <v>2518</v>
      </c>
      <c r="C762" s="13"/>
      <c r="D762" s="13"/>
      <c r="E762" s="13"/>
      <c r="F762" s="13"/>
    </row>
    <row r="763" ht="15.75" customHeight="1">
      <c r="A763" s="290" t="s">
        <v>2520</v>
      </c>
      <c r="B763" s="305" t="s">
        <v>2522</v>
      </c>
      <c r="C763" s="13"/>
      <c r="D763" s="13"/>
      <c r="E763" s="13"/>
      <c r="F763" s="13"/>
    </row>
    <row r="764" ht="15.75" customHeight="1">
      <c r="A764" s="290" t="s">
        <v>2524</v>
      </c>
      <c r="B764" s="305" t="s">
        <v>2526</v>
      </c>
      <c r="C764" s="13"/>
      <c r="D764" s="13"/>
      <c r="E764" s="13"/>
      <c r="F764" s="13"/>
    </row>
    <row r="765" ht="15.75" customHeight="1">
      <c r="A765" s="290" t="s">
        <v>2528</v>
      </c>
      <c r="B765" s="305" t="s">
        <v>2530</v>
      </c>
      <c r="C765" s="13"/>
      <c r="D765" s="13"/>
      <c r="E765" s="13"/>
      <c r="F765" s="13"/>
    </row>
    <row r="766" ht="15.75" customHeight="1">
      <c r="A766" s="290" t="s">
        <v>2532</v>
      </c>
      <c r="B766" s="305" t="s">
        <v>2534</v>
      </c>
      <c r="C766" s="13"/>
      <c r="D766" s="13"/>
      <c r="E766" s="13"/>
      <c r="F766" s="13"/>
    </row>
    <row r="767" ht="15.75" customHeight="1">
      <c r="A767" s="290" t="s">
        <v>2536</v>
      </c>
      <c r="B767" s="303"/>
      <c r="C767" s="13"/>
      <c r="D767" s="13"/>
      <c r="E767" s="13"/>
      <c r="F767" s="13"/>
    </row>
    <row r="768" ht="15.75" customHeight="1">
      <c r="A768" s="290" t="s">
        <v>2540</v>
      </c>
      <c r="B768" s="303"/>
      <c r="C768" s="13"/>
      <c r="D768" s="13"/>
      <c r="E768" s="13"/>
      <c r="F768" s="13"/>
    </row>
    <row r="769" ht="15.75" customHeight="1">
      <c r="A769" s="290" t="s">
        <v>2543</v>
      </c>
      <c r="B769" s="305" t="s">
        <v>2545</v>
      </c>
      <c r="C769" s="13"/>
      <c r="D769" s="13"/>
      <c r="E769" s="13"/>
      <c r="F769" s="13"/>
    </row>
    <row r="770" ht="15.75" customHeight="1">
      <c r="A770" s="290" t="s">
        <v>2547</v>
      </c>
      <c r="B770" s="305" t="s">
        <v>2549</v>
      </c>
      <c r="C770" s="13"/>
      <c r="D770" s="13"/>
      <c r="E770" s="13"/>
      <c r="F770" s="13"/>
    </row>
    <row r="771" ht="15.75" customHeight="1">
      <c r="A771" s="290" t="s">
        <v>2551</v>
      </c>
      <c r="B771" s="305" t="s">
        <v>2553</v>
      </c>
      <c r="C771" s="13"/>
      <c r="D771" s="13"/>
      <c r="E771" s="13"/>
      <c r="F771" s="13"/>
    </row>
    <row r="772" ht="15.75" customHeight="1">
      <c r="A772" s="290" t="s">
        <v>2555</v>
      </c>
      <c r="B772" s="305" t="s">
        <v>2557</v>
      </c>
      <c r="C772" s="13"/>
      <c r="D772" s="13"/>
      <c r="E772" s="13"/>
      <c r="F772" s="13"/>
    </row>
    <row r="773" ht="15.75" customHeight="1">
      <c r="A773" s="290" t="s">
        <v>2559</v>
      </c>
      <c r="B773" s="305" t="s">
        <v>3888</v>
      </c>
      <c r="C773" s="13"/>
      <c r="D773" s="13"/>
      <c r="E773" s="13"/>
      <c r="F773" s="13"/>
    </row>
    <row r="774" ht="15.75" customHeight="1">
      <c r="A774" s="290" t="s">
        <v>2563</v>
      </c>
      <c r="B774" s="305" t="s">
        <v>2565</v>
      </c>
      <c r="C774" s="13"/>
      <c r="D774" s="13"/>
      <c r="E774" s="13"/>
      <c r="F774" s="13"/>
    </row>
    <row r="775" ht="15.75" customHeight="1">
      <c r="A775" s="290" t="s">
        <v>2567</v>
      </c>
      <c r="B775" s="305" t="s">
        <v>2569</v>
      </c>
      <c r="C775" s="13"/>
      <c r="D775" s="13"/>
      <c r="E775" s="13"/>
      <c r="F775" s="13"/>
    </row>
    <row r="776" ht="15.75" customHeight="1">
      <c r="A776" s="290" t="s">
        <v>2571</v>
      </c>
      <c r="B776" s="305" t="s">
        <v>2573</v>
      </c>
      <c r="C776" s="13"/>
      <c r="D776" s="13"/>
      <c r="E776" s="13"/>
      <c r="F776" s="13"/>
    </row>
    <row r="777" ht="15.75" customHeight="1">
      <c r="A777" s="290" t="s">
        <v>2575</v>
      </c>
      <c r="B777" s="305" t="s">
        <v>2577</v>
      </c>
      <c r="C777" s="13"/>
      <c r="D777" s="13"/>
      <c r="E777" s="13"/>
      <c r="F777" s="13"/>
    </row>
    <row r="778" ht="15.75" customHeight="1">
      <c r="A778" s="290" t="s">
        <v>2579</v>
      </c>
      <c r="B778" s="305" t="s">
        <v>2581</v>
      </c>
      <c r="C778" s="13"/>
      <c r="D778" s="13"/>
      <c r="E778" s="13"/>
      <c r="F778" s="13"/>
    </row>
    <row r="779" ht="15.75" customHeight="1">
      <c r="A779" s="290" t="s">
        <v>2583</v>
      </c>
      <c r="B779" s="305" t="s">
        <v>2585</v>
      </c>
      <c r="C779" s="13"/>
      <c r="D779" s="13"/>
      <c r="E779" s="13"/>
      <c r="F779" s="13"/>
    </row>
    <row r="780" ht="15.75" customHeight="1">
      <c r="A780" s="290" t="s">
        <v>2587</v>
      </c>
      <c r="B780" s="303"/>
      <c r="C780" s="13"/>
      <c r="D780" s="13"/>
      <c r="E780" s="13"/>
      <c r="F780" s="13"/>
    </row>
    <row r="781" ht="15.75" customHeight="1">
      <c r="A781" s="290" t="s">
        <v>2590</v>
      </c>
      <c r="B781" s="305" t="s">
        <v>2592</v>
      </c>
      <c r="C781" s="13"/>
      <c r="D781" s="13"/>
      <c r="E781" s="13"/>
      <c r="F781" s="13"/>
    </row>
    <row r="782" ht="15.75" customHeight="1">
      <c r="A782" s="290" t="s">
        <v>2594</v>
      </c>
      <c r="B782" s="303"/>
      <c r="C782" s="13"/>
      <c r="D782" s="13"/>
      <c r="E782" s="13"/>
      <c r="F782" s="13"/>
    </row>
    <row r="783" ht="15.75" customHeight="1">
      <c r="A783" s="290" t="s">
        <v>2598</v>
      </c>
      <c r="B783" s="305" t="s">
        <v>2600</v>
      </c>
      <c r="C783" s="13"/>
      <c r="D783" s="13"/>
      <c r="E783" s="13"/>
      <c r="F783" s="13"/>
    </row>
    <row r="784" ht="15.75" customHeight="1">
      <c r="A784" s="290" t="s">
        <v>2602</v>
      </c>
      <c r="B784" s="305" t="s">
        <v>2604</v>
      </c>
      <c r="C784" s="13"/>
      <c r="D784" s="13"/>
      <c r="E784" s="13"/>
      <c r="F784" s="13"/>
    </row>
    <row r="785" ht="15.75" customHeight="1">
      <c r="A785" s="290" t="s">
        <v>2606</v>
      </c>
      <c r="B785" s="305" t="s">
        <v>2608</v>
      </c>
      <c r="C785" s="13"/>
      <c r="D785" s="13"/>
      <c r="E785" s="13"/>
      <c r="F785" s="13"/>
    </row>
    <row r="786" ht="15.75" customHeight="1">
      <c r="A786" s="290" t="s">
        <v>2610</v>
      </c>
      <c r="B786" s="303"/>
      <c r="C786" s="13"/>
      <c r="D786" s="13"/>
      <c r="E786" s="13"/>
      <c r="F786" s="13"/>
    </row>
    <row r="787" ht="15.75" customHeight="1">
      <c r="A787" s="290" t="s">
        <v>2613</v>
      </c>
      <c r="B787" s="303"/>
      <c r="C787" s="13"/>
      <c r="D787" s="13"/>
      <c r="E787" s="13"/>
      <c r="F787" s="13"/>
    </row>
    <row r="788" ht="15.75" customHeight="1">
      <c r="A788" s="290" t="s">
        <v>2616</v>
      </c>
      <c r="B788" s="305" t="s">
        <v>2618</v>
      </c>
      <c r="C788" s="13"/>
      <c r="D788" s="13"/>
      <c r="E788" s="13"/>
      <c r="F788" s="13"/>
    </row>
    <row r="789" ht="15.75" customHeight="1">
      <c r="A789" s="290" t="s">
        <v>2620</v>
      </c>
      <c r="B789" s="303"/>
      <c r="C789" s="13"/>
      <c r="D789" s="13"/>
      <c r="E789" s="13"/>
      <c r="F789" s="13"/>
    </row>
    <row r="790" ht="15.75" customHeight="1">
      <c r="A790" s="290" t="s">
        <v>2624</v>
      </c>
      <c r="B790" s="303"/>
      <c r="C790" s="13"/>
      <c r="D790" s="13"/>
      <c r="E790" s="13"/>
      <c r="F790" s="13"/>
    </row>
    <row r="791" ht="15.75" customHeight="1">
      <c r="A791" s="290" t="s">
        <v>2626</v>
      </c>
      <c r="B791" s="291" t="s">
        <v>2628</v>
      </c>
      <c r="C791" s="13"/>
      <c r="D791" s="13"/>
      <c r="E791" s="13"/>
      <c r="F791" s="13"/>
    </row>
    <row r="792" ht="15.75" customHeight="1">
      <c r="A792" s="13"/>
      <c r="B792" s="13"/>
      <c r="C792" s="13"/>
      <c r="D792" s="13"/>
      <c r="E792" s="13"/>
      <c r="F792" s="13"/>
    </row>
    <row r="793" ht="15.75" customHeight="1">
      <c r="A793" s="13"/>
      <c r="B793" s="13"/>
      <c r="C793" s="13"/>
      <c r="D793" s="13"/>
      <c r="E793" s="13"/>
      <c r="F793" s="13"/>
    </row>
    <row r="794" ht="15.75" customHeight="1">
      <c r="A794" s="13"/>
      <c r="B794" s="13"/>
      <c r="C794" s="13"/>
      <c r="D794" s="13"/>
      <c r="E794" s="13"/>
      <c r="F794" s="13"/>
    </row>
    <row r="795" ht="15.75" customHeight="1">
      <c r="A795" s="13"/>
      <c r="B795" s="13"/>
      <c r="C795" s="13"/>
      <c r="D795" s="13"/>
      <c r="E795" s="13"/>
      <c r="F795" s="13"/>
    </row>
    <row r="796" ht="15.75" customHeight="1">
      <c r="A796" s="13"/>
      <c r="B796" s="13"/>
      <c r="C796" s="13"/>
      <c r="D796" s="13"/>
      <c r="E796" s="13"/>
      <c r="F796" s="13"/>
    </row>
    <row r="797" ht="15.75" customHeight="1">
      <c r="A797" s="13"/>
      <c r="B797" s="13"/>
      <c r="C797" s="13"/>
      <c r="D797" s="13"/>
      <c r="E797" s="13"/>
      <c r="F797" s="13"/>
    </row>
    <row r="798" ht="15.75" customHeight="1">
      <c r="A798" s="13"/>
      <c r="B798" s="13"/>
      <c r="C798" s="13"/>
      <c r="D798" s="13"/>
      <c r="E798" s="13"/>
      <c r="F798" s="13"/>
    </row>
    <row r="799" ht="15.75" customHeight="1">
      <c r="A799" s="13"/>
      <c r="B799" s="13"/>
      <c r="C799" s="13"/>
      <c r="D799" s="13"/>
      <c r="E799" s="13"/>
      <c r="F799" s="13"/>
    </row>
    <row r="800" ht="15.75" customHeight="1">
      <c r="A800" s="13"/>
      <c r="B800" s="13"/>
      <c r="C800" s="13"/>
      <c r="D800" s="13"/>
      <c r="E800" s="13"/>
      <c r="F800" s="13"/>
    </row>
    <row r="801" ht="15.75" customHeight="1">
      <c r="A801" s="13"/>
      <c r="B801" s="13"/>
      <c r="C801" s="13"/>
      <c r="D801" s="13"/>
      <c r="E801" s="13"/>
      <c r="F801" s="13"/>
    </row>
    <row r="802" ht="15.75" customHeight="1">
      <c r="A802" s="13"/>
      <c r="B802" s="13"/>
      <c r="C802" s="13"/>
      <c r="D802" s="13"/>
      <c r="E802" s="13"/>
      <c r="F802" s="13"/>
    </row>
    <row r="803" ht="15.75" customHeight="1">
      <c r="A803" s="13"/>
      <c r="B803" s="13"/>
      <c r="C803" s="13"/>
      <c r="D803" s="13"/>
      <c r="E803" s="13"/>
      <c r="F803" s="13"/>
    </row>
    <row r="804" ht="15.75" customHeight="1">
      <c r="A804" s="13"/>
      <c r="B804" s="13"/>
      <c r="C804" s="13"/>
      <c r="D804" s="13"/>
      <c r="E804" s="13"/>
      <c r="F804" s="13"/>
    </row>
    <row r="805" ht="15.75" customHeight="1">
      <c r="A805" s="13"/>
      <c r="B805" s="13"/>
      <c r="C805" s="13"/>
      <c r="D805" s="13"/>
      <c r="E805" s="13"/>
      <c r="F805" s="13"/>
    </row>
    <row r="806" ht="15.75" customHeight="1">
      <c r="A806" s="13"/>
      <c r="B806" s="13"/>
      <c r="C806" s="13"/>
      <c r="D806" s="13"/>
      <c r="E806" s="13"/>
      <c r="F806" s="13"/>
    </row>
    <row r="807" ht="15.75" customHeight="1">
      <c r="A807" s="13"/>
      <c r="B807" s="13"/>
      <c r="C807" s="13"/>
      <c r="D807" s="13"/>
      <c r="E807" s="13"/>
      <c r="F807" s="13"/>
    </row>
    <row r="808" ht="15.75" customHeight="1">
      <c r="A808" s="13"/>
      <c r="B808" s="13"/>
      <c r="C808" s="13"/>
      <c r="D808" s="13"/>
      <c r="E808" s="13"/>
      <c r="F808" s="13"/>
    </row>
    <row r="809" ht="15.75" customHeight="1">
      <c r="A809" s="13"/>
      <c r="B809" s="13"/>
      <c r="C809" s="13"/>
      <c r="D809" s="13"/>
      <c r="E809" s="13"/>
      <c r="F809" s="13"/>
    </row>
    <row r="810" ht="15.75" customHeight="1">
      <c r="A810" s="13"/>
      <c r="B810" s="13"/>
      <c r="C810" s="13"/>
      <c r="D810" s="13"/>
      <c r="E810" s="13"/>
      <c r="F810" s="13"/>
    </row>
    <row r="811" ht="15.75" customHeight="1">
      <c r="A811" s="13"/>
      <c r="B811" s="13"/>
      <c r="C811" s="13"/>
      <c r="D811" s="13"/>
      <c r="E811" s="13"/>
      <c r="F811" s="13"/>
    </row>
    <row r="812" ht="15.75" customHeight="1">
      <c r="A812" s="13"/>
      <c r="B812" s="13"/>
      <c r="C812" s="13"/>
      <c r="D812" s="13"/>
      <c r="E812" s="13"/>
      <c r="F812" s="13"/>
    </row>
    <row r="813" ht="15.75" customHeight="1">
      <c r="A813" s="13"/>
      <c r="B813" s="13"/>
      <c r="C813" s="13"/>
      <c r="D813" s="13"/>
      <c r="E813" s="13"/>
      <c r="F813" s="13"/>
    </row>
    <row r="814" ht="15.75" customHeight="1">
      <c r="A814" s="13"/>
      <c r="B814" s="13"/>
      <c r="C814" s="13"/>
      <c r="D814" s="13"/>
      <c r="E814" s="13"/>
      <c r="F814" s="13"/>
    </row>
    <row r="815" ht="15.75" customHeight="1">
      <c r="A815" s="13"/>
      <c r="B815" s="13"/>
      <c r="C815" s="13"/>
      <c r="D815" s="13"/>
      <c r="E815" s="13"/>
      <c r="F815" s="13"/>
    </row>
    <row r="816" ht="15.75" customHeight="1">
      <c r="A816" s="13"/>
      <c r="B816" s="13"/>
      <c r="C816" s="13"/>
      <c r="D816" s="13"/>
      <c r="E816" s="13"/>
      <c r="F816" s="13"/>
    </row>
    <row r="817" ht="15.75" customHeight="1">
      <c r="A817" s="13"/>
      <c r="B817" s="13"/>
      <c r="C817" s="13"/>
      <c r="D817" s="13"/>
      <c r="E817" s="13"/>
      <c r="F817" s="13"/>
    </row>
    <row r="818" ht="15.75" customHeight="1">
      <c r="A818" s="13"/>
      <c r="B818" s="13"/>
      <c r="C818" s="13"/>
      <c r="D818" s="13"/>
      <c r="E818" s="13"/>
      <c r="F818" s="13"/>
    </row>
    <row r="819" ht="15.75" customHeight="1">
      <c r="A819" s="13"/>
      <c r="B819" s="13"/>
      <c r="C819" s="13"/>
      <c r="D819" s="13"/>
      <c r="E819" s="13"/>
      <c r="F819" s="13"/>
    </row>
    <row r="820" ht="15.75" customHeight="1">
      <c r="A820" s="13"/>
      <c r="B820" s="13"/>
      <c r="C820" s="13"/>
      <c r="D820" s="13"/>
      <c r="E820" s="13"/>
      <c r="F820" s="13"/>
    </row>
    <row r="821" ht="15.75" customHeight="1">
      <c r="A821" s="13"/>
      <c r="B821" s="13"/>
      <c r="C821" s="13"/>
      <c r="D821" s="13"/>
      <c r="E821" s="13"/>
      <c r="F821" s="13"/>
    </row>
    <row r="822" ht="15.75" customHeight="1">
      <c r="A822" s="13"/>
      <c r="B822" s="13"/>
      <c r="C822" s="13"/>
      <c r="D822" s="13"/>
      <c r="E822" s="13"/>
      <c r="F822" s="13"/>
    </row>
    <row r="823" ht="15.75" customHeight="1">
      <c r="A823" s="13"/>
      <c r="B823" s="13"/>
      <c r="C823" s="13"/>
      <c r="D823" s="13"/>
      <c r="E823" s="13"/>
      <c r="F823" s="13"/>
    </row>
    <row r="824" ht="15.75" customHeight="1">
      <c r="A824" s="13"/>
      <c r="B824" s="13"/>
      <c r="C824" s="13"/>
      <c r="D824" s="13"/>
      <c r="E824" s="13"/>
      <c r="F824" s="13"/>
    </row>
    <row r="825" ht="15.75" customHeight="1">
      <c r="A825" s="13"/>
      <c r="B825" s="13"/>
      <c r="C825" s="13"/>
      <c r="D825" s="13"/>
      <c r="E825" s="13"/>
      <c r="F825" s="13"/>
    </row>
    <row r="826" ht="15.75" customHeight="1">
      <c r="A826" s="13"/>
      <c r="B826" s="13"/>
      <c r="C826" s="13"/>
      <c r="D826" s="13"/>
      <c r="E826" s="13"/>
      <c r="F826" s="13"/>
    </row>
    <row r="827" ht="15.75" customHeight="1">
      <c r="A827" s="13"/>
      <c r="B827" s="13"/>
      <c r="C827" s="13"/>
      <c r="D827" s="13"/>
      <c r="E827" s="13"/>
      <c r="F827" s="13"/>
    </row>
    <row r="828" ht="15.75" customHeight="1">
      <c r="A828" s="13"/>
      <c r="B828" s="13"/>
      <c r="C828" s="13"/>
      <c r="D828" s="13"/>
      <c r="E828" s="13"/>
      <c r="F828" s="13"/>
    </row>
    <row r="829" ht="15.75" customHeight="1">
      <c r="A829" s="13"/>
      <c r="B829" s="13"/>
      <c r="C829" s="13"/>
      <c r="D829" s="13"/>
      <c r="E829" s="13"/>
      <c r="F829" s="13"/>
    </row>
    <row r="830" ht="15.75" customHeight="1">
      <c r="A830" s="13"/>
      <c r="B830" s="13"/>
      <c r="C830" s="13"/>
      <c r="D830" s="13"/>
      <c r="E830" s="13"/>
      <c r="F830" s="13"/>
    </row>
    <row r="831" ht="15.75" customHeight="1">
      <c r="A831" s="13"/>
      <c r="B831" s="13"/>
      <c r="C831" s="13"/>
      <c r="D831" s="13"/>
      <c r="E831" s="13"/>
      <c r="F831" s="13"/>
    </row>
    <row r="832" ht="15.75" customHeight="1">
      <c r="A832" s="13"/>
      <c r="B832" s="13"/>
      <c r="C832" s="13"/>
      <c r="D832" s="13"/>
      <c r="E832" s="13"/>
      <c r="F832" s="13"/>
    </row>
    <row r="833" ht="15.75" customHeight="1">
      <c r="A833" s="13"/>
      <c r="B833" s="13"/>
      <c r="C833" s="13"/>
      <c r="D833" s="13"/>
      <c r="E833" s="13"/>
      <c r="F833" s="13"/>
    </row>
    <row r="834" ht="15.75" customHeight="1">
      <c r="A834" s="13"/>
      <c r="B834" s="13"/>
      <c r="C834" s="13"/>
      <c r="D834" s="13"/>
      <c r="E834" s="13"/>
      <c r="F834" s="13"/>
    </row>
    <row r="835" ht="15.75" customHeight="1">
      <c r="A835" s="13"/>
      <c r="B835" s="13"/>
      <c r="C835" s="13"/>
      <c r="D835" s="13"/>
      <c r="E835" s="13"/>
      <c r="F835" s="13"/>
    </row>
    <row r="836" ht="15.75" customHeight="1">
      <c r="A836" s="13"/>
      <c r="B836" s="13"/>
      <c r="C836" s="13"/>
      <c r="D836" s="13"/>
      <c r="E836" s="13"/>
      <c r="F836" s="13"/>
    </row>
    <row r="837" ht="15.75" customHeight="1">
      <c r="A837" s="13"/>
      <c r="B837" s="13"/>
      <c r="C837" s="13"/>
      <c r="D837" s="13"/>
      <c r="E837" s="13"/>
      <c r="F837" s="13"/>
    </row>
    <row r="838" ht="15.75" customHeight="1">
      <c r="A838" s="13"/>
      <c r="B838" s="13"/>
      <c r="C838" s="13"/>
      <c r="D838" s="13"/>
      <c r="E838" s="13"/>
      <c r="F838" s="13"/>
    </row>
    <row r="839" ht="15.75" customHeight="1">
      <c r="A839" s="13"/>
      <c r="B839" s="13"/>
      <c r="C839" s="13"/>
      <c r="D839" s="13"/>
      <c r="E839" s="13"/>
      <c r="F839" s="13"/>
    </row>
    <row r="840" ht="15.75" customHeight="1">
      <c r="A840" s="13"/>
      <c r="B840" s="13"/>
      <c r="C840" s="13"/>
      <c r="D840" s="13"/>
      <c r="E840" s="13"/>
      <c r="F840" s="13"/>
    </row>
    <row r="841" ht="15.75" customHeight="1">
      <c r="A841" s="13"/>
      <c r="B841" s="13"/>
      <c r="C841" s="13"/>
      <c r="D841" s="13"/>
      <c r="E841" s="13"/>
      <c r="F841" s="13"/>
    </row>
    <row r="842" ht="15.75" customHeight="1">
      <c r="A842" s="13"/>
      <c r="B842" s="13"/>
      <c r="C842" s="13"/>
      <c r="D842" s="13"/>
      <c r="E842" s="13"/>
      <c r="F842" s="13"/>
    </row>
    <row r="843" ht="15.75" customHeight="1">
      <c r="A843" s="13"/>
      <c r="B843" s="13"/>
      <c r="C843" s="13"/>
      <c r="D843" s="13"/>
      <c r="E843" s="13"/>
      <c r="F843" s="13"/>
    </row>
    <row r="844" ht="15.75" customHeight="1">
      <c r="A844" s="13"/>
      <c r="B844" s="13"/>
      <c r="C844" s="13"/>
      <c r="D844" s="13"/>
      <c r="E844" s="13"/>
      <c r="F844" s="13"/>
    </row>
    <row r="845" ht="15.75" customHeight="1">
      <c r="A845" s="13"/>
      <c r="B845" s="13"/>
      <c r="C845" s="13"/>
      <c r="D845" s="13"/>
      <c r="E845" s="13"/>
      <c r="F845" s="13"/>
    </row>
    <row r="846" ht="15.75" customHeight="1">
      <c r="A846" s="13"/>
      <c r="B846" s="13"/>
      <c r="C846" s="13"/>
      <c r="D846" s="13"/>
      <c r="E846" s="13"/>
      <c r="F846" s="13"/>
    </row>
    <row r="847" ht="15.75" customHeight="1">
      <c r="A847" s="13"/>
      <c r="B847" s="13"/>
      <c r="C847" s="13"/>
      <c r="D847" s="13"/>
      <c r="E847" s="13"/>
      <c r="F847" s="13"/>
    </row>
    <row r="848" ht="15.75" customHeight="1">
      <c r="A848" s="13"/>
      <c r="B848" s="13"/>
      <c r="C848" s="13"/>
      <c r="D848" s="13"/>
      <c r="E848" s="13"/>
      <c r="F848" s="13"/>
    </row>
    <row r="849" ht="15.75" customHeight="1">
      <c r="A849" s="13"/>
      <c r="B849" s="13"/>
      <c r="C849" s="13"/>
      <c r="D849" s="13"/>
      <c r="E849" s="13"/>
      <c r="F849" s="13"/>
    </row>
    <row r="850" ht="15.75" customHeight="1">
      <c r="A850" s="13"/>
      <c r="B850" s="13"/>
      <c r="C850" s="13"/>
      <c r="D850" s="13"/>
      <c r="E850" s="13"/>
      <c r="F850" s="13"/>
    </row>
    <row r="851" ht="15.75" customHeight="1">
      <c r="A851" s="13"/>
      <c r="B851" s="13"/>
      <c r="C851" s="13"/>
      <c r="D851" s="13"/>
      <c r="E851" s="13"/>
      <c r="F851" s="13"/>
    </row>
    <row r="852" ht="15.75" customHeight="1">
      <c r="A852" s="13"/>
      <c r="B852" s="13"/>
      <c r="C852" s="13"/>
      <c r="D852" s="13"/>
      <c r="E852" s="13"/>
      <c r="F852" s="13"/>
    </row>
    <row r="853" ht="15.75" customHeight="1">
      <c r="A853" s="13"/>
      <c r="B853" s="13"/>
      <c r="C853" s="13"/>
      <c r="D853" s="13"/>
      <c r="E853" s="13"/>
      <c r="F853" s="13"/>
    </row>
    <row r="854" ht="15.75" customHeight="1">
      <c r="A854" s="13"/>
      <c r="B854" s="13"/>
      <c r="C854" s="13"/>
      <c r="D854" s="13"/>
      <c r="E854" s="13"/>
      <c r="F854" s="13"/>
    </row>
    <row r="855" ht="15.75" customHeight="1">
      <c r="A855" s="13"/>
      <c r="B855" s="13"/>
      <c r="C855" s="13"/>
      <c r="D855" s="13"/>
      <c r="E855" s="13"/>
      <c r="F855" s="13"/>
    </row>
    <row r="856" ht="15.75" customHeight="1">
      <c r="A856" s="13"/>
      <c r="B856" s="13"/>
      <c r="C856" s="13"/>
      <c r="D856" s="13"/>
      <c r="E856" s="13"/>
      <c r="F856" s="13"/>
    </row>
    <row r="857" ht="15.75" customHeight="1">
      <c r="A857" s="13"/>
      <c r="B857" s="13"/>
      <c r="C857" s="13"/>
      <c r="D857" s="13"/>
      <c r="E857" s="13"/>
      <c r="F857" s="13"/>
    </row>
    <row r="858" ht="15.75" customHeight="1">
      <c r="A858" s="13"/>
      <c r="B858" s="13"/>
      <c r="C858" s="13"/>
      <c r="D858" s="13"/>
      <c r="E858" s="13"/>
      <c r="F858" s="13"/>
    </row>
    <row r="859" ht="15.75" customHeight="1">
      <c r="A859" s="13"/>
      <c r="B859" s="13"/>
      <c r="C859" s="13"/>
      <c r="D859" s="13"/>
      <c r="E859" s="13"/>
      <c r="F859" s="13"/>
    </row>
    <row r="860" ht="15.75" customHeight="1">
      <c r="A860" s="13"/>
      <c r="B860" s="13"/>
      <c r="C860" s="13"/>
      <c r="D860" s="13"/>
      <c r="E860" s="13"/>
      <c r="F860" s="13"/>
    </row>
    <row r="861" ht="15.75" customHeight="1">
      <c r="A861" s="13"/>
      <c r="B861" s="13"/>
      <c r="C861" s="13"/>
      <c r="D861" s="13"/>
      <c r="E861" s="13"/>
      <c r="F861" s="13"/>
    </row>
    <row r="862" ht="15.75" customHeight="1">
      <c r="A862" s="13"/>
      <c r="B862" s="13"/>
      <c r="C862" s="13"/>
      <c r="D862" s="13"/>
      <c r="E862" s="13"/>
      <c r="F862" s="13"/>
    </row>
    <row r="863" ht="15.75" customHeight="1">
      <c r="A863" s="13"/>
      <c r="B863" s="13"/>
      <c r="C863" s="13"/>
      <c r="D863" s="13"/>
      <c r="E863" s="13"/>
      <c r="F863" s="13"/>
    </row>
    <row r="864" ht="15.75" customHeight="1">
      <c r="A864" s="13"/>
      <c r="B864" s="13"/>
      <c r="C864" s="13"/>
      <c r="D864" s="13"/>
      <c r="E864" s="13"/>
      <c r="F864" s="13"/>
    </row>
    <row r="865" ht="15.75" customHeight="1">
      <c r="A865" s="13"/>
      <c r="B865" s="13"/>
      <c r="C865" s="13"/>
      <c r="D865" s="13"/>
      <c r="E865" s="13"/>
      <c r="F865" s="13"/>
    </row>
    <row r="866" ht="15.75" customHeight="1">
      <c r="A866" s="13"/>
      <c r="B866" s="13"/>
      <c r="C866" s="13"/>
      <c r="D866" s="13"/>
      <c r="E866" s="13"/>
      <c r="F866" s="13"/>
    </row>
    <row r="867" ht="15.75" customHeight="1">
      <c r="A867" s="13"/>
      <c r="B867" s="13"/>
      <c r="C867" s="13"/>
      <c r="D867" s="13"/>
      <c r="E867" s="13"/>
      <c r="F867" s="13"/>
    </row>
    <row r="868" ht="15.75" customHeight="1">
      <c r="A868" s="13"/>
      <c r="B868" s="13"/>
      <c r="C868" s="13"/>
      <c r="D868" s="13"/>
      <c r="E868" s="13"/>
      <c r="F868" s="13"/>
    </row>
    <row r="869" ht="15.75" customHeight="1">
      <c r="A869" s="13"/>
      <c r="B869" s="13"/>
      <c r="C869" s="13"/>
      <c r="D869" s="13"/>
      <c r="E869" s="13"/>
      <c r="F869" s="13"/>
    </row>
    <row r="870" ht="15.75" customHeight="1">
      <c r="A870" s="13"/>
      <c r="B870" s="13"/>
      <c r="C870" s="13"/>
      <c r="D870" s="13"/>
      <c r="E870" s="13"/>
      <c r="F870" s="13"/>
    </row>
    <row r="871" ht="15.75" customHeight="1">
      <c r="A871" s="13"/>
      <c r="B871" s="13"/>
      <c r="C871" s="13"/>
      <c r="D871" s="13"/>
      <c r="E871" s="13"/>
      <c r="F871" s="13"/>
    </row>
    <row r="872" ht="15.75" customHeight="1">
      <c r="A872" s="13"/>
      <c r="B872" s="13"/>
      <c r="C872" s="13"/>
      <c r="D872" s="13"/>
      <c r="E872" s="13"/>
      <c r="F872" s="13"/>
    </row>
    <row r="873" ht="15.75" customHeight="1">
      <c r="A873" s="13"/>
      <c r="B873" s="13"/>
      <c r="C873" s="13"/>
      <c r="D873" s="13"/>
      <c r="E873" s="13"/>
      <c r="F873" s="13"/>
    </row>
    <row r="874" ht="15.75" customHeight="1">
      <c r="A874" s="13"/>
      <c r="B874" s="13"/>
      <c r="C874" s="13"/>
      <c r="D874" s="13"/>
      <c r="E874" s="13"/>
      <c r="F874" s="13"/>
    </row>
    <row r="875" ht="15.75" customHeight="1">
      <c r="A875" s="13"/>
      <c r="B875" s="13"/>
      <c r="C875" s="13"/>
      <c r="D875" s="13"/>
      <c r="E875" s="13"/>
      <c r="F875" s="13"/>
    </row>
    <row r="876" ht="15.75" customHeight="1">
      <c r="A876" s="13"/>
      <c r="B876" s="13"/>
      <c r="C876" s="13"/>
      <c r="D876" s="13"/>
      <c r="E876" s="13"/>
      <c r="F876" s="13"/>
    </row>
    <row r="877" ht="15.75" customHeight="1">
      <c r="A877" s="13"/>
      <c r="B877" s="13"/>
      <c r="C877" s="13"/>
      <c r="D877" s="13"/>
      <c r="E877" s="13"/>
      <c r="F877" s="13"/>
    </row>
    <row r="878" ht="15.75" customHeight="1">
      <c r="A878" s="13"/>
      <c r="B878" s="13"/>
      <c r="C878" s="13"/>
      <c r="D878" s="13"/>
      <c r="E878" s="13"/>
      <c r="F878" s="13"/>
    </row>
    <row r="879" ht="15.75" customHeight="1">
      <c r="A879" s="13"/>
      <c r="B879" s="13"/>
      <c r="C879" s="13"/>
      <c r="D879" s="13"/>
      <c r="E879" s="13"/>
      <c r="F879" s="13"/>
    </row>
    <row r="880" ht="15.75" customHeight="1">
      <c r="A880" s="13"/>
      <c r="B880" s="13"/>
      <c r="C880" s="13"/>
      <c r="D880" s="13"/>
      <c r="E880" s="13"/>
      <c r="F880" s="13"/>
    </row>
    <row r="881" ht="15.75" customHeight="1">
      <c r="A881" s="13"/>
      <c r="B881" s="13"/>
      <c r="C881" s="13"/>
      <c r="D881" s="13"/>
      <c r="E881" s="13"/>
      <c r="F881" s="13"/>
    </row>
    <row r="882" ht="15.75" customHeight="1">
      <c r="A882" s="13"/>
      <c r="B882" s="13"/>
      <c r="C882" s="13"/>
      <c r="D882" s="13"/>
      <c r="E882" s="13"/>
      <c r="F882" s="13"/>
    </row>
    <row r="883" ht="15.75" customHeight="1">
      <c r="A883" s="13"/>
      <c r="B883" s="13"/>
      <c r="C883" s="13"/>
      <c r="D883" s="13"/>
      <c r="E883" s="13"/>
      <c r="F883" s="13"/>
    </row>
    <row r="884" ht="15.75" customHeight="1">
      <c r="A884" s="13"/>
      <c r="B884" s="13"/>
      <c r="C884" s="13"/>
      <c r="D884" s="13"/>
      <c r="E884" s="13"/>
      <c r="F884" s="13"/>
    </row>
    <row r="885" ht="15.75" customHeight="1">
      <c r="A885" s="13"/>
      <c r="B885" s="13"/>
      <c r="C885" s="13"/>
      <c r="D885" s="13"/>
      <c r="E885" s="13"/>
      <c r="F885" s="13"/>
    </row>
    <row r="886" ht="15.75" customHeight="1">
      <c r="A886" s="13"/>
      <c r="B886" s="13"/>
      <c r="C886" s="13"/>
      <c r="D886" s="13"/>
      <c r="E886" s="13"/>
      <c r="F886" s="13"/>
    </row>
    <row r="887" ht="15.75" customHeight="1">
      <c r="A887" s="13"/>
      <c r="B887" s="13"/>
      <c r="C887" s="13"/>
      <c r="D887" s="13"/>
      <c r="E887" s="13"/>
      <c r="F887" s="13"/>
    </row>
    <row r="888" ht="15.75" customHeight="1">
      <c r="A888" s="13"/>
      <c r="B888" s="13"/>
      <c r="C888" s="13"/>
      <c r="D888" s="13"/>
      <c r="E888" s="13"/>
      <c r="F888" s="13"/>
    </row>
    <row r="889" ht="15.75" customHeight="1">
      <c r="A889" s="13"/>
      <c r="B889" s="13"/>
      <c r="C889" s="13"/>
      <c r="D889" s="13"/>
      <c r="E889" s="13"/>
      <c r="F889" s="13"/>
    </row>
    <row r="890" ht="15.75" customHeight="1">
      <c r="A890" s="13"/>
      <c r="B890" s="13"/>
      <c r="C890" s="13"/>
      <c r="D890" s="13"/>
      <c r="E890" s="13"/>
      <c r="F890" s="13"/>
    </row>
    <row r="891" ht="15.75" customHeight="1">
      <c r="A891" s="13"/>
      <c r="B891" s="13"/>
      <c r="C891" s="13"/>
      <c r="D891" s="13"/>
      <c r="E891" s="13"/>
      <c r="F891" s="13"/>
    </row>
    <row r="892" ht="15.75" customHeight="1">
      <c r="A892" s="13"/>
      <c r="B892" s="13"/>
      <c r="C892" s="13"/>
      <c r="D892" s="13"/>
      <c r="E892" s="13"/>
      <c r="F892" s="13"/>
    </row>
    <row r="893" ht="15.75" customHeight="1">
      <c r="A893" s="13"/>
      <c r="B893" s="13"/>
      <c r="C893" s="13"/>
      <c r="D893" s="13"/>
      <c r="E893" s="13"/>
      <c r="F893" s="13"/>
    </row>
    <row r="894" ht="15.75" customHeight="1">
      <c r="A894" s="13"/>
      <c r="B894" s="13"/>
      <c r="C894" s="13"/>
      <c r="D894" s="13"/>
      <c r="E894" s="13"/>
      <c r="F894" s="13"/>
    </row>
    <row r="895" ht="15.75" customHeight="1">
      <c r="A895" s="13"/>
      <c r="B895" s="13"/>
      <c r="C895" s="13"/>
      <c r="D895" s="13"/>
      <c r="E895" s="13"/>
      <c r="F895" s="13"/>
    </row>
    <row r="896" ht="15.75" customHeight="1">
      <c r="A896" s="13"/>
      <c r="B896" s="13"/>
      <c r="C896" s="13"/>
      <c r="D896" s="13"/>
      <c r="E896" s="13"/>
      <c r="F896" s="13"/>
    </row>
    <row r="897" ht="15.75" customHeight="1">
      <c r="A897" s="13"/>
      <c r="B897" s="13"/>
      <c r="C897" s="13"/>
      <c r="D897" s="13"/>
      <c r="E897" s="13"/>
      <c r="F897" s="13"/>
    </row>
    <row r="898" ht="15.75" customHeight="1">
      <c r="A898" s="13"/>
      <c r="B898" s="13"/>
      <c r="C898" s="13"/>
      <c r="D898" s="13"/>
      <c r="E898" s="13"/>
      <c r="F898" s="13"/>
    </row>
    <row r="899" ht="15.75" customHeight="1">
      <c r="A899" s="13"/>
      <c r="B899" s="13"/>
      <c r="C899" s="13"/>
      <c r="D899" s="13"/>
      <c r="E899" s="13"/>
      <c r="F899" s="13"/>
    </row>
    <row r="900" ht="15.75" customHeight="1">
      <c r="A900" s="13"/>
      <c r="B900" s="13"/>
      <c r="C900" s="13"/>
      <c r="D900" s="13"/>
      <c r="E900" s="13"/>
      <c r="F900" s="13"/>
    </row>
    <row r="901" ht="15.75" customHeight="1">
      <c r="A901" s="13"/>
      <c r="B901" s="13"/>
      <c r="C901" s="13"/>
      <c r="D901" s="13"/>
      <c r="E901" s="13"/>
      <c r="F901" s="13"/>
    </row>
    <row r="902" ht="15.75" customHeight="1">
      <c r="A902" s="13"/>
      <c r="B902" s="13"/>
      <c r="C902" s="13"/>
      <c r="D902" s="13"/>
      <c r="E902" s="13"/>
      <c r="F902" s="13"/>
    </row>
    <row r="903" ht="15.75" customHeight="1">
      <c r="A903" s="13"/>
      <c r="B903" s="13"/>
      <c r="C903" s="13"/>
      <c r="D903" s="13"/>
      <c r="E903" s="13"/>
      <c r="F903" s="13"/>
    </row>
    <row r="904" ht="15.75" customHeight="1">
      <c r="A904" s="13"/>
      <c r="B904" s="13"/>
      <c r="C904" s="13"/>
      <c r="D904" s="13"/>
      <c r="E904" s="13"/>
      <c r="F904" s="13"/>
    </row>
    <row r="905" ht="15.75" customHeight="1">
      <c r="A905" s="13"/>
      <c r="B905" s="13"/>
      <c r="C905" s="13"/>
      <c r="D905" s="13"/>
      <c r="E905" s="13"/>
      <c r="F905" s="13"/>
    </row>
    <row r="906" ht="15.75" customHeight="1">
      <c r="A906" s="13"/>
      <c r="B906" s="13"/>
      <c r="C906" s="13"/>
      <c r="D906" s="13"/>
      <c r="E906" s="13"/>
      <c r="F906" s="13"/>
    </row>
    <row r="907" ht="15.75" customHeight="1">
      <c r="A907" s="13"/>
      <c r="B907" s="13"/>
      <c r="C907" s="13"/>
      <c r="D907" s="13"/>
      <c r="E907" s="13"/>
      <c r="F907" s="13"/>
    </row>
    <row r="908" ht="15.75" customHeight="1">
      <c r="A908" s="13"/>
      <c r="B908" s="13"/>
      <c r="C908" s="13"/>
      <c r="D908" s="13"/>
      <c r="E908" s="13"/>
      <c r="F908" s="13"/>
    </row>
    <row r="909" ht="15.75" customHeight="1">
      <c r="A909" s="13"/>
      <c r="B909" s="13"/>
      <c r="C909" s="13"/>
      <c r="D909" s="13"/>
      <c r="E909" s="13"/>
      <c r="F909" s="13"/>
    </row>
    <row r="910" ht="15.75" customHeight="1">
      <c r="A910" s="13"/>
      <c r="B910" s="13"/>
      <c r="C910" s="13"/>
      <c r="D910" s="13"/>
      <c r="E910" s="13"/>
      <c r="F910" s="13"/>
    </row>
    <row r="911" ht="15.75" customHeight="1">
      <c r="A911" s="13"/>
      <c r="B911" s="13"/>
      <c r="C911" s="13"/>
      <c r="D911" s="13"/>
      <c r="E911" s="13"/>
      <c r="F911" s="13"/>
    </row>
    <row r="912" ht="15.75" customHeight="1">
      <c r="A912" s="13"/>
      <c r="B912" s="13"/>
      <c r="C912" s="13"/>
      <c r="D912" s="13"/>
      <c r="E912" s="13"/>
      <c r="F912" s="13"/>
    </row>
    <row r="913" ht="15.75" customHeight="1">
      <c r="A913" s="13"/>
      <c r="B913" s="13"/>
      <c r="C913" s="13"/>
      <c r="D913" s="13"/>
      <c r="E913" s="13"/>
      <c r="F913" s="13"/>
    </row>
    <row r="914" ht="15.75" customHeight="1">
      <c r="A914" s="13"/>
      <c r="B914" s="13"/>
      <c r="C914" s="13"/>
      <c r="D914" s="13"/>
      <c r="E914" s="13"/>
      <c r="F914" s="13"/>
    </row>
    <row r="915" ht="15.75" customHeight="1">
      <c r="A915" s="13"/>
      <c r="B915" s="13"/>
      <c r="C915" s="13"/>
      <c r="D915" s="13"/>
      <c r="E915" s="13"/>
      <c r="F915" s="13"/>
    </row>
    <row r="916" ht="15.75" customHeight="1">
      <c r="A916" s="13"/>
      <c r="B916" s="13"/>
      <c r="C916" s="13"/>
      <c r="D916" s="13"/>
      <c r="E916" s="13"/>
      <c r="F916" s="13"/>
    </row>
    <row r="917" ht="15.75" customHeight="1">
      <c r="A917" s="13"/>
      <c r="B917" s="13"/>
      <c r="C917" s="13"/>
      <c r="D917" s="13"/>
      <c r="E917" s="13"/>
      <c r="F917" s="13"/>
    </row>
    <row r="918" ht="15.75" customHeight="1">
      <c r="A918" s="13"/>
      <c r="B918" s="13"/>
      <c r="C918" s="13"/>
      <c r="D918" s="13"/>
      <c r="E918" s="13"/>
      <c r="F918" s="13"/>
    </row>
    <row r="919" ht="15.75" customHeight="1">
      <c r="A919" s="13"/>
      <c r="B919" s="13"/>
      <c r="C919" s="13"/>
      <c r="D919" s="13"/>
      <c r="E919" s="13"/>
      <c r="F919" s="13"/>
    </row>
    <row r="920" ht="15.75" customHeight="1">
      <c r="A920" s="13"/>
      <c r="B920" s="13"/>
      <c r="C920" s="13"/>
      <c r="D920" s="13"/>
      <c r="E920" s="13"/>
      <c r="F920" s="13"/>
    </row>
    <row r="921" ht="15.75" customHeight="1">
      <c r="A921" s="13"/>
      <c r="B921" s="13"/>
      <c r="C921" s="13"/>
      <c r="D921" s="13"/>
      <c r="E921" s="13"/>
      <c r="F921" s="13"/>
    </row>
    <row r="922" ht="15.75" customHeight="1">
      <c r="A922" s="13"/>
      <c r="B922" s="13"/>
      <c r="C922" s="13"/>
      <c r="D922" s="13"/>
      <c r="E922" s="13"/>
      <c r="F922" s="13"/>
    </row>
    <row r="923" ht="15.75" customHeight="1">
      <c r="A923" s="13"/>
      <c r="B923" s="13"/>
      <c r="C923" s="13"/>
      <c r="D923" s="13"/>
      <c r="E923" s="13"/>
      <c r="F923" s="13"/>
    </row>
    <row r="924" ht="15.75" customHeight="1">
      <c r="A924" s="13"/>
      <c r="B924" s="13"/>
      <c r="C924" s="13"/>
      <c r="D924" s="13"/>
      <c r="E924" s="13"/>
      <c r="F924" s="13"/>
    </row>
    <row r="925" ht="15.75" customHeight="1">
      <c r="A925" s="13"/>
      <c r="B925" s="13"/>
      <c r="C925" s="13"/>
      <c r="D925" s="13"/>
      <c r="E925" s="13"/>
      <c r="F925" s="13"/>
    </row>
    <row r="926" ht="15.75" customHeight="1">
      <c r="A926" s="13"/>
      <c r="B926" s="13"/>
      <c r="C926" s="13"/>
      <c r="D926" s="13"/>
      <c r="E926" s="13"/>
      <c r="F926" s="13"/>
    </row>
    <row r="927" ht="15.75" customHeight="1">
      <c r="A927" s="13"/>
      <c r="B927" s="13"/>
      <c r="C927" s="13"/>
      <c r="D927" s="13"/>
      <c r="E927" s="13"/>
      <c r="F927" s="13"/>
    </row>
    <row r="928" ht="15.75" customHeight="1">
      <c r="A928" s="13"/>
      <c r="B928" s="13"/>
      <c r="C928" s="13"/>
      <c r="D928" s="13"/>
      <c r="E928" s="13"/>
      <c r="F928" s="13"/>
    </row>
    <row r="929" ht="15.75" customHeight="1">
      <c r="A929" s="13"/>
      <c r="B929" s="13"/>
      <c r="C929" s="13"/>
      <c r="D929" s="13"/>
      <c r="E929" s="13"/>
      <c r="F929" s="13"/>
    </row>
    <row r="930" ht="15.75" customHeight="1">
      <c r="A930" s="13"/>
      <c r="B930" s="13"/>
      <c r="C930" s="13"/>
      <c r="D930" s="13"/>
      <c r="E930" s="13"/>
      <c r="F930" s="13"/>
    </row>
    <row r="931" ht="15.75" customHeight="1">
      <c r="A931" s="13"/>
      <c r="B931" s="13"/>
      <c r="C931" s="13"/>
      <c r="D931" s="13"/>
      <c r="E931" s="13"/>
      <c r="F931" s="13"/>
    </row>
    <row r="932" ht="15.75" customHeight="1">
      <c r="A932" s="13"/>
      <c r="B932" s="13"/>
      <c r="C932" s="13"/>
      <c r="D932" s="13"/>
      <c r="E932" s="13"/>
      <c r="F932" s="13"/>
    </row>
    <row r="933" ht="15.75" customHeight="1">
      <c r="A933" s="13"/>
      <c r="B933" s="13"/>
      <c r="C933" s="13"/>
      <c r="D933" s="13"/>
      <c r="E933" s="13"/>
      <c r="F933" s="13"/>
    </row>
    <row r="934" ht="15.75" customHeight="1">
      <c r="A934" s="13"/>
      <c r="B934" s="13"/>
      <c r="C934" s="13"/>
      <c r="D934" s="13"/>
      <c r="E934" s="13"/>
      <c r="F934" s="13"/>
    </row>
    <row r="935" ht="15.75" customHeight="1">
      <c r="A935" s="13"/>
      <c r="B935" s="13"/>
      <c r="C935" s="13"/>
      <c r="D935" s="13"/>
      <c r="E935" s="13"/>
      <c r="F935" s="13"/>
    </row>
    <row r="936" ht="15.75" customHeight="1">
      <c r="A936" s="13"/>
      <c r="B936" s="13"/>
      <c r="C936" s="13"/>
      <c r="D936" s="13"/>
      <c r="E936" s="13"/>
      <c r="F936" s="13"/>
    </row>
    <row r="937" ht="15.75" customHeight="1">
      <c r="A937" s="13"/>
      <c r="B937" s="13"/>
      <c r="C937" s="13"/>
      <c r="D937" s="13"/>
      <c r="E937" s="13"/>
      <c r="F937" s="13"/>
    </row>
    <row r="938" ht="15.75" customHeight="1">
      <c r="A938" s="13"/>
      <c r="B938" s="13"/>
      <c r="C938" s="13"/>
      <c r="D938" s="13"/>
      <c r="E938" s="13"/>
      <c r="F938" s="13"/>
    </row>
    <row r="939" ht="15.75" customHeight="1">
      <c r="A939" s="13"/>
      <c r="B939" s="13"/>
      <c r="C939" s="13"/>
      <c r="D939" s="13"/>
      <c r="E939" s="13"/>
      <c r="F939" s="13"/>
    </row>
    <row r="940" ht="15.75" customHeight="1">
      <c r="A940" s="13"/>
      <c r="B940" s="13"/>
      <c r="C940" s="13"/>
      <c r="D940" s="13"/>
      <c r="E940" s="13"/>
      <c r="F940" s="13"/>
    </row>
    <row r="941" ht="15.75" customHeight="1">
      <c r="A941" s="13"/>
      <c r="B941" s="13"/>
      <c r="C941" s="13"/>
      <c r="D941" s="13"/>
      <c r="E941" s="13"/>
      <c r="F941" s="13"/>
    </row>
    <row r="942" ht="15.75" customHeight="1">
      <c r="A942" s="13"/>
      <c r="B942" s="13"/>
      <c r="C942" s="13"/>
      <c r="D942" s="13"/>
      <c r="E942" s="13"/>
      <c r="F942" s="13"/>
    </row>
    <row r="943" ht="15.75" customHeight="1">
      <c r="A943" s="13"/>
      <c r="B943" s="13"/>
      <c r="C943" s="13"/>
      <c r="D943" s="13"/>
      <c r="E943" s="13"/>
      <c r="F943" s="13"/>
    </row>
    <row r="944" ht="15.75" customHeight="1">
      <c r="A944" s="13"/>
      <c r="B944" s="13"/>
      <c r="C944" s="13"/>
      <c r="D944" s="13"/>
      <c r="E944" s="13"/>
      <c r="F944" s="13"/>
    </row>
    <row r="945" ht="15.75" customHeight="1">
      <c r="A945" s="13"/>
      <c r="B945" s="13"/>
      <c r="C945" s="13"/>
      <c r="D945" s="13"/>
      <c r="E945" s="13"/>
      <c r="F945" s="13"/>
    </row>
    <row r="946" ht="15.75" customHeight="1">
      <c r="A946" s="13"/>
      <c r="B946" s="13"/>
      <c r="C946" s="13"/>
      <c r="D946" s="13"/>
      <c r="E946" s="13"/>
      <c r="F946" s="13"/>
    </row>
    <row r="947" ht="15.75" customHeight="1">
      <c r="A947" s="13"/>
      <c r="B947" s="13"/>
      <c r="C947" s="13"/>
      <c r="D947" s="13"/>
      <c r="E947" s="13"/>
      <c r="F947" s="13"/>
    </row>
    <row r="948" ht="15.75" customHeight="1">
      <c r="A948" s="13"/>
      <c r="B948" s="13"/>
      <c r="C948" s="13"/>
      <c r="D948" s="13"/>
      <c r="E948" s="13"/>
      <c r="F948" s="13"/>
    </row>
    <row r="949" ht="15.75" customHeight="1">
      <c r="A949" s="13"/>
      <c r="B949" s="13"/>
      <c r="C949" s="13"/>
      <c r="D949" s="13"/>
      <c r="E949" s="13"/>
      <c r="F949" s="13"/>
    </row>
    <row r="950" ht="15.75" customHeight="1">
      <c r="A950" s="13"/>
      <c r="B950" s="13"/>
      <c r="C950" s="13"/>
      <c r="D950" s="13"/>
      <c r="E950" s="13"/>
      <c r="F950" s="13"/>
    </row>
    <row r="951" ht="15.75" customHeight="1">
      <c r="A951" s="13"/>
      <c r="B951" s="13"/>
      <c r="C951" s="13"/>
      <c r="D951" s="13"/>
      <c r="E951" s="13"/>
      <c r="F951" s="13"/>
    </row>
    <row r="952" ht="15.75" customHeight="1">
      <c r="A952" s="13"/>
      <c r="B952" s="13"/>
      <c r="C952" s="13"/>
      <c r="D952" s="13"/>
      <c r="E952" s="13"/>
      <c r="F952" s="13"/>
    </row>
    <row r="953" ht="15.75" customHeight="1">
      <c r="A953" s="13"/>
      <c r="B953" s="13"/>
      <c r="C953" s="13"/>
      <c r="D953" s="13"/>
      <c r="E953" s="13"/>
      <c r="F953" s="13"/>
    </row>
    <row r="954" ht="15.75" customHeight="1">
      <c r="A954" s="13"/>
      <c r="B954" s="13"/>
      <c r="C954" s="13"/>
      <c r="D954" s="13"/>
      <c r="E954" s="13"/>
      <c r="F954" s="13"/>
    </row>
    <row r="955" ht="15.75" customHeight="1">
      <c r="A955" s="13"/>
      <c r="B955" s="13"/>
      <c r="C955" s="13"/>
      <c r="D955" s="13"/>
      <c r="E955" s="13"/>
      <c r="F955" s="13"/>
    </row>
    <row r="956" ht="15.75" customHeight="1">
      <c r="A956" s="13"/>
      <c r="B956" s="13"/>
      <c r="C956" s="13"/>
      <c r="D956" s="13"/>
      <c r="E956" s="13"/>
      <c r="F956" s="13"/>
    </row>
    <row r="957" ht="15.75" customHeight="1">
      <c r="A957" s="13"/>
      <c r="B957" s="13"/>
      <c r="C957" s="13"/>
      <c r="D957" s="13"/>
      <c r="E957" s="13"/>
      <c r="F957" s="13"/>
    </row>
    <row r="958" ht="15.75" customHeight="1">
      <c r="A958" s="13"/>
      <c r="B958" s="13"/>
      <c r="C958" s="13"/>
      <c r="D958" s="13"/>
      <c r="E958" s="13"/>
      <c r="F958" s="13"/>
    </row>
    <row r="959" ht="15.75" customHeight="1">
      <c r="A959" s="13"/>
      <c r="B959" s="13"/>
      <c r="C959" s="13"/>
      <c r="D959" s="13"/>
      <c r="E959" s="13"/>
      <c r="F959" s="13"/>
    </row>
    <row r="960" ht="15.75" customHeight="1">
      <c r="A960" s="13"/>
      <c r="B960" s="13"/>
      <c r="C960" s="13"/>
      <c r="D960" s="13"/>
      <c r="E960" s="13"/>
      <c r="F960" s="13"/>
    </row>
    <row r="961" ht="15.75" customHeight="1">
      <c r="A961" s="13"/>
      <c r="B961" s="13"/>
      <c r="C961" s="13"/>
      <c r="D961" s="13"/>
      <c r="E961" s="13"/>
      <c r="F961" s="13"/>
    </row>
    <row r="962" ht="15.75" customHeight="1">
      <c r="A962" s="13"/>
      <c r="B962" s="13"/>
      <c r="C962" s="13"/>
      <c r="D962" s="13"/>
      <c r="E962" s="13"/>
      <c r="F962" s="13"/>
    </row>
    <row r="963" ht="15.75" customHeight="1">
      <c r="A963" s="13"/>
      <c r="B963" s="13"/>
      <c r="C963" s="13"/>
      <c r="D963" s="13"/>
      <c r="E963" s="13"/>
      <c r="F963" s="13"/>
    </row>
    <row r="964" ht="15.75" customHeight="1">
      <c r="A964" s="13"/>
      <c r="B964" s="13"/>
      <c r="C964" s="13"/>
      <c r="D964" s="13"/>
      <c r="E964" s="13"/>
      <c r="F964" s="13"/>
    </row>
    <row r="965" ht="15.75" customHeight="1">
      <c r="A965" s="13"/>
      <c r="B965" s="13"/>
      <c r="C965" s="13"/>
      <c r="D965" s="13"/>
      <c r="E965" s="13"/>
      <c r="F965" s="13"/>
    </row>
    <row r="966" ht="15.75" customHeight="1">
      <c r="A966" s="13"/>
      <c r="B966" s="13"/>
      <c r="C966" s="13"/>
      <c r="D966" s="13"/>
      <c r="E966" s="13"/>
      <c r="F966" s="13"/>
    </row>
    <row r="967" ht="15.75" customHeight="1">
      <c r="A967" s="13"/>
      <c r="B967" s="13"/>
      <c r="C967" s="13"/>
      <c r="D967" s="13"/>
      <c r="E967" s="13"/>
      <c r="F967" s="13"/>
    </row>
    <row r="968" ht="15.75" customHeight="1">
      <c r="A968" s="13"/>
      <c r="B968" s="13"/>
      <c r="C968" s="13"/>
      <c r="D968" s="13"/>
      <c r="E968" s="13"/>
      <c r="F968" s="13"/>
    </row>
    <row r="969" ht="15.75" customHeight="1">
      <c r="A969" s="13"/>
      <c r="B969" s="13"/>
      <c r="C969" s="13"/>
      <c r="D969" s="13"/>
      <c r="E969" s="13"/>
      <c r="F969" s="13"/>
    </row>
    <row r="970" ht="15.75" customHeight="1">
      <c r="A970" s="13"/>
      <c r="B970" s="13"/>
      <c r="C970" s="13"/>
      <c r="D970" s="13"/>
      <c r="E970" s="13"/>
      <c r="F970" s="13"/>
    </row>
    <row r="971" ht="15.75" customHeight="1">
      <c r="A971" s="13"/>
      <c r="B971" s="13"/>
      <c r="C971" s="13"/>
      <c r="D971" s="13"/>
      <c r="E971" s="13"/>
      <c r="F971" s="13"/>
    </row>
    <row r="972" ht="15.75" customHeight="1">
      <c r="A972" s="13"/>
      <c r="B972" s="13"/>
      <c r="C972" s="13"/>
      <c r="D972" s="13"/>
      <c r="E972" s="13"/>
      <c r="F972" s="13"/>
    </row>
    <row r="973" ht="15.75" customHeight="1">
      <c r="A973" s="13"/>
      <c r="B973" s="13"/>
      <c r="C973" s="13"/>
      <c r="D973" s="13"/>
      <c r="E973" s="13"/>
      <c r="F973" s="13"/>
    </row>
    <row r="974" ht="15.75" customHeight="1">
      <c r="A974" s="13"/>
      <c r="B974" s="13"/>
      <c r="C974" s="13"/>
      <c r="D974" s="13"/>
      <c r="E974" s="13"/>
      <c r="F974" s="13"/>
    </row>
    <row r="975" ht="15.75" customHeight="1">
      <c r="A975" s="13"/>
      <c r="B975" s="13"/>
      <c r="C975" s="13"/>
      <c r="D975" s="13"/>
      <c r="E975" s="13"/>
      <c r="F975" s="13"/>
    </row>
    <row r="976" ht="15.75" customHeight="1">
      <c r="A976" s="13"/>
      <c r="B976" s="13"/>
      <c r="C976" s="13"/>
      <c r="D976" s="13"/>
      <c r="E976" s="13"/>
      <c r="F976" s="13"/>
    </row>
    <row r="977" ht="15.75" customHeight="1">
      <c r="A977" s="13"/>
      <c r="B977" s="13"/>
      <c r="C977" s="13"/>
      <c r="D977" s="13"/>
      <c r="E977" s="13"/>
      <c r="F977" s="13"/>
    </row>
    <row r="978" ht="15.75" customHeight="1">
      <c r="A978" s="13"/>
      <c r="B978" s="13"/>
      <c r="C978" s="13"/>
      <c r="D978" s="13"/>
      <c r="E978" s="13"/>
      <c r="F978" s="13"/>
    </row>
    <row r="979" ht="15.75" customHeight="1">
      <c r="A979" s="13"/>
      <c r="B979" s="13"/>
      <c r="C979" s="13"/>
      <c r="D979" s="13"/>
      <c r="E979" s="13"/>
      <c r="F979" s="13"/>
    </row>
    <row r="980" ht="15.75" customHeight="1">
      <c r="A980" s="13"/>
      <c r="B980" s="13"/>
      <c r="C980" s="13"/>
      <c r="D980" s="13"/>
      <c r="E980" s="13"/>
      <c r="F980" s="13"/>
    </row>
    <row r="981" ht="15.75" customHeight="1">
      <c r="A981" s="13"/>
      <c r="B981" s="13"/>
      <c r="C981" s="13"/>
      <c r="D981" s="13"/>
      <c r="E981" s="13"/>
      <c r="F981" s="13"/>
    </row>
    <row r="982" ht="15.75" customHeight="1">
      <c r="A982" s="13"/>
      <c r="B982" s="13"/>
      <c r="C982" s="13"/>
      <c r="D982" s="13"/>
      <c r="E982" s="13"/>
      <c r="F982" s="13"/>
    </row>
    <row r="983" ht="15.75" customHeight="1">
      <c r="A983" s="13"/>
      <c r="B983" s="13"/>
      <c r="C983" s="13"/>
      <c r="D983" s="13"/>
      <c r="E983" s="13"/>
      <c r="F983" s="13"/>
    </row>
    <row r="984" ht="15.75" customHeight="1">
      <c r="A984" s="13"/>
      <c r="B984" s="13"/>
      <c r="C984" s="13"/>
      <c r="D984" s="13"/>
      <c r="E984" s="13"/>
      <c r="F984" s="13"/>
    </row>
    <row r="985" ht="15.75" customHeight="1">
      <c r="A985" s="13"/>
      <c r="B985" s="13"/>
      <c r="C985" s="13"/>
      <c r="D985" s="13"/>
      <c r="E985" s="13"/>
      <c r="F985" s="13"/>
    </row>
    <row r="986" ht="15.75" customHeight="1">
      <c r="A986" s="13"/>
      <c r="B986" s="13"/>
      <c r="C986" s="13"/>
      <c r="D986" s="13"/>
      <c r="E986" s="13"/>
      <c r="F986" s="13"/>
    </row>
    <row r="987" ht="15.75" customHeight="1">
      <c r="A987" s="13"/>
      <c r="B987" s="13"/>
      <c r="C987" s="13"/>
      <c r="D987" s="13"/>
      <c r="E987" s="13"/>
      <c r="F987" s="13"/>
    </row>
    <row r="988" ht="15.75" customHeight="1">
      <c r="A988" s="13"/>
      <c r="B988" s="13"/>
      <c r="C988" s="13"/>
      <c r="D988" s="13"/>
      <c r="E988" s="13"/>
      <c r="F988" s="13"/>
    </row>
    <row r="989" ht="15.75" customHeight="1">
      <c r="A989" s="13"/>
      <c r="B989" s="13"/>
      <c r="C989" s="13"/>
      <c r="D989" s="13"/>
      <c r="E989" s="13"/>
      <c r="F989" s="13"/>
    </row>
    <row r="990" ht="15.75" customHeight="1">
      <c r="A990" s="13"/>
      <c r="B990" s="13"/>
      <c r="C990" s="13"/>
      <c r="D990" s="13"/>
      <c r="E990" s="13"/>
      <c r="F990" s="13"/>
    </row>
    <row r="991" ht="15.75" customHeight="1">
      <c r="A991" s="13"/>
      <c r="B991" s="13"/>
      <c r="C991" s="13"/>
      <c r="D991" s="13"/>
      <c r="E991" s="13"/>
      <c r="F991" s="13"/>
    </row>
    <row r="992" ht="15.75" customHeight="1">
      <c r="A992" s="13"/>
      <c r="B992" s="13"/>
      <c r="C992" s="13"/>
      <c r="D992" s="13"/>
      <c r="E992" s="13"/>
      <c r="F992" s="13"/>
    </row>
    <row r="993" ht="15.75" customHeight="1">
      <c r="A993" s="13"/>
      <c r="B993" s="13"/>
      <c r="C993" s="13"/>
      <c r="D993" s="13"/>
      <c r="E993" s="13"/>
      <c r="F993" s="13"/>
    </row>
    <row r="994" ht="15.75" customHeight="1">
      <c r="A994" s="13"/>
      <c r="B994" s="13"/>
      <c r="C994" s="13"/>
      <c r="D994" s="13"/>
      <c r="E994" s="13"/>
      <c r="F994" s="13"/>
    </row>
    <row r="995" ht="15.75" customHeight="1">
      <c r="A995" s="13"/>
      <c r="B995" s="13"/>
      <c r="C995" s="13"/>
      <c r="D995" s="13"/>
      <c r="E995" s="13"/>
      <c r="F995" s="13"/>
    </row>
    <row r="996" ht="15.75" customHeight="1">
      <c r="A996" s="13"/>
      <c r="B996" s="13"/>
      <c r="C996" s="13"/>
      <c r="D996" s="13"/>
      <c r="E996" s="13"/>
      <c r="F996" s="13"/>
    </row>
    <row r="997" ht="15.75" customHeight="1">
      <c r="A997" s="13"/>
      <c r="B997" s="13"/>
      <c r="C997" s="13"/>
      <c r="D997" s="13"/>
      <c r="E997" s="13"/>
      <c r="F997" s="13"/>
    </row>
    <row r="998" ht="15.75" customHeight="1">
      <c r="A998" s="13"/>
      <c r="B998" s="13"/>
      <c r="C998" s="13"/>
      <c r="D998" s="13"/>
      <c r="E998" s="13"/>
      <c r="F998" s="13"/>
    </row>
    <row r="999" ht="15.75" customHeight="1">
      <c r="A999" s="13"/>
      <c r="B999" s="13"/>
      <c r="C999" s="13"/>
      <c r="D999" s="13"/>
      <c r="E999" s="13"/>
      <c r="F999" s="13"/>
    </row>
    <row r="1000" ht="15.75" customHeight="1">
      <c r="A1000" s="13"/>
      <c r="B1000" s="13"/>
      <c r="C1000" s="13"/>
      <c r="D1000" s="13"/>
      <c r="E1000" s="13"/>
      <c r="F1000" s="13"/>
    </row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