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Y343EH\Downloads\Projects\Mining Finanacial Modelling\"/>
    </mc:Choice>
  </mc:AlternateContent>
  <xr:revisionPtr revIDLastSave="0" documentId="13_ncr:1_{0404CA99-45AE-46A4-823B-BA181BCF176C}" xr6:coauthVersionLast="47" xr6:coauthVersionMax="47" xr10:uidLastSave="{00000000-0000-0000-0000-000000000000}"/>
  <bookViews>
    <workbookView xWindow="-120" yWindow="-120" windowWidth="29040" windowHeight="18240" tabRatio="634" activeTab="3" xr2:uid="{00000000-000D-0000-FFFF-FFFF00000000}"/>
  </bookViews>
  <sheets>
    <sheet name="Cover Page" sheetId="9" r:id="rId1"/>
    <sheet name="Ewueibi Asset" sheetId="6" r:id="rId2"/>
    <sheet name="Charts" sheetId="10" r:id="rId3"/>
    <sheet name="Key Terms &amp; Infor" sheetId="8" r:id="rId4"/>
  </sheets>
  <definedNames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1">'Ewueibi Asset'!$5:$8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" l="1"/>
  <c r="C15" i="9"/>
  <c r="F285" i="6"/>
  <c r="G233" i="6" l="1"/>
  <c r="H233" i="6"/>
  <c r="I233" i="6"/>
  <c r="J233" i="6"/>
  <c r="K233" i="6"/>
  <c r="L233" i="6"/>
  <c r="M233" i="6"/>
  <c r="N233" i="6"/>
  <c r="O233" i="6"/>
  <c r="P233" i="6"/>
  <c r="Q233" i="6"/>
  <c r="R233" i="6"/>
  <c r="S233" i="6"/>
  <c r="F234" i="6"/>
  <c r="F228" i="6"/>
  <c r="F233" i="6" s="1"/>
  <c r="G1" i="6"/>
  <c r="D222" i="6"/>
  <c r="G188" i="6"/>
  <c r="H180" i="6"/>
  <c r="I180" i="6"/>
  <c r="J180" i="6"/>
  <c r="K180" i="6"/>
  <c r="L180" i="6"/>
  <c r="P180" i="6"/>
  <c r="Q180" i="6"/>
  <c r="H181" i="6"/>
  <c r="I181" i="6"/>
  <c r="J181" i="6"/>
  <c r="K181" i="6"/>
  <c r="L181" i="6"/>
  <c r="P181" i="6"/>
  <c r="Q181" i="6"/>
  <c r="R181" i="6"/>
  <c r="S181" i="6"/>
  <c r="G181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N158" i="6"/>
  <c r="O158" i="6"/>
  <c r="P158" i="6"/>
  <c r="Q158" i="6"/>
  <c r="R158" i="6"/>
  <c r="S158" i="6"/>
  <c r="H159" i="6"/>
  <c r="I159" i="6"/>
  <c r="H160" i="6"/>
  <c r="I160" i="6"/>
  <c r="J160" i="6"/>
  <c r="O160" i="6"/>
  <c r="P160" i="6"/>
  <c r="Q160" i="6"/>
  <c r="R160" i="6"/>
  <c r="G157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G124" i="6"/>
  <c r="G123" i="6"/>
  <c r="G116" i="6"/>
  <c r="G115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G103" i="6"/>
  <c r="N101" i="6"/>
  <c r="N112" i="6" s="1"/>
  <c r="N142" i="6" s="1"/>
  <c r="O101" i="6"/>
  <c r="O112" i="6" s="1"/>
  <c r="O142" i="6" s="1"/>
  <c r="I94" i="6"/>
  <c r="J94" i="6"/>
  <c r="J290" i="6" s="1"/>
  <c r="K94" i="6"/>
  <c r="K290" i="6" s="1"/>
  <c r="L94" i="6"/>
  <c r="M94" i="6"/>
  <c r="N94" i="6"/>
  <c r="O94" i="6"/>
  <c r="P94" i="6"/>
  <c r="Q94" i="6"/>
  <c r="Q290" i="6" s="1"/>
  <c r="R94" i="6"/>
  <c r="S94" i="6"/>
  <c r="S290" i="6" s="1"/>
  <c r="H94" i="6"/>
  <c r="G94" i="6"/>
  <c r="G290" i="6" s="1"/>
  <c r="G66" i="6"/>
  <c r="M181" i="6" s="1"/>
  <c r="G65" i="6"/>
  <c r="M180" i="6" s="1"/>
  <c r="G60" i="6"/>
  <c r="K158" i="6" s="1"/>
  <c r="G62" i="6"/>
  <c r="K160" i="6" s="1"/>
  <c r="G61" i="6"/>
  <c r="K159" i="6" s="1"/>
  <c r="E47" i="6"/>
  <c r="H32" i="6"/>
  <c r="H187" i="6" s="1"/>
  <c r="F38" i="6"/>
  <c r="F41" i="6" s="1"/>
  <c r="S32" i="6"/>
  <c r="S187" i="6" s="1"/>
  <c r="N32" i="6"/>
  <c r="N187" i="6" s="1"/>
  <c r="I32" i="6"/>
  <c r="I187" i="6" s="1"/>
  <c r="J32" i="6"/>
  <c r="J187" i="6" s="1"/>
  <c r="K32" i="6"/>
  <c r="K187" i="6" s="1"/>
  <c r="L32" i="6"/>
  <c r="L187" i="6" s="1"/>
  <c r="M32" i="6"/>
  <c r="M187" i="6" s="1"/>
  <c r="O32" i="6"/>
  <c r="O187" i="6" s="1"/>
  <c r="P32" i="6"/>
  <c r="P187" i="6" s="1"/>
  <c r="Q32" i="6"/>
  <c r="Q187" i="6" s="1"/>
  <c r="R32" i="6"/>
  <c r="R187" i="6" s="1"/>
  <c r="G32" i="6"/>
  <c r="G187" i="6" s="1"/>
  <c r="F29" i="6"/>
  <c r="G93" i="6" s="1"/>
  <c r="H23" i="6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H22" i="6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J20" i="6"/>
  <c r="K20" i="6" s="1"/>
  <c r="L20" i="6" s="1"/>
  <c r="M20" i="6" s="1"/>
  <c r="N20" i="6" s="1"/>
  <c r="O20" i="6" s="1"/>
  <c r="P20" i="6" s="1"/>
  <c r="Q20" i="6" s="1"/>
  <c r="R20" i="6" s="1"/>
  <c r="S20" i="6" s="1"/>
  <c r="J19" i="6"/>
  <c r="K19" i="6" s="1"/>
  <c r="L19" i="6" s="1"/>
  <c r="M19" i="6" s="1"/>
  <c r="N19" i="6" s="1"/>
  <c r="O19" i="6" s="1"/>
  <c r="P19" i="6" s="1"/>
  <c r="Q19" i="6" s="1"/>
  <c r="R19" i="6" s="1"/>
  <c r="S19" i="6" s="1"/>
  <c r="J17" i="6"/>
  <c r="K17" i="6" s="1"/>
  <c r="L17" i="6" s="1"/>
  <c r="M17" i="6" s="1"/>
  <c r="N17" i="6" s="1"/>
  <c r="O17" i="6" s="1"/>
  <c r="P17" i="6" s="1"/>
  <c r="Q17" i="6" s="1"/>
  <c r="R17" i="6" s="1"/>
  <c r="S17" i="6" s="1"/>
  <c r="J16" i="6"/>
  <c r="K16" i="6" s="1"/>
  <c r="L16" i="6" s="1"/>
  <c r="M16" i="6" s="1"/>
  <c r="N16" i="6" s="1"/>
  <c r="O16" i="6" s="1"/>
  <c r="P16" i="6" s="1"/>
  <c r="Q16" i="6" s="1"/>
  <c r="R16" i="6" s="1"/>
  <c r="S16" i="6" s="1"/>
  <c r="Q161" i="6" l="1"/>
  <c r="R101" i="6"/>
  <c r="R290" i="6"/>
  <c r="Q292" i="6"/>
  <c r="P101" i="6"/>
  <c r="P112" i="6" s="1"/>
  <c r="P142" i="6" s="1"/>
  <c r="P164" i="6" s="1"/>
  <c r="P290" i="6"/>
  <c r="O98" i="6"/>
  <c r="O290" i="6"/>
  <c r="N98" i="6"/>
  <c r="N290" i="6"/>
  <c r="M98" i="6"/>
  <c r="M290" i="6"/>
  <c r="S159" i="6"/>
  <c r="S161" i="6" s="1"/>
  <c r="L101" i="6"/>
  <c r="L112" i="6" s="1"/>
  <c r="L142" i="6" s="1"/>
  <c r="L290" i="6"/>
  <c r="G160" i="6"/>
  <c r="R159" i="6"/>
  <c r="R161" i="6" s="1"/>
  <c r="J158" i="6"/>
  <c r="J161" i="6" s="1"/>
  <c r="K292" i="6"/>
  <c r="G159" i="6"/>
  <c r="Q159" i="6"/>
  <c r="I158" i="6"/>
  <c r="I161" i="6" s="1"/>
  <c r="J292" i="6"/>
  <c r="G158" i="6"/>
  <c r="G161" i="6" s="1"/>
  <c r="P159" i="6"/>
  <c r="P161" i="6" s="1"/>
  <c r="H158" i="6"/>
  <c r="S180" i="6"/>
  <c r="I98" i="6"/>
  <c r="I290" i="6"/>
  <c r="S160" i="6"/>
  <c r="J159" i="6"/>
  <c r="G180" i="6"/>
  <c r="R180" i="6"/>
  <c r="H98" i="6"/>
  <c r="H290" i="6"/>
  <c r="G101" i="6"/>
  <c r="G112" i="6" s="1"/>
  <c r="O159" i="6"/>
  <c r="M160" i="6"/>
  <c r="M159" i="6"/>
  <c r="M158" i="6"/>
  <c r="M161" i="6" s="1"/>
  <c r="O181" i="6"/>
  <c r="O180" i="6"/>
  <c r="G95" i="6"/>
  <c r="H93" i="6" s="1"/>
  <c r="H95" i="6" s="1"/>
  <c r="I93" i="6" s="1"/>
  <c r="I95" i="6" s="1"/>
  <c r="J93" i="6" s="1"/>
  <c r="J95" i="6" s="1"/>
  <c r="K93" i="6" s="1"/>
  <c r="K95" i="6" s="1"/>
  <c r="L93" i="6" s="1"/>
  <c r="L95" i="6" s="1"/>
  <c r="M93" i="6" s="1"/>
  <c r="M95" i="6" s="1"/>
  <c r="N93" i="6" s="1"/>
  <c r="N95" i="6" s="1"/>
  <c r="O93" i="6" s="1"/>
  <c r="O95" i="6" s="1"/>
  <c r="P93" i="6" s="1"/>
  <c r="P95" i="6" s="1"/>
  <c r="Q93" i="6" s="1"/>
  <c r="Q95" i="6" s="1"/>
  <c r="R93" i="6" s="1"/>
  <c r="R95" i="6" s="1"/>
  <c r="S93" i="6" s="1"/>
  <c r="S95" i="6" s="1"/>
  <c r="G98" i="6"/>
  <c r="N159" i="6"/>
  <c r="N166" i="6" s="1"/>
  <c r="R112" i="6"/>
  <c r="R142" i="6" s="1"/>
  <c r="R165" i="6" s="1"/>
  <c r="L160" i="6"/>
  <c r="L167" i="6" s="1"/>
  <c r="L159" i="6"/>
  <c r="L166" i="6" s="1"/>
  <c r="L158" i="6"/>
  <c r="L165" i="6" s="1"/>
  <c r="N181" i="6"/>
  <c r="N180" i="6"/>
  <c r="N160" i="6"/>
  <c r="N167" i="6" s="1"/>
  <c r="F70" i="6"/>
  <c r="G70" i="6" s="1"/>
  <c r="G69" i="6" s="1"/>
  <c r="G174" i="6" s="1"/>
  <c r="G175" i="6" s="1"/>
  <c r="I101" i="6"/>
  <c r="I112" i="6" s="1"/>
  <c r="I142" i="6" s="1"/>
  <c r="H101" i="6"/>
  <c r="H112" i="6" s="1"/>
  <c r="H142" i="6" s="1"/>
  <c r="H164" i="6" s="1"/>
  <c r="S98" i="6"/>
  <c r="R98" i="6"/>
  <c r="S101" i="6"/>
  <c r="K101" i="6"/>
  <c r="K98" i="6"/>
  <c r="K291" i="6" s="1"/>
  <c r="K99" i="6"/>
  <c r="P98" i="6"/>
  <c r="P291" i="6" s="1"/>
  <c r="P99" i="6"/>
  <c r="N165" i="6"/>
  <c r="N164" i="6"/>
  <c r="F235" i="6"/>
  <c r="F237" i="6" s="1"/>
  <c r="F238" i="6" s="1"/>
  <c r="F284" i="6"/>
  <c r="J98" i="6"/>
  <c r="J291" i="6" s="1"/>
  <c r="J99" i="6"/>
  <c r="H161" i="6"/>
  <c r="M101" i="6"/>
  <c r="J101" i="6"/>
  <c r="N70" i="6"/>
  <c r="N69" i="6" s="1"/>
  <c r="N174" i="6" s="1"/>
  <c r="N175" i="6" s="1"/>
  <c r="S70" i="6"/>
  <c r="S69" i="6" s="1"/>
  <c r="S174" i="6" s="1"/>
  <c r="S175" i="6" s="1"/>
  <c r="Q101" i="6"/>
  <c r="Q98" i="6"/>
  <c r="Q291" i="6" s="1"/>
  <c r="Q99" i="6"/>
  <c r="L98" i="6"/>
  <c r="O167" i="6"/>
  <c r="O166" i="6"/>
  <c r="O165" i="6"/>
  <c r="O164" i="6"/>
  <c r="O168" i="6" s="1"/>
  <c r="F94" i="6"/>
  <c r="L164" i="6"/>
  <c r="K161" i="6"/>
  <c r="L161" i="6"/>
  <c r="O161" i="6"/>
  <c r="F230" i="6"/>
  <c r="R99" i="6" l="1"/>
  <c r="R291" i="6"/>
  <c r="H99" i="6"/>
  <c r="H291" i="6"/>
  <c r="S99" i="6"/>
  <c r="S291" i="6"/>
  <c r="S292" i="6" s="1"/>
  <c r="G99" i="6"/>
  <c r="F99" i="6" s="1"/>
  <c r="G291" i="6"/>
  <c r="G292" i="6" s="1"/>
  <c r="M99" i="6"/>
  <c r="M291" i="6"/>
  <c r="M292" i="6" s="1"/>
  <c r="N292" i="6"/>
  <c r="R164" i="6"/>
  <c r="R168" i="6" s="1"/>
  <c r="I165" i="6"/>
  <c r="N99" i="6"/>
  <c r="N291" i="6"/>
  <c r="O99" i="6"/>
  <c r="O291" i="6"/>
  <c r="O292" i="6" s="1"/>
  <c r="R167" i="6"/>
  <c r="I167" i="6"/>
  <c r="I292" i="6"/>
  <c r="P292" i="6"/>
  <c r="I99" i="6"/>
  <c r="E99" i="6" s="1"/>
  <c r="I291" i="6"/>
  <c r="L99" i="6"/>
  <c r="L291" i="6"/>
  <c r="R166" i="6"/>
  <c r="L292" i="6"/>
  <c r="R292" i="6"/>
  <c r="H292" i="6"/>
  <c r="I164" i="6"/>
  <c r="M70" i="6"/>
  <c r="M69" i="6" s="1"/>
  <c r="M174" i="6" s="1"/>
  <c r="M175" i="6" s="1"/>
  <c r="M189" i="6" s="1"/>
  <c r="M214" i="6" s="1"/>
  <c r="M279" i="6" s="1"/>
  <c r="F101" i="6"/>
  <c r="E101" i="6"/>
  <c r="G142" i="6"/>
  <c r="N161" i="6"/>
  <c r="E161" i="6" s="1"/>
  <c r="R70" i="6"/>
  <c r="R69" i="6" s="1"/>
  <c r="R174" i="6" s="1"/>
  <c r="R175" i="6" s="1"/>
  <c r="I166" i="6"/>
  <c r="H165" i="6"/>
  <c r="L168" i="6"/>
  <c r="S112" i="6"/>
  <c r="S142" i="6" s="1"/>
  <c r="H166" i="6"/>
  <c r="H167" i="6"/>
  <c r="J70" i="6"/>
  <c r="J69" i="6" s="1"/>
  <c r="J174" i="6" s="1"/>
  <c r="J175" i="6" s="1"/>
  <c r="J189" i="6" s="1"/>
  <c r="J214" i="6" s="1"/>
  <c r="J279" i="6" s="1"/>
  <c r="H70" i="6"/>
  <c r="H69" i="6" s="1"/>
  <c r="H174" i="6" s="1"/>
  <c r="H175" i="6" s="1"/>
  <c r="H189" i="6" s="1"/>
  <c r="H214" i="6" s="1"/>
  <c r="H279" i="6" s="1"/>
  <c r="I70" i="6"/>
  <c r="I69" i="6" s="1"/>
  <c r="I174" i="6" s="1"/>
  <c r="I175" i="6" s="1"/>
  <c r="I189" i="6" s="1"/>
  <c r="I214" i="6" s="1"/>
  <c r="I279" i="6" s="1"/>
  <c r="K70" i="6"/>
  <c r="K69" i="6" s="1"/>
  <c r="K174" i="6" s="1"/>
  <c r="K175" i="6" s="1"/>
  <c r="K189" i="6" s="1"/>
  <c r="K214" i="6" s="1"/>
  <c r="K279" i="6" s="1"/>
  <c r="L70" i="6"/>
  <c r="L69" i="6" s="1"/>
  <c r="L174" i="6" s="1"/>
  <c r="L175" i="6" s="1"/>
  <c r="O70" i="6"/>
  <c r="O69" i="6" s="1"/>
  <c r="O174" i="6" s="1"/>
  <c r="O175" i="6" s="1"/>
  <c r="O189" i="6" s="1"/>
  <c r="O214" i="6" s="1"/>
  <c r="O279" i="6" s="1"/>
  <c r="P70" i="6"/>
  <c r="P69" i="6" s="1"/>
  <c r="P174" i="6" s="1"/>
  <c r="P175" i="6" s="1"/>
  <c r="P189" i="6" s="1"/>
  <c r="P214" i="6" s="1"/>
  <c r="P279" i="6" s="1"/>
  <c r="Q70" i="6"/>
  <c r="Q69" i="6" s="1"/>
  <c r="Q174" i="6" s="1"/>
  <c r="Q175" i="6" s="1"/>
  <c r="Q189" i="6" s="1"/>
  <c r="Q214" i="6" s="1"/>
  <c r="Q279" i="6" s="1"/>
  <c r="G189" i="6"/>
  <c r="N189" i="6"/>
  <c r="N214" i="6" s="1"/>
  <c r="N279" i="6" s="1"/>
  <c r="P167" i="6"/>
  <c r="P166" i="6"/>
  <c r="P165" i="6"/>
  <c r="K112" i="6"/>
  <c r="K142" i="6" s="1"/>
  <c r="S189" i="6"/>
  <c r="S214" i="6" s="1"/>
  <c r="S279" i="6" s="1"/>
  <c r="J112" i="6"/>
  <c r="J142" i="6" s="1"/>
  <c r="Q112" i="6"/>
  <c r="Q142" i="6" s="1"/>
  <c r="M112" i="6"/>
  <c r="M142" i="6" s="1"/>
  <c r="M106" i="6"/>
  <c r="M119" i="6" s="1"/>
  <c r="N168" i="6"/>
  <c r="R189" i="6"/>
  <c r="R214" i="6" s="1"/>
  <c r="R279" i="6" s="1"/>
  <c r="E181" i="6"/>
  <c r="E180" i="6"/>
  <c r="E173" i="6"/>
  <c r="E160" i="6"/>
  <c r="E159" i="6"/>
  <c r="E158" i="6"/>
  <c r="E157" i="6"/>
  <c r="E124" i="6"/>
  <c r="E123" i="6"/>
  <c r="E116" i="6"/>
  <c r="E115" i="6"/>
  <c r="E98" i="6"/>
  <c r="E97" i="6"/>
  <c r="E95" i="6"/>
  <c r="E94" i="6"/>
  <c r="E93" i="6"/>
  <c r="F25" i="6"/>
  <c r="G277" i="6"/>
  <c r="G266" i="6"/>
  <c r="G267" i="6" s="1"/>
  <c r="G268" i="6" s="1"/>
  <c r="G269" i="6" s="1"/>
  <c r="G270" i="6" s="1"/>
  <c r="G271" i="6" s="1"/>
  <c r="G272" i="6" s="1"/>
  <c r="G273" i="6" s="1"/>
  <c r="I264" i="6"/>
  <c r="J264" i="6" s="1"/>
  <c r="K264" i="6" s="1"/>
  <c r="L264" i="6" s="1"/>
  <c r="G252" i="6"/>
  <c r="G253" i="6" s="1"/>
  <c r="G254" i="6" s="1"/>
  <c r="G255" i="6" s="1"/>
  <c r="G256" i="6" s="1"/>
  <c r="G257" i="6" s="1"/>
  <c r="G258" i="6" s="1"/>
  <c r="G259" i="6" s="1"/>
  <c r="I250" i="6"/>
  <c r="J250" i="6" s="1"/>
  <c r="K250" i="6" s="1"/>
  <c r="L250" i="6" s="1"/>
  <c r="E196" i="6"/>
  <c r="F173" i="6"/>
  <c r="E153" i="6"/>
  <c r="F98" i="6"/>
  <c r="H68" i="6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G63" i="6"/>
  <c r="H28" i="6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H14" i="6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F10" i="6"/>
  <c r="K106" i="6" s="1"/>
  <c r="K119" i="6" s="1"/>
  <c r="H2" i="6"/>
  <c r="I168" i="6" l="1"/>
  <c r="Q106" i="6"/>
  <c r="Q119" i="6" s="1"/>
  <c r="S106" i="6"/>
  <c r="S119" i="6" s="1"/>
  <c r="J106" i="6"/>
  <c r="J119" i="6" s="1"/>
  <c r="J127" i="6" s="1"/>
  <c r="H168" i="6"/>
  <c r="F175" i="6"/>
  <c r="F142" i="6"/>
  <c r="F174" i="6"/>
  <c r="H37" i="6"/>
  <c r="H36" i="6"/>
  <c r="H38" i="6" s="1"/>
  <c r="R106" i="6"/>
  <c r="R119" i="6" s="1"/>
  <c r="O106" i="6"/>
  <c r="O119" i="6" s="1"/>
  <c r="G106" i="6"/>
  <c r="G119" i="6" s="1"/>
  <c r="L106" i="6"/>
  <c r="L119" i="6" s="1"/>
  <c r="I106" i="6"/>
  <c r="I119" i="6" s="1"/>
  <c r="N106" i="6"/>
  <c r="N119" i="6" s="1"/>
  <c r="P106" i="6"/>
  <c r="P119" i="6" s="1"/>
  <c r="H106" i="6"/>
  <c r="H119" i="6" s="1"/>
  <c r="G165" i="6"/>
  <c r="G167" i="6"/>
  <c r="G166" i="6"/>
  <c r="G164" i="6"/>
  <c r="G168" i="6" s="1"/>
  <c r="H287" i="6"/>
  <c r="H127" i="6"/>
  <c r="H138" i="6" s="1"/>
  <c r="H179" i="6" s="1"/>
  <c r="E174" i="6"/>
  <c r="S166" i="6"/>
  <c r="S164" i="6"/>
  <c r="S167" i="6"/>
  <c r="S165" i="6"/>
  <c r="E112" i="6"/>
  <c r="E175" i="6"/>
  <c r="L189" i="6"/>
  <c r="L214" i="6" s="1"/>
  <c r="L279" i="6" s="1"/>
  <c r="S287" i="6"/>
  <c r="S127" i="6"/>
  <c r="S138" i="6" s="1"/>
  <c r="S179" i="6" s="1"/>
  <c r="P168" i="6"/>
  <c r="K287" i="6"/>
  <c r="K127" i="6"/>
  <c r="K138" i="6" s="1"/>
  <c r="K179" i="6" s="1"/>
  <c r="K167" i="6"/>
  <c r="K166" i="6"/>
  <c r="K165" i="6"/>
  <c r="K164" i="6"/>
  <c r="K168" i="6" s="1"/>
  <c r="J167" i="6"/>
  <c r="J165" i="6"/>
  <c r="J166" i="6"/>
  <c r="J164" i="6"/>
  <c r="E142" i="6"/>
  <c r="M167" i="6"/>
  <c r="M165" i="6"/>
  <c r="M166" i="6"/>
  <c r="M164" i="6"/>
  <c r="M168" i="6" s="1"/>
  <c r="Q287" i="6"/>
  <c r="Q127" i="6"/>
  <c r="Q138" i="6" s="1"/>
  <c r="Q179" i="6" s="1"/>
  <c r="F112" i="6"/>
  <c r="M287" i="6"/>
  <c r="M127" i="6"/>
  <c r="M138" i="6" s="1"/>
  <c r="M179" i="6" s="1"/>
  <c r="I2" i="6"/>
  <c r="H1" i="6"/>
  <c r="Q165" i="6"/>
  <c r="Q167" i="6"/>
  <c r="Q164" i="6"/>
  <c r="Q166" i="6"/>
  <c r="G214" i="6"/>
  <c r="G190" i="6"/>
  <c r="M24" i="6"/>
  <c r="M134" i="6" s="1"/>
  <c r="M25" i="6"/>
  <c r="M135" i="6" s="1"/>
  <c r="P24" i="6"/>
  <c r="P134" i="6" s="1"/>
  <c r="Q24" i="6"/>
  <c r="Q134" i="6" s="1"/>
  <c r="R25" i="6"/>
  <c r="R135" i="6" s="1"/>
  <c r="S24" i="6"/>
  <c r="S134" i="6" s="1"/>
  <c r="S148" i="6" s="1"/>
  <c r="H24" i="6"/>
  <c r="H134" i="6" s="1"/>
  <c r="H148" i="6" s="1"/>
  <c r="G25" i="6"/>
  <c r="G135" i="6" s="1"/>
  <c r="I24" i="6"/>
  <c r="I134" i="6" s="1"/>
  <c r="G24" i="6"/>
  <c r="G134" i="6" s="1"/>
  <c r="J24" i="6"/>
  <c r="J134" i="6" s="1"/>
  <c r="K25" i="6"/>
  <c r="K135" i="6" s="1"/>
  <c r="L24" i="6"/>
  <c r="L134" i="6" s="1"/>
  <c r="N24" i="6"/>
  <c r="N134" i="6" s="1"/>
  <c r="N25" i="6"/>
  <c r="N135" i="6" s="1"/>
  <c r="O24" i="6"/>
  <c r="O134" i="6" s="1"/>
  <c r="O25" i="6"/>
  <c r="O135" i="6" s="1"/>
  <c r="P25" i="6"/>
  <c r="P135" i="6" s="1"/>
  <c r="Q25" i="6"/>
  <c r="Q135" i="6" s="1"/>
  <c r="R24" i="6"/>
  <c r="R134" i="6" s="1"/>
  <c r="S25" i="6"/>
  <c r="S135" i="6" s="1"/>
  <c r="H25" i="6"/>
  <c r="H135" i="6" s="1"/>
  <c r="I25" i="6"/>
  <c r="I135" i="6" s="1"/>
  <c r="J25" i="6"/>
  <c r="J135" i="6" s="1"/>
  <c r="K24" i="6"/>
  <c r="K134" i="6" s="1"/>
  <c r="L25" i="6"/>
  <c r="L135" i="6" s="1"/>
  <c r="C2" i="6"/>
  <c r="E103" i="6"/>
  <c r="H277" i="6"/>
  <c r="I277" i="6"/>
  <c r="J287" i="6" l="1"/>
  <c r="E119" i="6"/>
  <c r="O287" i="6"/>
  <c r="O127" i="6"/>
  <c r="O138" i="6" s="1"/>
  <c r="O179" i="6" s="1"/>
  <c r="R287" i="6"/>
  <c r="R127" i="6"/>
  <c r="R138" i="6" s="1"/>
  <c r="R179" i="6" s="1"/>
  <c r="E106" i="6"/>
  <c r="I287" i="6"/>
  <c r="I127" i="6"/>
  <c r="I138" i="6" s="1"/>
  <c r="I179" i="6" s="1"/>
  <c r="F119" i="6"/>
  <c r="L287" i="6"/>
  <c r="L127" i="6"/>
  <c r="L138" i="6" s="1"/>
  <c r="L179" i="6" s="1"/>
  <c r="H41" i="6"/>
  <c r="G41" i="6" s="1"/>
  <c r="G38" i="6"/>
  <c r="N127" i="6"/>
  <c r="N138" i="6" s="1"/>
  <c r="N179" i="6" s="1"/>
  <c r="N287" i="6"/>
  <c r="G287" i="6"/>
  <c r="G127" i="6"/>
  <c r="G138" i="6" s="1"/>
  <c r="G179" i="6" s="1"/>
  <c r="P148" i="6"/>
  <c r="F106" i="6"/>
  <c r="R148" i="6"/>
  <c r="R201" i="6" s="1"/>
  <c r="P287" i="6"/>
  <c r="P127" i="6"/>
  <c r="P138" i="6" s="1"/>
  <c r="P179" i="6" s="1"/>
  <c r="Q168" i="6"/>
  <c r="E189" i="6"/>
  <c r="S168" i="6"/>
  <c r="K148" i="6"/>
  <c r="M148" i="6"/>
  <c r="F189" i="6"/>
  <c r="I1" i="6"/>
  <c r="G191" i="6"/>
  <c r="G213" i="6" s="1"/>
  <c r="J148" i="6"/>
  <c r="J201" i="6" s="1"/>
  <c r="G279" i="6"/>
  <c r="F214" i="6"/>
  <c r="E214" i="6"/>
  <c r="J2" i="6"/>
  <c r="K2" i="6" s="1"/>
  <c r="J138" i="6"/>
  <c r="J168" i="6"/>
  <c r="E164" i="6"/>
  <c r="F164" i="6"/>
  <c r="F166" i="6"/>
  <c r="E166" i="6"/>
  <c r="E165" i="6"/>
  <c r="F165" i="6"/>
  <c r="Q148" i="6"/>
  <c r="Q201" i="6" s="1"/>
  <c r="F167" i="6"/>
  <c r="E167" i="6"/>
  <c r="E135" i="6"/>
  <c r="H201" i="6"/>
  <c r="E134" i="6"/>
  <c r="S201" i="6"/>
  <c r="N148" i="6" l="1"/>
  <c r="N201" i="6" s="1"/>
  <c r="I148" i="6"/>
  <c r="I201" i="6" s="1"/>
  <c r="G148" i="6"/>
  <c r="G201" i="6" s="1"/>
  <c r="E127" i="6"/>
  <c r="F115" i="6"/>
  <c r="P201" i="6"/>
  <c r="F127" i="6"/>
  <c r="N104" i="6"/>
  <c r="N107" i="6" s="1"/>
  <c r="N120" i="6" s="1"/>
  <c r="N128" i="6" s="1"/>
  <c r="N139" i="6" s="1"/>
  <c r="N149" i="6" s="1"/>
  <c r="N170" i="6" s="1"/>
  <c r="R104" i="6"/>
  <c r="R107" i="6" s="1"/>
  <c r="R120" i="6" s="1"/>
  <c r="R128" i="6" s="1"/>
  <c r="R139" i="6" s="1"/>
  <c r="R149" i="6" s="1"/>
  <c r="R170" i="6" s="1"/>
  <c r="H104" i="6"/>
  <c r="H107" i="6" s="1"/>
  <c r="H120" i="6" s="1"/>
  <c r="H128" i="6" s="1"/>
  <c r="H139" i="6" s="1"/>
  <c r="H149" i="6" s="1"/>
  <c r="O104" i="6"/>
  <c r="O107" i="6" s="1"/>
  <c r="O120" i="6" s="1"/>
  <c r="O128" i="6" s="1"/>
  <c r="O139" i="6" s="1"/>
  <c r="O149" i="6" s="1"/>
  <c r="O170" i="6" s="1"/>
  <c r="S104" i="6"/>
  <c r="S107" i="6" s="1"/>
  <c r="S120" i="6" s="1"/>
  <c r="S128" i="6" s="1"/>
  <c r="S139" i="6" s="1"/>
  <c r="S149" i="6" s="1"/>
  <c r="S150" i="6" s="1"/>
  <c r="S153" i="6" s="1"/>
  <c r="S154" i="6" s="1"/>
  <c r="P104" i="6"/>
  <c r="P107" i="6" s="1"/>
  <c r="P120" i="6" s="1"/>
  <c r="P128" i="6" s="1"/>
  <c r="P139" i="6" s="1"/>
  <c r="P149" i="6" s="1"/>
  <c r="P170" i="6" s="1"/>
  <c r="J104" i="6"/>
  <c r="J107" i="6" s="1"/>
  <c r="J120" i="6" s="1"/>
  <c r="J128" i="6" s="1"/>
  <c r="J139" i="6" s="1"/>
  <c r="J149" i="6" s="1"/>
  <c r="J170" i="6" s="1"/>
  <c r="G104" i="6"/>
  <c r="K104" i="6"/>
  <c r="K107" i="6" s="1"/>
  <c r="K120" i="6" s="1"/>
  <c r="K128" i="6" s="1"/>
  <c r="K139" i="6" s="1"/>
  <c r="K149" i="6" s="1"/>
  <c r="K170" i="6" s="1"/>
  <c r="K203" i="6" s="1"/>
  <c r="L104" i="6"/>
  <c r="L107" i="6" s="1"/>
  <c r="L120" i="6" s="1"/>
  <c r="L128" i="6" s="1"/>
  <c r="L139" i="6" s="1"/>
  <c r="L149" i="6" s="1"/>
  <c r="L170" i="6" s="1"/>
  <c r="M104" i="6"/>
  <c r="M107" i="6" s="1"/>
  <c r="M120" i="6" s="1"/>
  <c r="M128" i="6" s="1"/>
  <c r="M139" i="6" s="1"/>
  <c r="M149" i="6" s="1"/>
  <c r="M170" i="6" s="1"/>
  <c r="M202" i="6" s="1"/>
  <c r="Q104" i="6"/>
  <c r="Q107" i="6" s="1"/>
  <c r="Q120" i="6" s="1"/>
  <c r="Q128" i="6" s="1"/>
  <c r="Q139" i="6" s="1"/>
  <c r="Q149" i="6" s="1"/>
  <c r="I104" i="6"/>
  <c r="I107" i="6" s="1"/>
  <c r="I120" i="6" s="1"/>
  <c r="I128" i="6" s="1"/>
  <c r="I139" i="6" s="1"/>
  <c r="I149" i="6" s="1"/>
  <c r="M150" i="6"/>
  <c r="M153" i="6" s="1"/>
  <c r="M154" i="6" s="1"/>
  <c r="M184" i="6" s="1"/>
  <c r="L148" i="6"/>
  <c r="Q170" i="6"/>
  <c r="Q202" i="6" s="1"/>
  <c r="O148" i="6"/>
  <c r="M201" i="6"/>
  <c r="K201" i="6"/>
  <c r="K1" i="6"/>
  <c r="J1" i="6"/>
  <c r="J277" i="6"/>
  <c r="G192" i="6"/>
  <c r="H188" i="6" s="1"/>
  <c r="H190" i="6" s="1"/>
  <c r="Q150" i="6"/>
  <c r="Q153" i="6" s="1"/>
  <c r="Q154" i="6" s="1"/>
  <c r="M178" i="6"/>
  <c r="M182" i="6" s="1"/>
  <c r="M288" i="6" s="1"/>
  <c r="F168" i="6"/>
  <c r="E168" i="6"/>
  <c r="J179" i="6"/>
  <c r="E179" i="6" s="1"/>
  <c r="F138" i="6"/>
  <c r="E138" i="6"/>
  <c r="K277" i="6"/>
  <c r="L2" i="6"/>
  <c r="N150" i="6" l="1"/>
  <c r="N153" i="6" s="1"/>
  <c r="N154" i="6" s="1"/>
  <c r="N184" i="6" s="1"/>
  <c r="S170" i="6"/>
  <c r="S202" i="6" s="1"/>
  <c r="M203" i="6"/>
  <c r="M204" i="6" s="1"/>
  <c r="F148" i="6"/>
  <c r="L178" i="6"/>
  <c r="L182" i="6" s="1"/>
  <c r="L288" i="6" s="1"/>
  <c r="L202" i="6"/>
  <c r="L203" i="6"/>
  <c r="K150" i="6"/>
  <c r="K153" i="6" s="1"/>
  <c r="K154" i="6" s="1"/>
  <c r="K184" i="6" s="1"/>
  <c r="L201" i="6"/>
  <c r="L150" i="6"/>
  <c r="L153" i="6" s="1"/>
  <c r="L154" i="6" s="1"/>
  <c r="L184" i="6" s="1"/>
  <c r="I170" i="6"/>
  <c r="I150" i="6"/>
  <c r="I153" i="6" s="1"/>
  <c r="I154" i="6" s="1"/>
  <c r="K202" i="6"/>
  <c r="K204" i="6" s="1"/>
  <c r="O178" i="6"/>
  <c r="O182" i="6" s="1"/>
  <c r="O288" i="6" s="1"/>
  <c r="O203" i="6"/>
  <c r="O202" i="6"/>
  <c r="H170" i="6"/>
  <c r="H150" i="6"/>
  <c r="H153" i="6" s="1"/>
  <c r="H154" i="6" s="1"/>
  <c r="R203" i="6"/>
  <c r="R202" i="6"/>
  <c r="R204" i="6" s="1"/>
  <c r="R178" i="6"/>
  <c r="R182" i="6" s="1"/>
  <c r="R288" i="6" s="1"/>
  <c r="Q184" i="6"/>
  <c r="N202" i="6"/>
  <c r="N178" i="6"/>
  <c r="N182" i="6" s="1"/>
  <c r="N288" i="6" s="1"/>
  <c r="N203" i="6"/>
  <c r="E148" i="6"/>
  <c r="O150" i="6"/>
  <c r="O153" i="6" s="1"/>
  <c r="O154" i="6" s="1"/>
  <c r="O184" i="6" s="1"/>
  <c r="O201" i="6"/>
  <c r="G107" i="6"/>
  <c r="E104" i="6"/>
  <c r="K178" i="6"/>
  <c r="K182" i="6" s="1"/>
  <c r="K288" i="6" s="1"/>
  <c r="J150" i="6"/>
  <c r="J153" i="6" s="1"/>
  <c r="J154" i="6" s="1"/>
  <c r="J184" i="6" s="1"/>
  <c r="Q203" i="6"/>
  <c r="Q204" i="6" s="1"/>
  <c r="R150" i="6"/>
  <c r="R153" i="6" s="1"/>
  <c r="R154" i="6" s="1"/>
  <c r="R184" i="6" s="1"/>
  <c r="P178" i="6"/>
  <c r="P182" i="6" s="1"/>
  <c r="P288" i="6" s="1"/>
  <c r="P202" i="6"/>
  <c r="P203" i="6"/>
  <c r="Q178" i="6"/>
  <c r="Q182" i="6" s="1"/>
  <c r="Q288" i="6" s="1"/>
  <c r="P150" i="6"/>
  <c r="P153" i="6" s="1"/>
  <c r="P154" i="6" s="1"/>
  <c r="P184" i="6" s="1"/>
  <c r="J203" i="6"/>
  <c r="J202" i="6"/>
  <c r="J178" i="6"/>
  <c r="J182" i="6" s="1"/>
  <c r="J288" i="6" s="1"/>
  <c r="L1" i="6"/>
  <c r="H191" i="6"/>
  <c r="H192" i="6"/>
  <c r="I188" i="6" s="1"/>
  <c r="I190" i="6" s="1"/>
  <c r="I191" i="6" s="1"/>
  <c r="M2" i="6"/>
  <c r="L277" i="6"/>
  <c r="S178" i="6" l="1"/>
  <c r="S182" i="6" s="1"/>
  <c r="S288" i="6" s="1"/>
  <c r="S203" i="6"/>
  <c r="S204" i="6" s="1"/>
  <c r="S206" i="6" s="1"/>
  <c r="S216" i="6" s="1"/>
  <c r="H184" i="6"/>
  <c r="H194" i="6" s="1"/>
  <c r="H281" i="6" s="1"/>
  <c r="I184" i="6"/>
  <c r="I194" i="6" s="1"/>
  <c r="I281" i="6" s="1"/>
  <c r="S184" i="6"/>
  <c r="R206" i="6"/>
  <c r="R216" i="6" s="1"/>
  <c r="L204" i="6"/>
  <c r="L206" i="6" s="1"/>
  <c r="L216" i="6" s="1"/>
  <c r="N204" i="6"/>
  <c r="N206" i="6" s="1"/>
  <c r="N216" i="6" s="1"/>
  <c r="P204" i="6"/>
  <c r="G120" i="6"/>
  <c r="E107" i="6"/>
  <c r="F107" i="6"/>
  <c r="I203" i="6"/>
  <c r="I178" i="6"/>
  <c r="I182" i="6" s="1"/>
  <c r="I288" i="6" s="1"/>
  <c r="I202" i="6"/>
  <c r="O204" i="6"/>
  <c r="H178" i="6"/>
  <c r="H182" i="6" s="1"/>
  <c r="H288" i="6" s="1"/>
  <c r="H203" i="6"/>
  <c r="H202" i="6"/>
  <c r="J204" i="6"/>
  <c r="I192" i="6"/>
  <c r="J188" i="6" s="1"/>
  <c r="J190" i="6" s="1"/>
  <c r="J191" i="6" s="1"/>
  <c r="J194" i="6" s="1"/>
  <c r="J281" i="6" s="1"/>
  <c r="I213" i="6"/>
  <c r="M1" i="6"/>
  <c r="H213" i="6"/>
  <c r="M277" i="6"/>
  <c r="N2" i="6"/>
  <c r="M206" i="6" l="1"/>
  <c r="M216" i="6" s="1"/>
  <c r="O206" i="6"/>
  <c r="O216" i="6" s="1"/>
  <c r="H204" i="6"/>
  <c r="I204" i="6"/>
  <c r="J206" i="6"/>
  <c r="J216" i="6" s="1"/>
  <c r="G128" i="6"/>
  <c r="E120" i="6"/>
  <c r="F120" i="6"/>
  <c r="F116" i="6" s="1"/>
  <c r="P206" i="6"/>
  <c r="P216" i="6" s="1"/>
  <c r="Q206" i="6"/>
  <c r="Q216" i="6" s="1"/>
  <c r="K206" i="6"/>
  <c r="K216" i="6" s="1"/>
  <c r="J196" i="6"/>
  <c r="J198" i="6" s="1"/>
  <c r="J211" i="6"/>
  <c r="J215" i="6" s="1"/>
  <c r="H211" i="6"/>
  <c r="H215" i="6" s="1"/>
  <c r="H196" i="6"/>
  <c r="H198" i="6" s="1"/>
  <c r="N1" i="6"/>
  <c r="I211" i="6"/>
  <c r="I215" i="6" s="1"/>
  <c r="I196" i="6"/>
  <c r="I198" i="6" s="1"/>
  <c r="J192" i="6"/>
  <c r="K188" i="6" s="1"/>
  <c r="K190" i="6" s="1"/>
  <c r="J213" i="6"/>
  <c r="N277" i="6"/>
  <c r="O2" i="6"/>
  <c r="I206" i="6" l="1"/>
  <c r="I216" i="6" s="1"/>
  <c r="G139" i="6"/>
  <c r="E128" i="6"/>
  <c r="F128" i="6"/>
  <c r="O1" i="6"/>
  <c r="K191" i="6"/>
  <c r="O277" i="6"/>
  <c r="P2" i="6"/>
  <c r="E139" i="6" l="1"/>
  <c r="F139" i="6"/>
  <c r="G149" i="6"/>
  <c r="K213" i="6"/>
  <c r="K194" i="6"/>
  <c r="K281" i="6" s="1"/>
  <c r="P1" i="6"/>
  <c r="K192" i="6"/>
  <c r="L188" i="6" s="1"/>
  <c r="L190" i="6" s="1"/>
  <c r="L191" i="6" s="1"/>
  <c r="L192" i="6"/>
  <c r="P277" i="6"/>
  <c r="Q2" i="6"/>
  <c r="G170" i="6" l="1"/>
  <c r="E149" i="6"/>
  <c r="F149" i="6"/>
  <c r="G150" i="6"/>
  <c r="Q1" i="6"/>
  <c r="L213" i="6"/>
  <c r="L194" i="6"/>
  <c r="L281" i="6" s="1"/>
  <c r="K211" i="6"/>
  <c r="K215" i="6" s="1"/>
  <c r="K196" i="6"/>
  <c r="K198" i="6" s="1"/>
  <c r="M188" i="6"/>
  <c r="Q277" i="6"/>
  <c r="R2" i="6"/>
  <c r="F150" i="6" l="1"/>
  <c r="G153" i="6"/>
  <c r="E150" i="6"/>
  <c r="G178" i="6"/>
  <c r="G202" i="6"/>
  <c r="E170" i="6"/>
  <c r="G203" i="6"/>
  <c r="F170" i="6"/>
  <c r="L196" i="6"/>
  <c r="L198" i="6" s="1"/>
  <c r="L211" i="6"/>
  <c r="R1" i="6"/>
  <c r="M190" i="6"/>
  <c r="S2" i="6"/>
  <c r="R217" i="6" s="1"/>
  <c r="R277" i="6"/>
  <c r="G204" i="6" l="1"/>
  <c r="G182" i="6"/>
  <c r="E178" i="6"/>
  <c r="G154" i="6"/>
  <c r="F153" i="6"/>
  <c r="P217" i="6"/>
  <c r="S277" i="6"/>
  <c r="S1" i="6"/>
  <c r="S217" i="6"/>
  <c r="J217" i="6"/>
  <c r="J218" i="6" s="1"/>
  <c r="J220" i="6" s="1"/>
  <c r="G217" i="6"/>
  <c r="Q217" i="6"/>
  <c r="H217" i="6"/>
  <c r="I217" i="6"/>
  <c r="I218" i="6" s="1"/>
  <c r="I220" i="6" s="1"/>
  <c r="L217" i="6"/>
  <c r="O217" i="6"/>
  <c r="M217" i="6"/>
  <c r="N217" i="6"/>
  <c r="K217" i="6"/>
  <c r="K218" i="6" s="1"/>
  <c r="K220" i="6" s="1"/>
  <c r="L215" i="6"/>
  <c r="M191" i="6"/>
  <c r="M192" i="6" s="1"/>
  <c r="G184" i="6" l="1"/>
  <c r="F154" i="6"/>
  <c r="E154" i="6"/>
  <c r="G288" i="6"/>
  <c r="E182" i="6"/>
  <c r="G206" i="6"/>
  <c r="G216" i="6" s="1"/>
  <c r="H206" i="6"/>
  <c r="H216" i="6" s="1"/>
  <c r="I278" i="6"/>
  <c r="I280" i="6" s="1"/>
  <c r="I285" i="6" s="1"/>
  <c r="I225" i="6"/>
  <c r="I229" i="6" s="1"/>
  <c r="M213" i="6"/>
  <c r="M194" i="6"/>
  <c r="M281" i="6" s="1"/>
  <c r="E217" i="6"/>
  <c r="F217" i="6"/>
  <c r="J225" i="6"/>
  <c r="J229" i="6" s="1"/>
  <c r="J278" i="6"/>
  <c r="J280" i="6" s="1"/>
  <c r="J285" i="6" s="1"/>
  <c r="L218" i="6"/>
  <c r="L220" i="6" s="1"/>
  <c r="K225" i="6"/>
  <c r="K229" i="6" s="1"/>
  <c r="K278" i="6"/>
  <c r="K280" i="6" s="1"/>
  <c r="K285" i="6" s="1"/>
  <c r="N188" i="6"/>
  <c r="E216" i="6" l="1"/>
  <c r="F216" i="6"/>
  <c r="H218" i="6"/>
  <c r="H220" i="6" s="1"/>
  <c r="G194" i="6"/>
  <c r="G281" i="6" s="1"/>
  <c r="E184" i="6"/>
  <c r="F184" i="6"/>
  <c r="J234" i="6"/>
  <c r="J235" i="6" s="1"/>
  <c r="J230" i="6"/>
  <c r="M211" i="6"/>
  <c r="M196" i="6"/>
  <c r="L278" i="6"/>
  <c r="L280" i="6" s="1"/>
  <c r="L285" i="6" s="1"/>
  <c r="L225" i="6"/>
  <c r="L229" i="6" s="1"/>
  <c r="I234" i="6"/>
  <c r="I235" i="6" s="1"/>
  <c r="I230" i="6"/>
  <c r="K230" i="6"/>
  <c r="K234" i="6"/>
  <c r="K235" i="6" s="1"/>
  <c r="N190" i="6"/>
  <c r="G211" i="6" l="1"/>
  <c r="G196" i="6"/>
  <c r="G198" i="6" s="1"/>
  <c r="H225" i="6"/>
  <c r="H229" i="6" s="1"/>
  <c r="H278" i="6"/>
  <c r="H280" i="6" s="1"/>
  <c r="H285" i="6" s="1"/>
  <c r="L230" i="6"/>
  <c r="L234" i="6"/>
  <c r="L235" i="6" s="1"/>
  <c r="M198" i="6"/>
  <c r="M215" i="6"/>
  <c r="N191" i="6"/>
  <c r="H234" i="6" l="1"/>
  <c r="H235" i="6" s="1"/>
  <c r="H230" i="6"/>
  <c r="G215" i="6"/>
  <c r="G218" i="6" s="1"/>
  <c r="G220" i="6" s="1"/>
  <c r="M218" i="6"/>
  <c r="N213" i="6"/>
  <c r="N194" i="6"/>
  <c r="N281" i="6" s="1"/>
  <c r="N192" i="6"/>
  <c r="G278" i="6" l="1"/>
  <c r="G280" i="6" s="1"/>
  <c r="G285" i="6" s="1"/>
  <c r="G225" i="6"/>
  <c r="G229" i="6" s="1"/>
  <c r="G234" i="6" s="1"/>
  <c r="G235" i="6" s="1"/>
  <c r="G237" i="6" s="1"/>
  <c r="N196" i="6"/>
  <c r="N211" i="6"/>
  <c r="M220" i="6"/>
  <c r="O188" i="6"/>
  <c r="G230" i="6" l="1"/>
  <c r="G284" i="6"/>
  <c r="H237" i="6"/>
  <c r="G238" i="6"/>
  <c r="M225" i="6"/>
  <c r="M278" i="6"/>
  <c r="M280" i="6" s="1"/>
  <c r="M285" i="6" s="1"/>
  <c r="N215" i="6"/>
  <c r="N198" i="6"/>
  <c r="O190" i="6"/>
  <c r="H238" i="6" l="1"/>
  <c r="N218" i="6"/>
  <c r="M229" i="6"/>
  <c r="I237" i="6"/>
  <c r="H284" i="6"/>
  <c r="O191" i="6"/>
  <c r="M234" i="6" l="1"/>
  <c r="M235" i="6" s="1"/>
  <c r="M230" i="6"/>
  <c r="J237" i="6"/>
  <c r="I284" i="6"/>
  <c r="N220" i="6"/>
  <c r="O213" i="6"/>
  <c r="O194" i="6"/>
  <c r="O281" i="6" s="1"/>
  <c r="I238" i="6"/>
  <c r="O192" i="6"/>
  <c r="P188" i="6" s="1"/>
  <c r="P190" i="6" s="1"/>
  <c r="J238" i="6" l="1"/>
  <c r="O196" i="6"/>
  <c r="O211" i="6"/>
  <c r="N225" i="6"/>
  <c r="N278" i="6"/>
  <c r="N280" i="6" s="1"/>
  <c r="N285" i="6" s="1"/>
  <c r="J284" i="6"/>
  <c r="K237" i="6"/>
  <c r="P191" i="6"/>
  <c r="K284" i="6" l="1"/>
  <c r="K238" i="6"/>
  <c r="L237" i="6"/>
  <c r="P192" i="6"/>
  <c r="Q188" i="6" s="1"/>
  <c r="Q190" i="6" s="1"/>
  <c r="Q191" i="6" s="1"/>
  <c r="P213" i="6"/>
  <c r="P194" i="6"/>
  <c r="P281" i="6" s="1"/>
  <c r="N229" i="6"/>
  <c r="O215" i="6"/>
  <c r="O198" i="6"/>
  <c r="Q192" i="6" l="1"/>
  <c r="R188" i="6" s="1"/>
  <c r="R190" i="6" s="1"/>
  <c r="Q213" i="6"/>
  <c r="Q194" i="6"/>
  <c r="Q281" i="6" s="1"/>
  <c r="P211" i="6"/>
  <c r="P196" i="6"/>
  <c r="P198" i="6" s="1"/>
  <c r="M237" i="6"/>
  <c r="L284" i="6"/>
  <c r="L238" i="6"/>
  <c r="O218" i="6"/>
  <c r="N230" i="6"/>
  <c r="N234" i="6"/>
  <c r="N235" i="6" s="1"/>
  <c r="E188" i="6"/>
  <c r="M238" i="6" l="1"/>
  <c r="N237" i="6"/>
  <c r="M284" i="6"/>
  <c r="O220" i="6"/>
  <c r="P215" i="6"/>
  <c r="Q211" i="6"/>
  <c r="Q215" i="6" s="1"/>
  <c r="Q218" i="6" s="1"/>
  <c r="Q220" i="6" s="1"/>
  <c r="Q196" i="6"/>
  <c r="Q198" i="6" s="1"/>
  <c r="R191" i="6"/>
  <c r="E190" i="6"/>
  <c r="R213" i="6" l="1"/>
  <c r="R194" i="6"/>
  <c r="R281" i="6" s="1"/>
  <c r="O225" i="6"/>
  <c r="O278" i="6"/>
  <c r="O280" i="6" s="1"/>
  <c r="O285" i="6" s="1"/>
  <c r="P218" i="6"/>
  <c r="Q225" i="6"/>
  <c r="Q229" i="6" s="1"/>
  <c r="Q278" i="6"/>
  <c r="Q280" i="6" s="1"/>
  <c r="Q285" i="6" s="1"/>
  <c r="N284" i="6"/>
  <c r="N238" i="6"/>
  <c r="E191" i="6"/>
  <c r="F191" i="6"/>
  <c r="R192" i="6"/>
  <c r="O229" i="6" l="1"/>
  <c r="R211" i="6"/>
  <c r="R196" i="6"/>
  <c r="E194" i="6"/>
  <c r="F194" i="6"/>
  <c r="F213" i="6"/>
  <c r="Q234" i="6"/>
  <c r="Q235" i="6" s="1"/>
  <c r="Q230" i="6"/>
  <c r="P220" i="6"/>
  <c r="S188" i="6"/>
  <c r="S190" i="6" s="1"/>
  <c r="E192" i="6"/>
  <c r="R198" i="6" l="1"/>
  <c r="F196" i="6"/>
  <c r="R215" i="6"/>
  <c r="F211" i="6"/>
  <c r="E211" i="6"/>
  <c r="O230" i="6"/>
  <c r="O234" i="6"/>
  <c r="O235" i="6" s="1"/>
  <c r="O237" i="6" s="1"/>
  <c r="P225" i="6"/>
  <c r="P278" i="6"/>
  <c r="P280" i="6" s="1"/>
  <c r="P285" i="6" s="1"/>
  <c r="S191" i="6"/>
  <c r="O284" i="6" l="1"/>
  <c r="O238" i="6"/>
  <c r="P229" i="6"/>
  <c r="S192" i="6"/>
  <c r="S213" i="6"/>
  <c r="S194" i="6"/>
  <c r="S281" i="6" s="1"/>
  <c r="E215" i="6"/>
  <c r="F215" i="6"/>
  <c r="R218" i="6"/>
  <c r="E198" i="6"/>
  <c r="F198" i="6"/>
  <c r="R220" i="6" l="1"/>
  <c r="F218" i="6"/>
  <c r="E218" i="6"/>
  <c r="S211" i="6"/>
  <c r="S215" i="6" s="1"/>
  <c r="S218" i="6" s="1"/>
  <c r="S220" i="6" s="1"/>
  <c r="S196" i="6"/>
  <c r="S198" i="6" s="1"/>
  <c r="P230" i="6"/>
  <c r="P234" i="6"/>
  <c r="P235" i="6" s="1"/>
  <c r="P237" i="6" s="1"/>
  <c r="P238" i="6" s="1"/>
  <c r="S225" i="6" l="1"/>
  <c r="S278" i="6"/>
  <c r="S280" i="6" s="1"/>
  <c r="S285" i="6" s="1"/>
  <c r="R225" i="6"/>
  <c r="R229" i="6" s="1"/>
  <c r="R278" i="6"/>
  <c r="R280" i="6" s="1"/>
  <c r="R285" i="6" s="1"/>
  <c r="E220" i="6"/>
  <c r="F220" i="6"/>
  <c r="Q237" i="6"/>
  <c r="Q238" i="6" s="1"/>
  <c r="P284" i="6"/>
  <c r="Q284" i="6" l="1"/>
  <c r="R234" i="6"/>
  <c r="R235" i="6" s="1"/>
  <c r="R237" i="6" s="1"/>
  <c r="R230" i="6"/>
  <c r="S229" i="6"/>
  <c r="E225" i="6"/>
  <c r="H243" i="6" s="1"/>
  <c r="E226" i="6"/>
  <c r="R284" i="6" l="1"/>
  <c r="R238" i="6"/>
  <c r="S234" i="6"/>
  <c r="S235" i="6" s="1"/>
  <c r="S237" i="6" s="1"/>
  <c r="S284" i="6" s="1"/>
  <c r="S230" i="6"/>
  <c r="E228" i="6" l="1"/>
  <c r="E230" i="6"/>
  <c r="S238" i="6"/>
  <c r="E238" i="6" s="1"/>
  <c r="G250" i="6" l="1"/>
  <c r="H246" i="6"/>
  <c r="G264" i="6"/>
  <c r="H2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Vipond</author>
    <author>Classroom Instructor</author>
    <author>Eric Asiedu-Akrofi</author>
  </authors>
  <commentList>
    <comment ref="C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Select price deck in Assumptions section</t>
        </r>
      </text>
    </comment>
    <comment ref="F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Select Price Deck</t>
        </r>
      </text>
    </comment>
    <comment ref="E52" authorId="1" shapeId="0" xr:uid="{00000000-0006-0000-0000-000003000000}">
      <text>
        <r>
          <rPr>
            <sz val="9"/>
            <color indexed="81"/>
            <rFont val="Tahoma"/>
            <family val="2"/>
          </rPr>
          <t xml:space="preserve">
Assumed 1.4% Life of Mine 
p428 FS</t>
        </r>
      </text>
    </comment>
    <comment ref="D65" authorId="2" shapeId="0" xr:uid="{29D8BF8D-1B33-4E82-B152-0C6CEBAAEF85}">
      <text>
        <r>
          <rPr>
            <b/>
            <sz val="9"/>
            <color indexed="81"/>
            <rFont val="Tahoma"/>
            <family val="2"/>
          </rPr>
          <t>Eric Asiedu-Akrofi:</t>
        </r>
        <r>
          <rPr>
            <sz val="9"/>
            <color indexed="81"/>
            <rFont val="Tahoma"/>
            <family val="2"/>
          </rPr>
          <t xml:space="preserve">
Added because this is single asset entity otherwise Corporate G&amp;A are separated
</t>
        </r>
      </text>
    </comment>
    <comment ref="G6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
$0 if asset level model
</t>
        </r>
      </text>
    </comment>
    <comment ref="F7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From financial statements
</t>
        </r>
      </text>
    </comment>
    <comment ref="F7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
Detailed tax modeling is not covered in this course</t>
        </r>
      </text>
    </comment>
    <comment ref="F84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5% proxy to WACC (real terms)</t>
        </r>
      </text>
    </comment>
    <comment ref="B97" authorId="2" shapeId="0" xr:uid="{979BDA20-E461-47A9-A012-E49EB293028D}">
      <text>
        <r>
          <rPr>
            <b/>
            <sz val="9"/>
            <color indexed="81"/>
            <rFont val="Tahoma"/>
            <family val="2"/>
          </rPr>
          <t>Eric Asiedu-Akrofi:</t>
        </r>
        <r>
          <rPr>
            <sz val="9"/>
            <color indexed="81"/>
            <rFont val="Tahoma"/>
            <family val="2"/>
          </rPr>
          <t xml:space="preserve">
Amount of waste to be removed of any given ore</t>
        </r>
      </text>
    </comment>
    <comment ref="A170" authorId="2" shapeId="0" xr:uid="{FE9FAC6E-0103-46F2-B16B-E88D8DAA8329}">
      <text>
        <r>
          <rPr>
            <b/>
            <sz val="9"/>
            <color indexed="81"/>
            <rFont val="Tahoma"/>
            <family val="2"/>
          </rPr>
          <t>Eric Asiedu-Akrofi:</t>
        </r>
        <r>
          <rPr>
            <sz val="9"/>
            <color indexed="81"/>
            <rFont val="Tahoma"/>
            <family val="2"/>
          </rPr>
          <t xml:space="preserve">
This is a gold mine operation as such silver revenue are used as an offset to expenses
</t>
        </r>
      </text>
    </comment>
    <comment ref="E19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Tim Vipond:</t>
        </r>
        <r>
          <rPr>
            <sz val="9"/>
            <color indexed="81"/>
            <rFont val="Tahoma"/>
            <family val="2"/>
          </rPr>
          <t xml:space="preserve">
Detailed tax modeling is not covered in this course.</t>
        </r>
      </text>
    </comment>
    <comment ref="F204" authorId="2" shapeId="0" xr:uid="{9F15E743-A4FB-4C80-8FA2-388297B3D6EF}">
      <text>
        <r>
          <rPr>
            <b/>
            <sz val="9"/>
            <color indexed="81"/>
            <rFont val="Tahoma"/>
            <family val="2"/>
          </rPr>
          <t>Eric Asiedu-Akrofi:</t>
        </r>
        <r>
          <rPr>
            <sz val="9"/>
            <color indexed="81"/>
            <rFont val="Tahoma"/>
            <family val="2"/>
          </rPr>
          <t xml:space="preserve">
Simple Assumption</t>
        </r>
      </text>
    </comment>
  </commentList>
</comments>
</file>

<file path=xl/sharedStrings.xml><?xml version="1.0" encoding="utf-8"?>
<sst xmlns="http://schemas.openxmlformats.org/spreadsheetml/2006/main" count="367" uniqueCount="179">
  <si>
    <t>Assumptions</t>
  </si>
  <si>
    <t>Inventory Days</t>
  </si>
  <si>
    <t>Accounts Payable</t>
  </si>
  <si>
    <t>Depreciation</t>
  </si>
  <si>
    <t>Gross Revenue</t>
  </si>
  <si>
    <t>Average</t>
  </si>
  <si>
    <t>Total</t>
  </si>
  <si>
    <t>EBITDA</t>
  </si>
  <si>
    <t>Taxes</t>
  </si>
  <si>
    <t>Net Income</t>
  </si>
  <si>
    <t>Accounts Receivable</t>
  </si>
  <si>
    <t>Inventory</t>
  </si>
  <si>
    <t>Opening Balance</t>
  </si>
  <si>
    <t>Subtotal</t>
  </si>
  <si>
    <t>Closing Balance</t>
  </si>
  <si>
    <t>EBIT</t>
  </si>
  <si>
    <t>Free Cash Flow</t>
  </si>
  <si>
    <t>Balance Sheet Check</t>
  </si>
  <si>
    <t>LIVE SCENARIO</t>
  </si>
  <si>
    <t>Operating Cash Flow</t>
  </si>
  <si>
    <t>DCF Model</t>
  </si>
  <si>
    <t>Discount Rate</t>
  </si>
  <si>
    <t>Discounted Cash Flow</t>
  </si>
  <si>
    <t>IRR</t>
  </si>
  <si>
    <t>Sensitivity Analysis</t>
  </si>
  <si>
    <t>Assumption</t>
  </si>
  <si>
    <t>Units</t>
  </si>
  <si>
    <t>Avg.</t>
  </si>
  <si>
    <t>Source</t>
  </si>
  <si>
    <t>Conversions</t>
  </si>
  <si>
    <t>Grams - &gt; Troy Ounces</t>
  </si>
  <si>
    <t>Pounds - &gt; Metric Tonnes</t>
  </si>
  <si>
    <t>Troy Ounces - &gt; Grams</t>
  </si>
  <si>
    <t>Price Deck</t>
  </si>
  <si>
    <t>Metal Prices</t>
  </si>
  <si>
    <t>Management</t>
  </si>
  <si>
    <t>Consensus</t>
  </si>
  <si>
    <t>Gold</t>
  </si>
  <si>
    <t>Spot</t>
  </si>
  <si>
    <t>Silver</t>
  </si>
  <si>
    <t>Active Price Deck in Model</t>
  </si>
  <si>
    <t>Production Schedule</t>
  </si>
  <si>
    <t>Ore Milled</t>
  </si>
  <si>
    <t>tonnes</t>
  </si>
  <si>
    <t>p 4</t>
  </si>
  <si>
    <t>Grade</t>
  </si>
  <si>
    <t>g/t</t>
  </si>
  <si>
    <t>Recovery</t>
  </si>
  <si>
    <t>%</t>
  </si>
  <si>
    <t>% of mine life</t>
  </si>
  <si>
    <t>Reserves &amp; Resources</t>
  </si>
  <si>
    <t>Tonnes</t>
  </si>
  <si>
    <t>Grade (g/t)</t>
  </si>
  <si>
    <t>Contained (oz)</t>
  </si>
  <si>
    <t>Proven</t>
  </si>
  <si>
    <t>Probable</t>
  </si>
  <si>
    <t>2P</t>
  </si>
  <si>
    <t>Ratio</t>
  </si>
  <si>
    <t>Strip Ratio</t>
  </si>
  <si>
    <t>Tech Report</t>
  </si>
  <si>
    <t>Mill Capacity</t>
  </si>
  <si>
    <t>Tonnes/day</t>
  </si>
  <si>
    <t>Update p 185</t>
  </si>
  <si>
    <t>Tonnes/year</t>
  </si>
  <si>
    <t>Royalties</t>
  </si>
  <si>
    <t>Royal Gold</t>
  </si>
  <si>
    <t>4 Moz</t>
  </si>
  <si>
    <t>p 428</t>
  </si>
  <si>
    <t>Private</t>
  </si>
  <si>
    <t>660 koz</t>
  </si>
  <si>
    <t>Overall</t>
  </si>
  <si>
    <t>Payability</t>
  </si>
  <si>
    <t>p 430</t>
  </si>
  <si>
    <t>Mine Operating Costs</t>
  </si>
  <si>
    <t>New Cost</t>
  </si>
  <si>
    <t>Mining</t>
  </si>
  <si>
    <t>$/t milled</t>
  </si>
  <si>
    <t>p. 402</t>
  </si>
  <si>
    <t>Processing</t>
  </si>
  <si>
    <t>Transport &amp; Refining</t>
  </si>
  <si>
    <t>General &amp; Admin</t>
  </si>
  <si>
    <t>Financials</t>
  </si>
  <si>
    <t>Corporate G&amp;A</t>
  </si>
  <si>
    <t>$/oz</t>
  </si>
  <si>
    <t>Exploration</t>
  </si>
  <si>
    <t>Capital Costs</t>
  </si>
  <si>
    <t>Development Capital</t>
  </si>
  <si>
    <t>p 433</t>
  </si>
  <si>
    <t>Sustaining Capital</t>
  </si>
  <si>
    <t>Reclamation</t>
  </si>
  <si>
    <t>p 435</t>
  </si>
  <si>
    <t>Total Reclamation Costs</t>
  </si>
  <si>
    <t>Financial</t>
  </si>
  <si>
    <t>Filings</t>
  </si>
  <si>
    <t>PP&amp;E Opening Balance</t>
  </si>
  <si>
    <t xml:space="preserve">Working Capital </t>
  </si>
  <si>
    <t xml:space="preserve">Accounts Receivable days </t>
  </si>
  <si>
    <t>Accounts Payable days</t>
  </si>
  <si>
    <t>Asset Acquisition Cost</t>
  </si>
  <si>
    <t xml:space="preserve">Mining </t>
  </si>
  <si>
    <t>Mining Schedule</t>
  </si>
  <si>
    <t>Mineral Inventory</t>
  </si>
  <si>
    <t>t</t>
  </si>
  <si>
    <t>na</t>
  </si>
  <si>
    <t>Closing Ore Balance</t>
  </si>
  <si>
    <t>x</t>
  </si>
  <si>
    <t>Waste Mined</t>
  </si>
  <si>
    <t>Total Material Moved</t>
  </si>
  <si>
    <t>Ore mined</t>
  </si>
  <si>
    <t>Gold Grade</t>
  </si>
  <si>
    <t>Silver Grade</t>
  </si>
  <si>
    <t>Contained Gold</t>
  </si>
  <si>
    <t>oz</t>
  </si>
  <si>
    <t>Contained Silver</t>
  </si>
  <si>
    <t>Milling Schedule</t>
  </si>
  <si>
    <t>Mill Feed</t>
  </si>
  <si>
    <t>Production</t>
  </si>
  <si>
    <t>Payable Metal</t>
  </si>
  <si>
    <t>Tonnage</t>
  </si>
  <si>
    <t>Financial Statements</t>
  </si>
  <si>
    <t>$</t>
  </si>
  <si>
    <t>Total Revenue</t>
  </si>
  <si>
    <t>Total Royalties</t>
  </si>
  <si>
    <t>Unit Operating Costs</t>
  </si>
  <si>
    <t>$/tonne</t>
  </si>
  <si>
    <t>Total Operating Costs</t>
  </si>
  <si>
    <t>Total Operating Costs (By-Product)</t>
  </si>
  <si>
    <t>Total Capital Costs</t>
  </si>
  <si>
    <t>All-In Costs</t>
  </si>
  <si>
    <t>By-Product Cash Cost</t>
  </si>
  <si>
    <t>Total Capital</t>
  </si>
  <si>
    <t>% of production</t>
  </si>
  <si>
    <t>Add: Capital Expenditures</t>
  </si>
  <si>
    <t>Less: Depreciation</t>
  </si>
  <si>
    <t>Asset Level Balance Sheet Items</t>
  </si>
  <si>
    <t>Non-cash working capital</t>
  </si>
  <si>
    <t>Change in non-cash working capital</t>
  </si>
  <si>
    <t>Capex</t>
  </si>
  <si>
    <t>Increase in NWC</t>
  </si>
  <si>
    <t>Discount Rate/Factor</t>
  </si>
  <si>
    <t>Asset NPV</t>
  </si>
  <si>
    <t>Asset IRR</t>
  </si>
  <si>
    <t>Transaction NPV</t>
  </si>
  <si>
    <t>Purchase Price</t>
  </si>
  <si>
    <t>Undiscounted Cash Flow</t>
  </si>
  <si>
    <t>Transaction IRR</t>
  </si>
  <si>
    <t>Net Cash Flow</t>
  </si>
  <si>
    <t>Payback</t>
  </si>
  <si>
    <t>Free Cash Flow (undiscounted)</t>
  </si>
  <si>
    <t>Cumulative</t>
  </si>
  <si>
    <t>Years</t>
  </si>
  <si>
    <t>Mine NPV</t>
  </si>
  <si>
    <t>Breakeven Gold</t>
  </si>
  <si>
    <t>Gold Price</t>
  </si>
  <si>
    <t>NPV $M</t>
  </si>
  <si>
    <t>-</t>
  </si>
  <si>
    <t>Total Adjustments</t>
  </si>
  <si>
    <t>Cumulative Free Cash Flow</t>
  </si>
  <si>
    <t>Gold Production</t>
  </si>
  <si>
    <t>Charts &amp; Graphs</t>
  </si>
  <si>
    <t>p 249</t>
  </si>
  <si>
    <t>All-In Cost</t>
  </si>
  <si>
    <t>Table of Contents</t>
  </si>
  <si>
    <t>Less: Ore Mined/Milled</t>
  </si>
  <si>
    <t>Adjustments:</t>
  </si>
  <si>
    <t>Plus:</t>
  </si>
  <si>
    <t>Less:</t>
  </si>
  <si>
    <t>2022 updated mine plan</t>
  </si>
  <si>
    <t>R&amp;R statement 2022</t>
  </si>
  <si>
    <t>Days in Period</t>
  </si>
  <si>
    <t xml:space="preserve"> </t>
  </si>
  <si>
    <t>This Excel model is for educational traininpurposes only and should not be used for any other reason.</t>
  </si>
  <si>
    <t xml:space="preserve">Mining Financial Model </t>
  </si>
  <si>
    <t xml:space="preserve">KK Mining Industries </t>
  </si>
  <si>
    <t>KK Mining Industries</t>
  </si>
  <si>
    <t>Ore Mined/Milled</t>
  </si>
  <si>
    <t>Charts</t>
  </si>
  <si>
    <t>Terms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</si>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</sst>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#,##0.0_);\(#,##0.0\)"/>
    <numFmt numFmtId="167" formatCode="0.0\x"/>
    <numFmt numFmtId="168" formatCode="_-* #,##0_-;\(#,##0\)_-;_-* &quot;-&quot;_-;_-@_-"/>
    <numFmt numFmtId="169" formatCode="_(* #,##0_);_(* \(#,##0\);_(* &quot;-&quot;??_);_(@_)"/>
    <numFmt numFmtId="170" formatCode="_(* #,##0.00000_);_(* \(#,##0.00000\);_(* &quot;-&quot;??_);_(@_)"/>
    <numFmt numFmtId="171" formatCode="0.00000"/>
    <numFmt numFmtId="172" formatCode="_(* #,##0.0000_);_(* \(#,##0.0000\);_(* &quot;-&quot;??_);_(@_)"/>
    <numFmt numFmtId="173" formatCode="_(* #,##0.000_);_(* \(#,##0.000\);_(* &quot;-&quot;??_);_(@_)"/>
    <numFmt numFmtId="174" formatCode="0&quot;E&quot;"/>
  </numFmts>
  <fonts count="32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u/>
      <sz val="10"/>
      <color theme="10"/>
      <name val="Arial"/>
      <family val="2"/>
    </font>
    <font>
      <sz val="11"/>
      <color rgb="FFFFC000"/>
      <name val="Century Gothic"/>
      <family val="2"/>
      <scheme val="minor"/>
    </font>
    <font>
      <sz val="11"/>
      <color rgb="FFFFC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rgb="FFFFC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rgb="FFFFC000"/>
      <name val="Times New Roman"/>
      <family val="1"/>
    </font>
    <font>
      <b/>
      <i/>
      <sz val="26"/>
      <color theme="2" tint="-0.749992370372631"/>
      <name val="Times New Roman"/>
      <family val="1"/>
    </font>
    <font>
      <b/>
      <sz val="15"/>
      <color rgb="FFC49500"/>
      <name val="Times New Roman"/>
      <family val="1"/>
    </font>
    <font>
      <sz val="15"/>
      <color rgb="FFC49500"/>
      <name val="Times New Roman"/>
      <family val="1"/>
    </font>
    <font>
      <b/>
      <i/>
      <sz val="11"/>
      <color theme="2" tint="-0.749992370372631"/>
      <name val="Times New Roman"/>
      <family val="1"/>
    </font>
    <font>
      <sz val="11"/>
      <color theme="0"/>
      <name val="Times New Roman"/>
      <family val="1"/>
    </font>
    <font>
      <i/>
      <sz val="11"/>
      <color rgb="FFFFC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 tint="0.34998626667073579"/>
      <name val="Times New Roman"/>
      <family val="1"/>
    </font>
    <font>
      <b/>
      <sz val="11"/>
      <color theme="1"/>
      <name val="Times New Roman"/>
      <family val="1"/>
    </font>
    <font>
      <sz val="11"/>
      <color rgb="FF2007B9"/>
      <name val="Times New Roman"/>
      <family val="1"/>
    </font>
    <font>
      <b/>
      <sz val="11"/>
      <color rgb="FF2007B9"/>
      <name val="Times New Roman"/>
      <family val="1"/>
    </font>
    <font>
      <sz val="11"/>
      <color rgb="FF0000FF"/>
      <name val="Times New Roman"/>
      <family val="1"/>
    </font>
    <font>
      <u val="singleAccounting"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sz val="12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0" fontId="0" fillId="2" borderId="0" xfId="0" applyFill="1"/>
    <xf numFmtId="0" fontId="0" fillId="4" borderId="0" xfId="0" applyFill="1"/>
    <xf numFmtId="0" fontId="6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5" applyFont="1" applyFill="1"/>
    <xf numFmtId="0" fontId="10" fillId="2" borderId="0" xfId="5" applyFont="1" applyFill="1" applyProtection="1">
      <protection locked="0"/>
    </xf>
    <xf numFmtId="0" fontId="11" fillId="2" borderId="0" xfId="0" applyFont="1" applyFill="1"/>
    <xf numFmtId="0" fontId="12" fillId="2" borderId="0" xfId="5" applyFont="1" applyFill="1" applyProtection="1">
      <protection locked="0"/>
    </xf>
    <xf numFmtId="0" fontId="11" fillId="2" borderId="0" xfId="5" applyFont="1" applyFill="1"/>
    <xf numFmtId="0" fontId="11" fillId="2" borderId="1" xfId="5" applyFont="1" applyFill="1" applyBorder="1"/>
    <xf numFmtId="0" fontId="15" fillId="2" borderId="0" xfId="5" applyFont="1" applyFill="1" applyProtection="1">
      <protection locked="0"/>
    </xf>
    <xf numFmtId="0" fontId="16" fillId="2" borderId="0" xfId="5" applyFont="1" applyFill="1"/>
    <xf numFmtId="37" fontId="17" fillId="3" borderId="0" xfId="0" applyNumberFormat="1" applyFont="1" applyFill="1" applyAlignment="1">
      <alignment vertical="top"/>
    </xf>
    <xf numFmtId="37" fontId="7" fillId="3" borderId="0" xfId="0" applyNumberFormat="1" applyFont="1" applyFill="1" applyAlignment="1">
      <alignment vertical="top"/>
    </xf>
    <xf numFmtId="14" fontId="7" fillId="3" borderId="0" xfId="0" applyNumberFormat="1" applyFont="1" applyFill="1" applyAlignment="1">
      <alignment vertical="top"/>
    </xf>
    <xf numFmtId="0" fontId="18" fillId="0" borderId="0" xfId="0" applyFont="1"/>
    <xf numFmtId="168" fontId="19" fillId="3" borderId="0" xfId="3" applyNumberFormat="1" applyFont="1" applyFill="1" applyAlignment="1" applyProtection="1">
      <alignment horizontal="left"/>
      <protection locked="0"/>
    </xf>
    <xf numFmtId="168" fontId="7" fillId="3" borderId="0" xfId="3" applyNumberFormat="1" applyFont="1" applyFill="1" applyProtection="1">
      <protection locked="0"/>
    </xf>
    <xf numFmtId="37" fontId="19" fillId="3" borderId="2" xfId="3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Alignment="1">
      <alignment horizontal="center"/>
    </xf>
    <xf numFmtId="174" fontId="13" fillId="3" borderId="0" xfId="0" applyNumberFormat="1" applyFont="1" applyFill="1"/>
    <xf numFmtId="168" fontId="20" fillId="2" borderId="0" xfId="3" applyNumberFormat="1" applyFont="1" applyFill="1" applyProtection="1">
      <protection locked="0"/>
    </xf>
    <xf numFmtId="168" fontId="20" fillId="2" borderId="0" xfId="3" applyNumberFormat="1" applyFont="1" applyFill="1" applyAlignment="1" applyProtection="1">
      <alignment horizontal="center"/>
      <protection locked="0"/>
    </xf>
    <xf numFmtId="168" fontId="20" fillId="2" borderId="0" xfId="3" applyNumberFormat="1" applyFont="1" applyFill="1" applyAlignment="1">
      <alignment horizontal="right"/>
    </xf>
    <xf numFmtId="168" fontId="21" fillId="2" borderId="0" xfId="3" applyNumberFormat="1" applyFont="1" applyFill="1" applyProtection="1">
      <protection locked="0"/>
    </xf>
    <xf numFmtId="37" fontId="22" fillId="4" borderId="0" xfId="0" applyNumberFormat="1" applyFont="1" applyFill="1" applyAlignment="1">
      <alignment vertical="center"/>
    </xf>
    <xf numFmtId="0" fontId="21" fillId="2" borderId="0" xfId="0" applyFont="1" applyFill="1" applyAlignment="1" applyProtection="1">
      <alignment vertical="center"/>
      <protection hidden="1"/>
    </xf>
    <xf numFmtId="0" fontId="23" fillId="2" borderId="0" xfId="0" applyFont="1" applyFill="1" applyProtection="1">
      <protection hidden="1"/>
    </xf>
    <xf numFmtId="0" fontId="21" fillId="2" borderId="0" xfId="0" applyFont="1" applyFill="1" applyProtection="1">
      <protection hidden="1"/>
    </xf>
    <xf numFmtId="0" fontId="21" fillId="2" borderId="1" xfId="0" applyFont="1" applyFill="1" applyBorder="1" applyProtection="1">
      <protection hidden="1"/>
    </xf>
    <xf numFmtId="170" fontId="24" fillId="2" borderId="1" xfId="2" applyNumberFormat="1" applyFont="1" applyFill="1" applyBorder="1" applyProtection="1">
      <protection hidden="1"/>
    </xf>
    <xf numFmtId="170" fontId="24" fillId="2" borderId="0" xfId="2" applyNumberFormat="1" applyFont="1" applyFill="1" applyProtection="1">
      <protection hidden="1"/>
    </xf>
    <xf numFmtId="0" fontId="24" fillId="2" borderId="0" xfId="0" applyFont="1" applyFill="1" applyProtection="1">
      <protection hidden="1"/>
    </xf>
    <xf numFmtId="0" fontId="21" fillId="2" borderId="4" xfId="0" applyFont="1" applyFill="1" applyBorder="1" applyProtection="1">
      <protection hidden="1"/>
    </xf>
    <xf numFmtId="0" fontId="23" fillId="2" borderId="1" xfId="0" applyFont="1" applyFill="1" applyBorder="1" applyProtection="1">
      <protection hidden="1"/>
    </xf>
    <xf numFmtId="0" fontId="21" fillId="2" borderId="1" xfId="0" applyFont="1" applyFill="1" applyBorder="1" applyAlignment="1" applyProtection="1">
      <alignment horizontal="center"/>
      <protection hidden="1"/>
    </xf>
    <xf numFmtId="169" fontId="8" fillId="2" borderId="1" xfId="2" applyNumberFormat="1" applyFont="1" applyFill="1" applyBorder="1" applyProtection="1">
      <protection hidden="1"/>
    </xf>
    <xf numFmtId="0" fontId="21" fillId="2" borderId="0" xfId="0" applyFont="1" applyFill="1" applyAlignment="1" applyProtection="1">
      <alignment horizontal="center"/>
      <protection hidden="1"/>
    </xf>
    <xf numFmtId="169" fontId="24" fillId="2" borderId="0" xfId="2" applyNumberFormat="1" applyFont="1" applyFill="1" applyProtection="1">
      <protection hidden="1"/>
    </xf>
    <xf numFmtId="169" fontId="8" fillId="2" borderId="0" xfId="2" applyNumberFormat="1" applyFont="1" applyFill="1" applyProtection="1">
      <protection hidden="1"/>
    </xf>
    <xf numFmtId="0" fontId="24" fillId="2" borderId="2" xfId="0" applyFont="1" applyFill="1" applyBorder="1" applyAlignment="1" applyProtection="1">
      <alignment horizontal="center"/>
      <protection hidden="1"/>
    </xf>
    <xf numFmtId="0" fontId="21" fillId="2" borderId="2" xfId="0" applyFont="1" applyFill="1" applyBorder="1" applyAlignment="1" applyProtection="1">
      <alignment horizontal="center"/>
      <protection hidden="1"/>
    </xf>
    <xf numFmtId="169" fontId="21" fillId="2" borderId="1" xfId="0" applyNumberFormat="1" applyFont="1" applyFill="1" applyBorder="1" applyProtection="1">
      <protection hidden="1"/>
    </xf>
    <xf numFmtId="164" fontId="24" fillId="2" borderId="0" xfId="2" applyFont="1" applyFill="1" applyProtection="1">
      <protection hidden="1"/>
    </xf>
    <xf numFmtId="165" fontId="24" fillId="2" borderId="0" xfId="1" applyNumberFormat="1" applyFont="1" applyFill="1" applyProtection="1">
      <protection hidden="1"/>
    </xf>
    <xf numFmtId="165" fontId="21" fillId="2" borderId="0" xfId="1" applyNumberFormat="1" applyFont="1" applyFill="1" applyProtection="1">
      <protection hidden="1"/>
    </xf>
    <xf numFmtId="0" fontId="21" fillId="2" borderId="0" xfId="0" applyFont="1" applyFill="1" applyAlignment="1" applyProtection="1">
      <alignment horizontal="right"/>
      <protection hidden="1"/>
    </xf>
    <xf numFmtId="169" fontId="24" fillId="2" borderId="1" xfId="2" applyNumberFormat="1" applyFont="1" applyFill="1" applyBorder="1" applyProtection="1">
      <protection hidden="1"/>
    </xf>
    <xf numFmtId="164" fontId="24" fillId="2" borderId="1" xfId="2" applyFont="1" applyFill="1" applyBorder="1" applyProtection="1">
      <protection hidden="1"/>
    </xf>
    <xf numFmtId="0" fontId="21" fillId="2" borderId="0" xfId="0" applyFont="1" applyFill="1" applyAlignment="1" applyProtection="1">
      <alignment horizontal="left"/>
      <protection hidden="1"/>
    </xf>
    <xf numFmtId="169" fontId="21" fillId="2" borderId="1" xfId="2" applyNumberFormat="1" applyFont="1" applyFill="1" applyBorder="1" applyProtection="1">
      <protection hidden="1"/>
    </xf>
    <xf numFmtId="164" fontId="8" fillId="2" borderId="1" xfId="2" applyFont="1" applyFill="1" applyBorder="1" applyProtection="1">
      <protection hidden="1"/>
    </xf>
    <xf numFmtId="171" fontId="21" fillId="2" borderId="0" xfId="0" applyNumberFormat="1" applyFont="1" applyFill="1" applyProtection="1">
      <protection hidden="1"/>
    </xf>
    <xf numFmtId="0" fontId="24" fillId="2" borderId="1" xfId="0" applyFont="1" applyFill="1" applyBorder="1" applyAlignment="1" applyProtection="1">
      <alignment horizontal="center"/>
      <protection hidden="1"/>
    </xf>
    <xf numFmtId="169" fontId="8" fillId="2" borderId="1" xfId="0" applyNumberFormat="1" applyFont="1" applyFill="1" applyBorder="1" applyProtection="1">
      <protection hidden="1"/>
    </xf>
    <xf numFmtId="167" fontId="24" fillId="2" borderId="0" xfId="0" applyNumberFormat="1" applyFont="1" applyFill="1" applyAlignment="1" applyProtection="1">
      <alignment horizontal="center"/>
      <protection hidden="1"/>
    </xf>
    <xf numFmtId="169" fontId="21" fillId="2" borderId="0" xfId="2" applyNumberFormat="1" applyFont="1" applyFill="1" applyAlignment="1" applyProtection="1">
      <alignment horizontal="right"/>
      <protection hidden="1"/>
    </xf>
    <xf numFmtId="169" fontId="21" fillId="2" borderId="0" xfId="2" applyNumberFormat="1" applyFont="1" applyFill="1" applyProtection="1">
      <protection hidden="1"/>
    </xf>
    <xf numFmtId="165" fontId="24" fillId="2" borderId="1" xfId="0" applyNumberFormat="1" applyFont="1" applyFill="1" applyBorder="1" applyProtection="1">
      <protection hidden="1"/>
    </xf>
    <xf numFmtId="165" fontId="24" fillId="2" borderId="0" xfId="0" applyNumberFormat="1" applyFont="1" applyFill="1" applyProtection="1">
      <protection hidden="1"/>
    </xf>
    <xf numFmtId="0" fontId="21" fillId="2" borderId="0" xfId="0" applyFont="1" applyFill="1"/>
    <xf numFmtId="164" fontId="8" fillId="2" borderId="0" xfId="2" applyFont="1" applyFill="1" applyProtection="1">
      <protection hidden="1"/>
    </xf>
    <xf numFmtId="164" fontId="8" fillId="2" borderId="1" xfId="2" applyFont="1" applyFill="1" applyBorder="1" applyAlignment="1" applyProtection="1">
      <alignment horizontal="right"/>
      <protection hidden="1"/>
    </xf>
    <xf numFmtId="164" fontId="8" fillId="2" borderId="0" xfId="2" applyFont="1" applyFill="1" applyAlignment="1" applyProtection="1">
      <alignment horizontal="right"/>
      <protection hidden="1"/>
    </xf>
    <xf numFmtId="164" fontId="21" fillId="2" borderId="0" xfId="2" applyFont="1" applyFill="1" applyProtection="1">
      <protection hidden="1"/>
    </xf>
    <xf numFmtId="9" fontId="8" fillId="2" borderId="0" xfId="1" applyFont="1" applyFill="1" applyProtection="1">
      <protection hidden="1"/>
    </xf>
    <xf numFmtId="169" fontId="24" fillId="2" borderId="0" xfId="2" applyNumberFormat="1" applyFont="1" applyFill="1"/>
    <xf numFmtId="169" fontId="21" fillId="2" borderId="0" xfId="0" applyNumberFormat="1" applyFont="1" applyFill="1" applyProtection="1">
      <protection hidden="1"/>
    </xf>
    <xf numFmtId="169" fontId="24" fillId="2" borderId="1" xfId="2" applyNumberFormat="1" applyFont="1" applyFill="1" applyBorder="1"/>
    <xf numFmtId="9" fontId="24" fillId="2" borderId="0" xfId="0" applyNumberFormat="1" applyFont="1" applyFill="1" applyProtection="1">
      <protection hidden="1"/>
    </xf>
    <xf numFmtId="0" fontId="24" fillId="2" borderId="1" xfId="0" applyFont="1" applyFill="1" applyBorder="1" applyProtection="1">
      <protection hidden="1"/>
    </xf>
    <xf numFmtId="37" fontId="25" fillId="2" borderId="0" xfId="2" applyNumberFormat="1" applyFont="1" applyFill="1" applyAlignment="1">
      <alignment horizontal="right"/>
    </xf>
    <xf numFmtId="0" fontId="23" fillId="2" borderId="0" xfId="0" applyFont="1" applyFill="1"/>
    <xf numFmtId="0" fontId="21" fillId="2" borderId="0" xfId="0" applyFont="1" applyFill="1" applyAlignment="1">
      <alignment horizontal="center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37" fontId="21" fillId="2" borderId="0" xfId="0" applyNumberFormat="1" applyFont="1" applyFill="1" applyAlignment="1">
      <alignment horizontal="center"/>
    </xf>
    <xf numFmtId="169" fontId="21" fillId="2" borderId="0" xfId="0" applyNumberFormat="1" applyFont="1" applyFill="1" applyAlignment="1">
      <alignment horizontal="right"/>
    </xf>
    <xf numFmtId="37" fontId="8" fillId="2" borderId="0" xfId="2" applyNumberFormat="1" applyFont="1" applyFill="1"/>
    <xf numFmtId="169" fontId="8" fillId="2" borderId="0" xfId="0" applyNumberFormat="1" applyFont="1" applyFill="1" applyProtection="1">
      <protection hidden="1"/>
    </xf>
    <xf numFmtId="169" fontId="21" fillId="2" borderId="0" xfId="0" applyNumberFormat="1" applyFont="1" applyFill="1"/>
    <xf numFmtId="0" fontId="23" fillId="2" borderId="1" xfId="0" applyFont="1" applyFill="1" applyBorder="1"/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37" fontId="21" fillId="2" borderId="1" xfId="0" applyNumberFormat="1" applyFont="1" applyFill="1" applyBorder="1" applyAlignment="1">
      <alignment horizontal="center"/>
    </xf>
    <xf numFmtId="169" fontId="21" fillId="2" borderId="1" xfId="0" applyNumberFormat="1" applyFont="1" applyFill="1" applyBorder="1" applyAlignment="1">
      <alignment horizontal="right"/>
    </xf>
    <xf numFmtId="166" fontId="8" fillId="2" borderId="0" xfId="2" applyNumberFormat="1" applyFont="1" applyFill="1"/>
    <xf numFmtId="169" fontId="21" fillId="2" borderId="1" xfId="0" applyNumberFormat="1" applyFont="1" applyFill="1" applyBorder="1"/>
    <xf numFmtId="169" fontId="21" fillId="2" borderId="0" xfId="2" applyNumberFormat="1" applyFont="1" applyFill="1"/>
    <xf numFmtId="169" fontId="21" fillId="2" borderId="0" xfId="2" applyNumberFormat="1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39" fontId="8" fillId="2" borderId="0" xfId="2" applyNumberFormat="1" applyFont="1" applyFill="1"/>
    <xf numFmtId="169" fontId="8" fillId="2" borderId="0" xfId="2" quotePrefix="1" applyNumberFormat="1" applyFont="1" applyFill="1"/>
    <xf numFmtId="169" fontId="9" fillId="2" borderId="0" xfId="2" applyNumberFormat="1" applyFont="1" applyFill="1"/>
    <xf numFmtId="169" fontId="8" fillId="2" borderId="0" xfId="2" applyNumberFormat="1" applyFont="1" applyFill="1"/>
    <xf numFmtId="169" fontId="8" fillId="2" borderId="0" xfId="2" applyNumberFormat="1" applyFont="1" applyFill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21" fillId="2" borderId="0" xfId="1" applyNumberFormat="1" applyFont="1" applyFill="1" applyAlignment="1">
      <alignment horizontal="right"/>
    </xf>
    <xf numFmtId="165" fontId="8" fillId="2" borderId="0" xfId="1" applyNumberFormat="1" applyFont="1" applyFill="1"/>
    <xf numFmtId="169" fontId="23" fillId="2" borderId="0" xfId="2" applyNumberFormat="1" applyFont="1" applyFill="1"/>
    <xf numFmtId="169" fontId="23" fillId="2" borderId="0" xfId="2" applyNumberFormat="1" applyFont="1" applyFill="1" applyAlignment="1">
      <alignment horizontal="center"/>
    </xf>
    <xf numFmtId="9" fontId="21" fillId="2" borderId="0" xfId="1" applyFont="1" applyFill="1" applyAlignment="1">
      <alignment horizontal="center"/>
    </xf>
    <xf numFmtId="9" fontId="21" fillId="2" borderId="0" xfId="1" applyFont="1" applyFill="1" applyAlignment="1">
      <alignment horizontal="right"/>
    </xf>
    <xf numFmtId="169" fontId="21" fillId="2" borderId="0" xfId="0" applyNumberFormat="1" applyFont="1" applyFill="1" applyAlignment="1">
      <alignment horizontal="center"/>
    </xf>
    <xf numFmtId="37" fontId="21" fillId="2" borderId="0" xfId="2" applyNumberFormat="1" applyFont="1" applyFill="1"/>
    <xf numFmtId="169" fontId="23" fillId="2" borderId="1" xfId="2" applyNumberFormat="1" applyFont="1" applyFill="1" applyBorder="1"/>
    <xf numFmtId="169" fontId="21" fillId="2" borderId="1" xfId="2" applyNumberFormat="1" applyFont="1" applyFill="1" applyBorder="1"/>
    <xf numFmtId="169" fontId="21" fillId="2" borderId="1" xfId="2" applyNumberFormat="1" applyFont="1" applyFill="1" applyBorder="1" applyAlignment="1">
      <alignment horizontal="center"/>
    </xf>
    <xf numFmtId="37" fontId="23" fillId="2" borderId="1" xfId="0" applyNumberFormat="1" applyFont="1" applyFill="1" applyBorder="1" applyAlignment="1">
      <alignment horizontal="center"/>
    </xf>
    <xf numFmtId="39" fontId="21" fillId="2" borderId="0" xfId="0" applyNumberFormat="1" applyFont="1" applyFill="1" applyAlignment="1">
      <alignment horizontal="center"/>
    </xf>
    <xf numFmtId="164" fontId="21" fillId="2" borderId="0" xfId="2" applyFont="1" applyFill="1"/>
    <xf numFmtId="39" fontId="21" fillId="2" borderId="1" xfId="0" applyNumberFormat="1" applyFont="1" applyFill="1" applyBorder="1" applyAlignment="1">
      <alignment horizontal="center"/>
    </xf>
    <xf numFmtId="169" fontId="21" fillId="2" borderId="1" xfId="0" applyNumberFormat="1" applyFont="1" applyFill="1" applyBorder="1" applyAlignment="1">
      <alignment horizontal="center"/>
    </xf>
    <xf numFmtId="164" fontId="21" fillId="2" borderId="1" xfId="2" applyFont="1" applyFill="1" applyBorder="1"/>
    <xf numFmtId="37" fontId="23" fillId="2" borderId="0" xfId="0" applyNumberFormat="1" applyFont="1" applyFill="1" applyAlignment="1">
      <alignment horizontal="center"/>
    </xf>
    <xf numFmtId="169" fontId="23" fillId="2" borderId="1" xfId="2" applyNumberFormat="1" applyFont="1" applyFill="1" applyBorder="1" applyAlignment="1">
      <alignment horizontal="center"/>
    </xf>
    <xf numFmtId="169" fontId="23" fillId="2" borderId="1" xfId="0" applyNumberFormat="1" applyFont="1" applyFill="1" applyBorder="1" applyAlignment="1">
      <alignment horizontal="center"/>
    </xf>
    <xf numFmtId="165" fontId="21" fillId="2" borderId="0" xfId="1" applyNumberFormat="1" applyFont="1" applyFill="1"/>
    <xf numFmtId="169" fontId="21" fillId="2" borderId="3" xfId="2" applyNumberFormat="1" applyFont="1" applyFill="1" applyBorder="1"/>
    <xf numFmtId="169" fontId="26" fillId="2" borderId="1" xfId="2" applyNumberFormat="1" applyFont="1" applyFill="1" applyBorder="1" applyAlignment="1">
      <alignment horizontal="center"/>
    </xf>
    <xf numFmtId="169" fontId="27" fillId="2" borderId="0" xfId="2" applyNumberFormat="1" applyFont="1" applyFill="1"/>
    <xf numFmtId="9" fontId="8" fillId="2" borderId="0" xfId="1" applyFont="1" applyFill="1" applyAlignment="1">
      <alignment horizontal="center"/>
    </xf>
    <xf numFmtId="172" fontId="8" fillId="2" borderId="0" xfId="2" applyNumberFormat="1" applyFont="1" applyFill="1"/>
    <xf numFmtId="37" fontId="28" fillId="2" borderId="0" xfId="2" applyNumberFormat="1" applyFont="1" applyFill="1" applyAlignment="1">
      <alignment horizontal="center"/>
    </xf>
    <xf numFmtId="9" fontId="23" fillId="2" borderId="0" xfId="1" applyFont="1" applyFill="1" applyAlignment="1">
      <alignment horizontal="center"/>
    </xf>
    <xf numFmtId="169" fontId="21" fillId="2" borderId="0" xfId="2" applyNumberFormat="1" applyFont="1" applyFill="1" applyAlignment="1">
      <alignment horizontal="left"/>
    </xf>
    <xf numFmtId="37" fontId="23" fillId="2" borderId="0" xfId="2" applyNumberFormat="1" applyFont="1" applyFill="1" applyAlignment="1">
      <alignment horizontal="center"/>
    </xf>
    <xf numFmtId="169" fontId="21" fillId="2" borderId="1" xfId="2" applyNumberFormat="1" applyFont="1" applyFill="1" applyBorder="1" applyAlignment="1">
      <alignment horizontal="left"/>
    </xf>
    <xf numFmtId="165" fontId="28" fillId="2" borderId="1" xfId="1" applyNumberFormat="1" applyFont="1" applyFill="1" applyBorder="1" applyAlignment="1">
      <alignment horizontal="center"/>
    </xf>
    <xf numFmtId="173" fontId="21" fillId="2" borderId="0" xfId="2" applyNumberFormat="1" applyFont="1" applyFill="1"/>
    <xf numFmtId="37" fontId="21" fillId="2" borderId="0" xfId="0" applyNumberFormat="1" applyFont="1" applyFill="1" applyProtection="1">
      <protection hidden="1"/>
    </xf>
    <xf numFmtId="37" fontId="26" fillId="2" borderId="0" xfId="0" applyNumberFormat="1" applyFont="1" applyFill="1" applyProtection="1">
      <protection hidden="1"/>
    </xf>
    <xf numFmtId="165" fontId="21" fillId="2" borderId="0" xfId="0" applyNumberFormat="1" applyFont="1" applyFill="1" applyProtection="1">
      <protection hidden="1"/>
    </xf>
    <xf numFmtId="3" fontId="26" fillId="2" borderId="5" xfId="0" applyNumberFormat="1" applyFont="1" applyFill="1" applyBorder="1" applyProtection="1">
      <protection hidden="1"/>
    </xf>
    <xf numFmtId="3" fontId="21" fillId="2" borderId="5" xfId="0" applyNumberFormat="1" applyFont="1" applyFill="1" applyBorder="1" applyProtection="1">
      <protection hidden="1"/>
    </xf>
    <xf numFmtId="165" fontId="21" fillId="2" borderId="1" xfId="1" applyNumberFormat="1" applyFont="1" applyFill="1" applyBorder="1" applyProtection="1">
      <protection hidden="1"/>
    </xf>
    <xf numFmtId="169" fontId="21" fillId="2" borderId="6" xfId="2" applyNumberFormat="1" applyFont="1" applyFill="1" applyBorder="1" applyProtection="1">
      <protection hidden="1"/>
    </xf>
    <xf numFmtId="174" fontId="29" fillId="2" borderId="0" xfId="0" applyNumberFormat="1" applyFont="1" applyFill="1"/>
    <xf numFmtId="37" fontId="8" fillId="2" borderId="1" xfId="2" applyNumberFormat="1" applyFont="1" applyFill="1" applyBorder="1"/>
    <xf numFmtId="37" fontId="8" fillId="2" borderId="1" xfId="0" applyNumberFormat="1" applyFont="1" applyFill="1" applyBorder="1"/>
    <xf numFmtId="37" fontId="8" fillId="2" borderId="0" xfId="0" applyNumberFormat="1" applyFont="1" applyFill="1"/>
    <xf numFmtId="0" fontId="14" fillId="2" borderId="0" xfId="0" applyFont="1" applyFill="1" applyAlignment="1">
      <alignment horizontal="center" vertical="center"/>
    </xf>
    <xf numFmtId="0" fontId="28" fillId="4" borderId="7" xfId="0" applyFont="1" applyFill="1" applyBorder="1" applyAlignment="1" applyProtection="1">
      <alignment horizontal="centerContinuous" vertical="center"/>
      <protection hidden="1"/>
    </xf>
    <xf numFmtId="0" fontId="18" fillId="4" borderId="8" xfId="0" applyFont="1" applyFill="1" applyBorder="1" applyAlignment="1" applyProtection="1">
      <alignment horizontal="centerContinuous" vertical="center"/>
      <protection hidden="1"/>
    </xf>
    <xf numFmtId="0" fontId="18" fillId="4" borderId="9" xfId="0" applyFont="1" applyFill="1" applyBorder="1" applyAlignment="1" applyProtection="1">
      <alignment horizontal="centerContinuous" vertical="center"/>
      <protection hidden="1"/>
    </xf>
    <xf numFmtId="0" fontId="20" fillId="5" borderId="10" xfId="0" applyFont="1" applyFill="1" applyBorder="1" applyAlignment="1" applyProtection="1">
      <alignment horizontal="centerContinuous"/>
      <protection hidden="1"/>
    </xf>
    <xf numFmtId="0" fontId="20" fillId="5" borderId="0" xfId="0" applyFont="1" applyFill="1" applyBorder="1" applyAlignment="1" applyProtection="1">
      <alignment horizontal="centerContinuous"/>
      <protection hidden="1"/>
    </xf>
    <xf numFmtId="0" fontId="20" fillId="5" borderId="11" xfId="0" applyFont="1" applyFill="1" applyBorder="1" applyAlignment="1" applyProtection="1">
      <alignment horizontal="centerContinuous"/>
      <protection hidden="1"/>
    </xf>
    <xf numFmtId="9" fontId="18" fillId="2" borderId="10" xfId="0" applyNumberFormat="1" applyFont="1" applyFill="1" applyBorder="1" applyProtection="1">
      <protection hidden="1"/>
    </xf>
    <xf numFmtId="3" fontId="21" fillId="2" borderId="12" xfId="0" applyNumberFormat="1" applyFont="1" applyFill="1" applyBorder="1" applyProtection="1">
      <protection hidden="1"/>
    </xf>
    <xf numFmtId="164" fontId="26" fillId="2" borderId="13" xfId="2" applyFont="1" applyFill="1" applyBorder="1" applyProtection="1">
      <protection hidden="1"/>
    </xf>
    <xf numFmtId="165" fontId="21" fillId="2" borderId="14" xfId="1" applyNumberFormat="1" applyFont="1" applyFill="1" applyBorder="1" applyProtection="1">
      <protection hidden="1"/>
    </xf>
    <xf numFmtId="164" fontId="21" fillId="2" borderId="13" xfId="2" applyFont="1" applyFill="1" applyBorder="1" applyProtection="1">
      <protection hidden="1"/>
    </xf>
    <xf numFmtId="165" fontId="21" fillId="2" borderId="0" xfId="1" applyNumberFormat="1" applyFont="1" applyFill="1" applyBorder="1" applyProtection="1">
      <protection hidden="1"/>
    </xf>
    <xf numFmtId="165" fontId="21" fillId="2" borderId="11" xfId="1" applyNumberFormat="1" applyFont="1" applyFill="1" applyBorder="1" applyProtection="1">
      <protection hidden="1"/>
    </xf>
    <xf numFmtId="164" fontId="21" fillId="2" borderId="15" xfId="2" applyFont="1" applyFill="1" applyBorder="1" applyProtection="1">
      <protection hidden="1"/>
    </xf>
    <xf numFmtId="165" fontId="21" fillId="2" borderId="16" xfId="1" applyNumberFormat="1" applyFont="1" applyFill="1" applyBorder="1" applyProtection="1">
      <protection hidden="1"/>
    </xf>
    <xf numFmtId="165" fontId="21" fillId="2" borderId="17" xfId="1" applyNumberFormat="1" applyFont="1" applyFill="1" applyBorder="1" applyProtection="1">
      <protection hidden="1"/>
    </xf>
    <xf numFmtId="164" fontId="18" fillId="2" borderId="10" xfId="0" applyNumberFormat="1" applyFont="1" applyFill="1" applyBorder="1" applyProtection="1">
      <protection hidden="1"/>
    </xf>
    <xf numFmtId="165" fontId="26" fillId="2" borderId="13" xfId="1" applyNumberFormat="1" applyFont="1" applyFill="1" applyBorder="1" applyProtection="1">
      <protection hidden="1"/>
    </xf>
    <xf numFmtId="169" fontId="21" fillId="2" borderId="14" xfId="2" applyNumberFormat="1" applyFont="1" applyFill="1" applyBorder="1" applyProtection="1">
      <protection hidden="1"/>
    </xf>
    <xf numFmtId="165" fontId="21" fillId="2" borderId="13" xfId="1" applyNumberFormat="1" applyFont="1" applyFill="1" applyBorder="1" applyProtection="1">
      <protection hidden="1"/>
    </xf>
    <xf numFmtId="169" fontId="21" fillId="2" borderId="0" xfId="2" applyNumberFormat="1" applyFont="1" applyFill="1" applyBorder="1" applyProtection="1">
      <protection hidden="1"/>
    </xf>
    <xf numFmtId="169" fontId="21" fillId="2" borderId="11" xfId="2" applyNumberFormat="1" applyFont="1" applyFill="1" applyBorder="1" applyProtection="1">
      <protection hidden="1"/>
    </xf>
    <xf numFmtId="165" fontId="21" fillId="2" borderId="15" xfId="1" applyNumberFormat="1" applyFont="1" applyFill="1" applyBorder="1" applyProtection="1">
      <protection hidden="1"/>
    </xf>
    <xf numFmtId="169" fontId="21" fillId="2" borderId="16" xfId="2" applyNumberFormat="1" applyFont="1" applyFill="1" applyBorder="1" applyProtection="1">
      <protection hidden="1"/>
    </xf>
    <xf numFmtId="169" fontId="21" fillId="2" borderId="17" xfId="2" applyNumberFormat="1" applyFont="1" applyFill="1" applyBorder="1" applyProtection="1">
      <protection hidden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0" fontId="30" fillId="2" borderId="0" xfId="5" applyFont="1" applyFill="1"/>
    <xf numFmtId="0" fontId="31" fillId="2" borderId="0" xfId="4" applyFont="1" applyFill="1" applyBorder="1" applyProtection="1">
      <protection locked="0"/>
    </xf>
    <xf numFmtId="0" fontId="21" fillId="2" borderId="0" xfId="0" applyFont="1" applyFill="1" applyBorder="1"/>
    <xf numFmtId="37" fontId="8" fillId="2" borderId="0" xfId="0" applyNumberFormat="1" applyFont="1" applyFill="1" applyBorder="1"/>
  </cellXfs>
  <cellStyles count="7">
    <cellStyle name="Comma" xfId="2" builtinId="3"/>
    <cellStyle name="Comma 2" xfId="3" xr:uid="{00000000-0005-0000-0000-000001000000}"/>
    <cellStyle name="Hyperlink" xfId="4" builtinId="8"/>
    <cellStyle name="Hyperlink 2 2" xfId="6" xr:uid="{D01636B6-1B58-4BFA-BF35-50CD55888E20}"/>
    <cellStyle name="Normal" xfId="0" builtinId="0"/>
    <cellStyle name="Normal 2 2" xfId="5" xr:uid="{23F72487-C365-40CD-9487-738A2CE7B713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653"/>
      <color rgb="FFFFDD4B"/>
      <color rgb="FFC49500"/>
      <color rgb="FF0000FF"/>
      <color rgb="FFFF9966"/>
      <color rgb="FFFFCC99"/>
      <color rgb="FF132E57"/>
      <color rgb="FF1E8496"/>
      <color rgb="FFED942D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'Ewueibi Asset'!$A$278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FFC00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Asset'!$G$278:$S$278</c:f>
              <c:numCache>
                <c:formatCode>#,##0_);\(#,##0\)</c:formatCode>
                <c:ptCount val="13"/>
                <c:pt idx="0">
                  <c:v>732512332.32710838</c:v>
                </c:pt>
                <c:pt idx="1">
                  <c:v>710930349.62629902</c:v>
                </c:pt>
                <c:pt idx="2">
                  <c:v>925728029.45084929</c:v>
                </c:pt>
                <c:pt idx="3">
                  <c:v>754722557.93490469</c:v>
                </c:pt>
                <c:pt idx="4">
                  <c:v>583815962.23389387</c:v>
                </c:pt>
                <c:pt idx="5">
                  <c:v>699592089.90200484</c:v>
                </c:pt>
                <c:pt idx="6">
                  <c:v>646066037.06523597</c:v>
                </c:pt>
                <c:pt idx="7">
                  <c:v>1013313657.5582501</c:v>
                </c:pt>
                <c:pt idx="8">
                  <c:v>717518907.74750316</c:v>
                </c:pt>
                <c:pt idx="9">
                  <c:v>744794157.70896208</c:v>
                </c:pt>
                <c:pt idx="10">
                  <c:v>791941937.40145814</c:v>
                </c:pt>
                <c:pt idx="11">
                  <c:v>496490203.96941537</c:v>
                </c:pt>
                <c:pt idx="12" formatCode="_(* #,##0_);_(* \(#,##0\);_(* &quot;-&quot;??_);_(@_)">
                  <c:v>-67687469.989560992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C-4928-B7BE-4CABFA68FA97}"/>
            </c:ext>
          </c:extLst>
        </c:ser>
        <c:ser>
          <c:idx val="1"/>
          <c:order val="1"/>
          <c:tx>
            <c:strRef>
              <c:f>'Ewueibi Asset'!$A$279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Asset'!$G$279:$R$279</c:f>
              <c:numCache>
                <c:formatCode>_(* #,##0_);_(* \(#,##0\);_(* "-"??_);_(@_)</c:formatCode>
                <c:ptCount val="12"/>
                <c:pt idx="0">
                  <c:v>-20744707.162643451</c:v>
                </c:pt>
                <c:pt idx="1">
                  <c:v>-20688027.634876665</c:v>
                </c:pt>
                <c:pt idx="2">
                  <c:v>-20688027.634876665</c:v>
                </c:pt>
                <c:pt idx="3">
                  <c:v>-20688027.634876665</c:v>
                </c:pt>
                <c:pt idx="4">
                  <c:v>-20744707.162643451</c:v>
                </c:pt>
                <c:pt idx="5">
                  <c:v>-20688027.634876665</c:v>
                </c:pt>
                <c:pt idx="6">
                  <c:v>-20688027.634876665</c:v>
                </c:pt>
                <c:pt idx="7">
                  <c:v>-20688027.634876665</c:v>
                </c:pt>
                <c:pt idx="8">
                  <c:v>-20744707.162643451</c:v>
                </c:pt>
                <c:pt idx="9">
                  <c:v>-20688027.634876665</c:v>
                </c:pt>
                <c:pt idx="10">
                  <c:v>-20688027.634876665</c:v>
                </c:pt>
                <c:pt idx="11">
                  <c:v>-20688027.634876665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C-4928-B7BE-4CABFA68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360128"/>
        <c:axId val="205840248"/>
      </c:barChart>
      <c:lineChart>
        <c:grouping val="standard"/>
        <c:varyColors val="0"/>
        <c:ser>
          <c:idx val="2"/>
          <c:order val="2"/>
          <c:tx>
            <c:strRef>
              <c:f>'Ewueibi Asset'!$A$280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Asset'!$G$280:$S$280</c:f>
              <c:numCache>
                <c:formatCode>#,##0_);\(#,##0\)</c:formatCode>
                <c:ptCount val="13"/>
                <c:pt idx="0">
                  <c:v>711769649.16446495</c:v>
                </c:pt>
                <c:pt idx="1">
                  <c:v>690244346.99142241</c:v>
                </c:pt>
                <c:pt idx="2">
                  <c:v>905042027.81597269</c:v>
                </c:pt>
                <c:pt idx="3">
                  <c:v>734036557.30002809</c:v>
                </c:pt>
                <c:pt idx="4">
                  <c:v>563073283.07125044</c:v>
                </c:pt>
                <c:pt idx="5">
                  <c:v>678906091.26712823</c:v>
                </c:pt>
                <c:pt idx="6">
                  <c:v>625380039.43035936</c:v>
                </c:pt>
                <c:pt idx="7">
                  <c:v>992627660.92337346</c:v>
                </c:pt>
                <c:pt idx="8">
                  <c:v>696776232.58485973</c:v>
                </c:pt>
                <c:pt idx="9">
                  <c:v>724108163.07408547</c:v>
                </c:pt>
                <c:pt idx="10">
                  <c:v>771255943.76658154</c:v>
                </c:pt>
                <c:pt idx="11">
                  <c:v>475804211.3345387</c:v>
                </c:pt>
                <c:pt idx="12" formatCode="_(* #,##0_);_(* \(#,##0\);_(* &quot;-&quot;??_);_(@_)">
                  <c:v>-69259063.787740648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C-4928-B7BE-4CABFA68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0128"/>
        <c:axId val="205840248"/>
      </c:lineChart>
      <c:catAx>
        <c:axId val="20536012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248"/>
        <c:crosses val="autoZero"/>
        <c:auto val="1"/>
        <c:lblAlgn val="ctr"/>
        <c:lblOffset val="100"/>
        <c:noMultiLvlLbl val="0"/>
      </c:catAx>
      <c:valAx>
        <c:axId val="205840248"/>
        <c:scaling>
          <c:orientation val="minMax"/>
          <c:min val="-1000000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'Ewueibi Asset'!$A$285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Asset'!$F$285:$S$285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711769649.16446495</c:v>
                </c:pt>
                <c:pt idx="2">
                  <c:v>690244346.99142241</c:v>
                </c:pt>
                <c:pt idx="3">
                  <c:v>905042027.81597269</c:v>
                </c:pt>
                <c:pt idx="4">
                  <c:v>734036557.30002809</c:v>
                </c:pt>
                <c:pt idx="5">
                  <c:v>563073283.07125044</c:v>
                </c:pt>
                <c:pt idx="6">
                  <c:v>678906091.26712823</c:v>
                </c:pt>
                <c:pt idx="7">
                  <c:v>625380039.43035936</c:v>
                </c:pt>
                <c:pt idx="8">
                  <c:v>992627660.92337346</c:v>
                </c:pt>
                <c:pt idx="9">
                  <c:v>696776232.58485973</c:v>
                </c:pt>
                <c:pt idx="10">
                  <c:v>724108163.07408547</c:v>
                </c:pt>
                <c:pt idx="11">
                  <c:v>771255943.76658154</c:v>
                </c:pt>
                <c:pt idx="12">
                  <c:v>475804211.3345387</c:v>
                </c:pt>
                <c:pt idx="13">
                  <c:v>-69259063.787740648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3-454C-8B8C-6C24CBC6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389512"/>
        <c:axId val="205538472"/>
      </c:barChart>
      <c:lineChart>
        <c:grouping val="standard"/>
        <c:varyColors val="0"/>
        <c:ser>
          <c:idx val="2"/>
          <c:order val="0"/>
          <c:tx>
            <c:strRef>
              <c:f>'Ewueibi Asset'!$A$284</c:f>
              <c:strCache>
                <c:ptCount val="1"/>
                <c:pt idx="0">
                  <c:v>Cumulative Free Cash Flow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Asset'!$F$284:$S$284</c:f>
              <c:numCache>
                <c:formatCode>_(* #,##0_);_(* \(#,##0\);_(* "-"??_);_(@_)</c:formatCode>
                <c:ptCount val="14"/>
                <c:pt idx="0">
                  <c:v>-4500000000</c:v>
                </c:pt>
                <c:pt idx="1">
                  <c:v>-3788232374.835535</c:v>
                </c:pt>
                <c:pt idx="2">
                  <c:v>-3097990052.8441124</c:v>
                </c:pt>
                <c:pt idx="3">
                  <c:v>-2192950051.0281396</c:v>
                </c:pt>
                <c:pt idx="4">
                  <c:v>-1458915520.7281115</c:v>
                </c:pt>
                <c:pt idx="5">
                  <c:v>-895844265.65686107</c:v>
                </c:pt>
                <c:pt idx="6">
                  <c:v>-216940203.38973284</c:v>
                </c:pt>
                <c:pt idx="7">
                  <c:v>408437806.04062653</c:v>
                </c:pt>
                <c:pt idx="8">
                  <c:v>1401063435.964</c:v>
                </c:pt>
                <c:pt idx="9">
                  <c:v>2097837636.5488596</c:v>
                </c:pt>
                <c:pt idx="10">
                  <c:v>2821943766.6229448</c:v>
                </c:pt>
                <c:pt idx="11">
                  <c:v>3593197676.3895264</c:v>
                </c:pt>
                <c:pt idx="12">
                  <c:v>4068999852.7240648</c:v>
                </c:pt>
                <c:pt idx="13">
                  <c:v>3999738752.9363241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3-454C-8B8C-6C24CBC6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9512"/>
        <c:axId val="205538472"/>
      </c:lineChart>
      <c:catAx>
        <c:axId val="132389512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72"/>
        <c:crosses val="autoZero"/>
        <c:auto val="1"/>
        <c:lblAlgn val="ctr"/>
        <c:lblOffset val="100"/>
        <c:noMultiLvlLbl val="0"/>
      </c:catAx>
      <c:valAx>
        <c:axId val="2055384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'Ewueibi Asset'!$A$287</c:f>
              <c:strCache>
                <c:ptCount val="1"/>
                <c:pt idx="0">
                  <c:v>Gold Production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Asset'!$G$287:$S$287</c:f>
              <c:numCache>
                <c:formatCode>#,##0_);\(#,##0\)</c:formatCode>
                <c:ptCount val="13"/>
                <c:pt idx="0">
                  <c:v>628548.85406251438</c:v>
                </c:pt>
                <c:pt idx="1">
                  <c:v>600440.02862085169</c:v>
                </c:pt>
                <c:pt idx="2">
                  <c:v>717894.69529657217</c:v>
                </c:pt>
                <c:pt idx="3">
                  <c:v>612315.87138837157</c:v>
                </c:pt>
                <c:pt idx="4">
                  <c:v>509186.7671848184</c:v>
                </c:pt>
                <c:pt idx="5">
                  <c:v>579521.76426784543</c:v>
                </c:pt>
                <c:pt idx="6">
                  <c:v>545707.88369228225</c:v>
                </c:pt>
                <c:pt idx="7">
                  <c:v>768870.45952367608</c:v>
                </c:pt>
                <c:pt idx="8">
                  <c:v>586338.82691853924</c:v>
                </c:pt>
                <c:pt idx="9">
                  <c:v>602776.47160011379</c:v>
                </c:pt>
                <c:pt idx="10">
                  <c:v>629445.4837280442</c:v>
                </c:pt>
                <c:pt idx="11">
                  <c:v>446041.16411834705</c:v>
                </c:pt>
                <c:pt idx="12">
                  <c:v>33928.01283231462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4-4F37-861E-E1A65604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290208"/>
        <c:axId val="206655112"/>
      </c:barChart>
      <c:lineChart>
        <c:grouping val="standard"/>
        <c:varyColors val="0"/>
        <c:ser>
          <c:idx val="2"/>
          <c:order val="0"/>
          <c:tx>
            <c:strRef>
              <c:f>'Ewueibi Asset'!$A$288</c:f>
              <c:strCache>
                <c:ptCount val="1"/>
                <c:pt idx="0">
                  <c:v>All-In Cost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Asset'!$G$288:$S$288</c:f>
              <c:numCache>
                <c:formatCode>#,##0_);\(#,##0\)</c:formatCode>
                <c:ptCount val="13"/>
                <c:pt idx="0">
                  <c:v>785.29180404558724</c:v>
                </c:pt>
                <c:pt idx="1">
                  <c:v>815.0194470476597</c:v>
                </c:pt>
                <c:pt idx="2">
                  <c:v>687.15201019518258</c:v>
                </c:pt>
                <c:pt idx="3">
                  <c:v>798.07082595308987</c:v>
                </c:pt>
                <c:pt idx="4">
                  <c:v>953.90413637143229</c:v>
                </c:pt>
                <c:pt idx="5">
                  <c:v>841.06042123989789</c:v>
                </c:pt>
                <c:pt idx="6">
                  <c:v>890.35665793754299</c:v>
                </c:pt>
                <c:pt idx="7">
                  <c:v>644.89255630768412</c:v>
                </c:pt>
                <c:pt idx="8">
                  <c:v>833.49850756636283</c:v>
                </c:pt>
                <c:pt idx="9">
                  <c:v>809.8301627109372</c:v>
                </c:pt>
                <c:pt idx="10">
                  <c:v>777.1381032920126</c:v>
                </c:pt>
                <c:pt idx="11">
                  <c:v>1079.6611009576166</c:v>
                </c:pt>
                <c:pt idx="12">
                  <c:v>1079.6611009576166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F37-861E-E1A65604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2952"/>
        <c:axId val="206868472"/>
      </c:lineChart>
      <c:catAx>
        <c:axId val="20529020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112"/>
        <c:crosses val="autoZero"/>
        <c:auto val="1"/>
        <c:lblAlgn val="ctr"/>
        <c:lblOffset val="100"/>
        <c:noMultiLvlLbl val="0"/>
      </c:catAx>
      <c:valAx>
        <c:axId val="20665511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208"/>
        <c:crosses val="autoZero"/>
        <c:crossBetween val="between"/>
      </c:valAx>
      <c:valAx>
        <c:axId val="206868472"/>
        <c:scaling>
          <c:orientation val="minMax"/>
          <c:min val="400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2952"/>
        <c:crosses val="max"/>
        <c:crossBetween val="between"/>
      </c:valAx>
      <c:catAx>
        <c:axId val="206872952"/>
        <c:scaling>
          <c:orientation val="minMax"/>
        </c:scaling>
        <c:delete val="1"/>
        <c:axPos val="b"/>
        <c:numFmt formatCode="0&quot;E&quot;" sourceLinked="1"/>
        <c:majorTickMark val="out"/>
        <c:minorTickMark val="none"/>
        <c:tickLblPos val="nextTo"/>
        <c:crossAx val="20686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'Ewueibi Asset'!$A$280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rgbClr val="FFC653"/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Asset'!$G$280:$S$280</c:f>
              <c:numCache>
                <c:formatCode>#,##0_);\(#,##0\)</c:formatCode>
                <c:ptCount val="13"/>
                <c:pt idx="0">
                  <c:v>711769649.16446495</c:v>
                </c:pt>
                <c:pt idx="1">
                  <c:v>690244346.99142241</c:v>
                </c:pt>
                <c:pt idx="2">
                  <c:v>905042027.81597269</c:v>
                </c:pt>
                <c:pt idx="3">
                  <c:v>734036557.30002809</c:v>
                </c:pt>
                <c:pt idx="4">
                  <c:v>563073283.07125044</c:v>
                </c:pt>
                <c:pt idx="5">
                  <c:v>678906091.26712823</c:v>
                </c:pt>
                <c:pt idx="6">
                  <c:v>625380039.43035936</c:v>
                </c:pt>
                <c:pt idx="7">
                  <c:v>992627660.92337346</c:v>
                </c:pt>
                <c:pt idx="8">
                  <c:v>696776232.58485973</c:v>
                </c:pt>
                <c:pt idx="9">
                  <c:v>724108163.07408547</c:v>
                </c:pt>
                <c:pt idx="10">
                  <c:v>771255943.76658154</c:v>
                </c:pt>
                <c:pt idx="11">
                  <c:v>475804211.3345387</c:v>
                </c:pt>
                <c:pt idx="12" formatCode="_(* #,##0_);_(* \(#,##0\);_(* &quot;-&quot;??_);_(@_)">
                  <c:v>-69259063.787740648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1-470B-A706-24C2BE127164}"/>
            </c:ext>
          </c:extLst>
        </c:ser>
        <c:ser>
          <c:idx val="2"/>
          <c:order val="0"/>
          <c:tx>
            <c:strRef>
              <c:f>'Ewueibi Asset'!$A$281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Asset'!$G$281:$S$281</c:f>
              <c:numCache>
                <c:formatCode>#,##0_);\(#,##0\)</c:formatCode>
                <c:ptCount val="13"/>
                <c:pt idx="0">
                  <c:v>824308912.9318558</c:v>
                </c:pt>
                <c:pt idx="1">
                  <c:v>791636593.28274786</c:v>
                </c:pt>
                <c:pt idx="2">
                  <c:v>1098206336.2334902</c:v>
                </c:pt>
                <c:pt idx="3">
                  <c:v>846183046.42483091</c:v>
                </c:pt>
                <c:pt idx="4">
                  <c:v>597710477.95204294</c:v>
                </c:pt>
                <c:pt idx="5">
                  <c:v>762942274.00752366</c:v>
                </c:pt>
                <c:pt idx="6">
                  <c:v>679606777.0091691</c:v>
                </c:pt>
                <c:pt idx="7">
                  <c:v>1203249067.5405312</c:v>
                </c:pt>
                <c:pt idx="8">
                  <c:v>765066503.77703357</c:v>
                </c:pt>
                <c:pt idx="9">
                  <c:v>798944948.63916993</c:v>
                </c:pt>
                <c:pt idx="10">
                  <c:v>852213278.12550008</c:v>
                </c:pt>
                <c:pt idx="11">
                  <c:v>398701376.30268788</c:v>
                </c:pt>
                <c:pt idx="12">
                  <c:v>28753493.569900256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1-470B-A706-24C2BE12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90208"/>
        <c:axId val="206655112"/>
      </c:lineChart>
      <c:catAx>
        <c:axId val="20529020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112"/>
        <c:crosses val="autoZero"/>
        <c:auto val="1"/>
        <c:lblAlgn val="ctr"/>
        <c:lblOffset val="100"/>
        <c:noMultiLvlLbl val="0"/>
      </c:catAx>
      <c:valAx>
        <c:axId val="20665511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'Ewueibi Asset'!$A$278</c:f>
              <c:strCache>
                <c:ptCount val="1"/>
                <c:pt idx="0">
                  <c:v>Operating Cash Flow</c:v>
                </c:pt>
              </c:strCache>
            </c:strRef>
          </c:tx>
          <c:spPr>
            <a:solidFill>
              <a:srgbClr val="FFC00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Asset'!$G$278:$S$278</c:f>
              <c:numCache>
                <c:formatCode>#,##0_);\(#,##0\)</c:formatCode>
                <c:ptCount val="13"/>
                <c:pt idx="0">
                  <c:v>732512332.32710838</c:v>
                </c:pt>
                <c:pt idx="1">
                  <c:v>710930349.62629902</c:v>
                </c:pt>
                <c:pt idx="2">
                  <c:v>925728029.45084929</c:v>
                </c:pt>
                <c:pt idx="3">
                  <c:v>754722557.93490469</c:v>
                </c:pt>
                <c:pt idx="4">
                  <c:v>583815962.23389387</c:v>
                </c:pt>
                <c:pt idx="5">
                  <c:v>699592089.90200484</c:v>
                </c:pt>
                <c:pt idx="6">
                  <c:v>646066037.06523597</c:v>
                </c:pt>
                <c:pt idx="7">
                  <c:v>1013313657.5582501</c:v>
                </c:pt>
                <c:pt idx="8">
                  <c:v>717518907.74750316</c:v>
                </c:pt>
                <c:pt idx="9">
                  <c:v>744794157.70896208</c:v>
                </c:pt>
                <c:pt idx="10">
                  <c:v>791941937.40145814</c:v>
                </c:pt>
                <c:pt idx="11">
                  <c:v>496490203.96941537</c:v>
                </c:pt>
                <c:pt idx="12" formatCode="_(* #,##0_);_(* \(#,##0\);_(* &quot;-&quot;??_);_(@_)">
                  <c:v>-67687469.989560992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1BA-B1D8-4679E686FB0C}"/>
            </c:ext>
          </c:extLst>
        </c:ser>
        <c:ser>
          <c:idx val="1"/>
          <c:order val="1"/>
          <c:tx>
            <c:strRef>
              <c:f>'Ewueibi Asset'!$A$279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Asset'!$G$279:$R$279</c:f>
              <c:numCache>
                <c:formatCode>_(* #,##0_);_(* \(#,##0\);_(* "-"??_);_(@_)</c:formatCode>
                <c:ptCount val="12"/>
                <c:pt idx="0">
                  <c:v>-20744707.162643451</c:v>
                </c:pt>
                <c:pt idx="1">
                  <c:v>-20688027.634876665</c:v>
                </c:pt>
                <c:pt idx="2">
                  <c:v>-20688027.634876665</c:v>
                </c:pt>
                <c:pt idx="3">
                  <c:v>-20688027.634876665</c:v>
                </c:pt>
                <c:pt idx="4">
                  <c:v>-20744707.162643451</c:v>
                </c:pt>
                <c:pt idx="5">
                  <c:v>-20688027.634876665</c:v>
                </c:pt>
                <c:pt idx="6">
                  <c:v>-20688027.634876665</c:v>
                </c:pt>
                <c:pt idx="7">
                  <c:v>-20688027.634876665</c:v>
                </c:pt>
                <c:pt idx="8">
                  <c:v>-20744707.162643451</c:v>
                </c:pt>
                <c:pt idx="9">
                  <c:v>-20688027.634876665</c:v>
                </c:pt>
                <c:pt idx="10">
                  <c:v>-20688027.634876665</c:v>
                </c:pt>
                <c:pt idx="11">
                  <c:v>-20688027.634876665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2-41BA-B1D8-4679E686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360128"/>
        <c:axId val="205840248"/>
      </c:barChart>
      <c:lineChart>
        <c:grouping val="standard"/>
        <c:varyColors val="0"/>
        <c:ser>
          <c:idx val="2"/>
          <c:order val="2"/>
          <c:tx>
            <c:strRef>
              <c:f>'Ewueibi Asset'!$A$280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Asset'!$G$280:$S$280</c:f>
              <c:numCache>
                <c:formatCode>#,##0_);\(#,##0\)</c:formatCode>
                <c:ptCount val="13"/>
                <c:pt idx="0">
                  <c:v>711769649.16446495</c:v>
                </c:pt>
                <c:pt idx="1">
                  <c:v>690244346.99142241</c:v>
                </c:pt>
                <c:pt idx="2">
                  <c:v>905042027.81597269</c:v>
                </c:pt>
                <c:pt idx="3">
                  <c:v>734036557.30002809</c:v>
                </c:pt>
                <c:pt idx="4">
                  <c:v>563073283.07125044</c:v>
                </c:pt>
                <c:pt idx="5">
                  <c:v>678906091.26712823</c:v>
                </c:pt>
                <c:pt idx="6">
                  <c:v>625380039.43035936</c:v>
                </c:pt>
                <c:pt idx="7">
                  <c:v>992627660.92337346</c:v>
                </c:pt>
                <c:pt idx="8">
                  <c:v>696776232.58485973</c:v>
                </c:pt>
                <c:pt idx="9">
                  <c:v>724108163.07408547</c:v>
                </c:pt>
                <c:pt idx="10">
                  <c:v>771255943.76658154</c:v>
                </c:pt>
                <c:pt idx="11">
                  <c:v>475804211.3345387</c:v>
                </c:pt>
                <c:pt idx="12" formatCode="_(* #,##0_);_(* \(#,##0\);_(* &quot;-&quot;??_);_(@_)">
                  <c:v>-69259063.787740648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2-41BA-B1D8-4679E686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0128"/>
        <c:axId val="205840248"/>
      </c:lineChart>
      <c:catAx>
        <c:axId val="20536012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248"/>
        <c:crosses val="autoZero"/>
        <c:auto val="1"/>
        <c:lblAlgn val="ctr"/>
        <c:lblOffset val="100"/>
        <c:noMultiLvlLbl val="0"/>
      </c:catAx>
      <c:valAx>
        <c:axId val="205840248"/>
        <c:scaling>
          <c:orientation val="minMax"/>
          <c:min val="-100000000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'Ewueibi Asset'!$A$285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Asset'!$F$285:$S$285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711769649.16446495</c:v>
                </c:pt>
                <c:pt idx="2">
                  <c:v>690244346.99142241</c:v>
                </c:pt>
                <c:pt idx="3">
                  <c:v>905042027.81597269</c:v>
                </c:pt>
                <c:pt idx="4">
                  <c:v>734036557.30002809</c:v>
                </c:pt>
                <c:pt idx="5">
                  <c:v>563073283.07125044</c:v>
                </c:pt>
                <c:pt idx="6">
                  <c:v>678906091.26712823</c:v>
                </c:pt>
                <c:pt idx="7">
                  <c:v>625380039.43035936</c:v>
                </c:pt>
                <c:pt idx="8">
                  <c:v>992627660.92337346</c:v>
                </c:pt>
                <c:pt idx="9">
                  <c:v>696776232.58485973</c:v>
                </c:pt>
                <c:pt idx="10">
                  <c:v>724108163.07408547</c:v>
                </c:pt>
                <c:pt idx="11">
                  <c:v>771255943.76658154</c:v>
                </c:pt>
                <c:pt idx="12">
                  <c:v>475804211.3345387</c:v>
                </c:pt>
                <c:pt idx="13">
                  <c:v>-69259063.787740648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8-4782-B684-C5FE59DE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389512"/>
        <c:axId val="205538472"/>
      </c:barChart>
      <c:lineChart>
        <c:grouping val="standard"/>
        <c:varyColors val="0"/>
        <c:ser>
          <c:idx val="2"/>
          <c:order val="0"/>
          <c:tx>
            <c:strRef>
              <c:f>'Ewueibi Asset'!$A$284</c:f>
              <c:strCache>
                <c:ptCount val="1"/>
                <c:pt idx="0">
                  <c:v>Cumulative Free Cash Flow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Asset'!$F$284:$S$284</c:f>
              <c:numCache>
                <c:formatCode>_(* #,##0_);_(* \(#,##0\);_(* "-"??_);_(@_)</c:formatCode>
                <c:ptCount val="14"/>
                <c:pt idx="0">
                  <c:v>-4500000000</c:v>
                </c:pt>
                <c:pt idx="1">
                  <c:v>-3788232374.835535</c:v>
                </c:pt>
                <c:pt idx="2">
                  <c:v>-3097990052.8441124</c:v>
                </c:pt>
                <c:pt idx="3">
                  <c:v>-2192950051.0281396</c:v>
                </c:pt>
                <c:pt idx="4">
                  <c:v>-1458915520.7281115</c:v>
                </c:pt>
                <c:pt idx="5">
                  <c:v>-895844265.65686107</c:v>
                </c:pt>
                <c:pt idx="6">
                  <c:v>-216940203.38973284</c:v>
                </c:pt>
                <c:pt idx="7">
                  <c:v>408437806.04062653</c:v>
                </c:pt>
                <c:pt idx="8">
                  <c:v>1401063435.964</c:v>
                </c:pt>
                <c:pt idx="9">
                  <c:v>2097837636.5488596</c:v>
                </c:pt>
                <c:pt idx="10">
                  <c:v>2821943766.6229448</c:v>
                </c:pt>
                <c:pt idx="11">
                  <c:v>3593197676.3895264</c:v>
                </c:pt>
                <c:pt idx="12">
                  <c:v>4068999852.7240648</c:v>
                </c:pt>
                <c:pt idx="13">
                  <c:v>3999738752.9363241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8-4782-B684-C5FE59DE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89512"/>
        <c:axId val="205538472"/>
      </c:lineChart>
      <c:catAx>
        <c:axId val="132389512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38472"/>
        <c:crosses val="autoZero"/>
        <c:auto val="1"/>
        <c:lblAlgn val="ctr"/>
        <c:lblOffset val="100"/>
        <c:noMultiLvlLbl val="0"/>
      </c:catAx>
      <c:valAx>
        <c:axId val="20553847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'Ewueibi Asset'!$A$287</c:f>
              <c:strCache>
                <c:ptCount val="1"/>
                <c:pt idx="0">
                  <c:v>Gold Production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Asset'!$G$287:$S$287</c:f>
              <c:numCache>
                <c:formatCode>#,##0_);\(#,##0\)</c:formatCode>
                <c:ptCount val="13"/>
                <c:pt idx="0">
                  <c:v>628548.85406251438</c:v>
                </c:pt>
                <c:pt idx="1">
                  <c:v>600440.02862085169</c:v>
                </c:pt>
                <c:pt idx="2">
                  <c:v>717894.69529657217</c:v>
                </c:pt>
                <c:pt idx="3">
                  <c:v>612315.87138837157</c:v>
                </c:pt>
                <c:pt idx="4">
                  <c:v>509186.7671848184</c:v>
                </c:pt>
                <c:pt idx="5">
                  <c:v>579521.76426784543</c:v>
                </c:pt>
                <c:pt idx="6">
                  <c:v>545707.88369228225</c:v>
                </c:pt>
                <c:pt idx="7">
                  <c:v>768870.45952367608</c:v>
                </c:pt>
                <c:pt idx="8">
                  <c:v>586338.82691853924</c:v>
                </c:pt>
                <c:pt idx="9">
                  <c:v>602776.47160011379</c:v>
                </c:pt>
                <c:pt idx="10">
                  <c:v>629445.4837280442</c:v>
                </c:pt>
                <c:pt idx="11">
                  <c:v>446041.16411834705</c:v>
                </c:pt>
                <c:pt idx="12">
                  <c:v>33928.01283231462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9-4B1C-8567-4EF25B74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290208"/>
        <c:axId val="206655112"/>
      </c:barChart>
      <c:lineChart>
        <c:grouping val="standard"/>
        <c:varyColors val="0"/>
        <c:ser>
          <c:idx val="2"/>
          <c:order val="0"/>
          <c:tx>
            <c:strRef>
              <c:f>'Ewueibi Asset'!$A$288</c:f>
              <c:strCache>
                <c:ptCount val="1"/>
                <c:pt idx="0">
                  <c:v>All-In Cost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Asset'!$G$288:$S$288</c:f>
              <c:numCache>
                <c:formatCode>#,##0_);\(#,##0\)</c:formatCode>
                <c:ptCount val="13"/>
                <c:pt idx="0">
                  <c:v>785.29180404558724</c:v>
                </c:pt>
                <c:pt idx="1">
                  <c:v>815.0194470476597</c:v>
                </c:pt>
                <c:pt idx="2">
                  <c:v>687.15201019518258</c:v>
                </c:pt>
                <c:pt idx="3">
                  <c:v>798.07082595308987</c:v>
                </c:pt>
                <c:pt idx="4">
                  <c:v>953.90413637143229</c:v>
                </c:pt>
                <c:pt idx="5">
                  <c:v>841.06042123989789</c:v>
                </c:pt>
                <c:pt idx="6">
                  <c:v>890.35665793754299</c:v>
                </c:pt>
                <c:pt idx="7">
                  <c:v>644.89255630768412</c:v>
                </c:pt>
                <c:pt idx="8">
                  <c:v>833.49850756636283</c:v>
                </c:pt>
                <c:pt idx="9">
                  <c:v>809.8301627109372</c:v>
                </c:pt>
                <c:pt idx="10">
                  <c:v>777.1381032920126</c:v>
                </c:pt>
                <c:pt idx="11">
                  <c:v>1079.6611009576166</c:v>
                </c:pt>
                <c:pt idx="12">
                  <c:v>1079.6611009576166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9-4B1C-8567-4EF25B74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2952"/>
        <c:axId val="206868472"/>
      </c:lineChart>
      <c:catAx>
        <c:axId val="20529020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112"/>
        <c:crosses val="autoZero"/>
        <c:auto val="1"/>
        <c:lblAlgn val="ctr"/>
        <c:lblOffset val="100"/>
        <c:noMultiLvlLbl val="0"/>
      </c:catAx>
      <c:valAx>
        <c:axId val="20665511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208"/>
        <c:crosses val="autoZero"/>
        <c:crossBetween val="between"/>
      </c:valAx>
      <c:valAx>
        <c:axId val="206868472"/>
        <c:scaling>
          <c:orientation val="minMax"/>
          <c:min val="400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72952"/>
        <c:crosses val="max"/>
        <c:crossBetween val="between"/>
      </c:valAx>
      <c:catAx>
        <c:axId val="206872952"/>
        <c:scaling>
          <c:orientation val="minMax"/>
        </c:scaling>
        <c:delete val="1"/>
        <c:axPos val="b"/>
        <c:numFmt formatCode="0&quot;E&quot;" sourceLinked="1"/>
        <c:majorTickMark val="out"/>
        <c:minorTickMark val="none"/>
        <c:tickLblPos val="nextTo"/>
        <c:crossAx val="206868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'Ewueibi Asset'!$A$280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rgbClr val="FFC653"/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'Ewueibi Asset'!$G$280:$S$280</c:f>
              <c:numCache>
                <c:formatCode>#,##0_);\(#,##0\)</c:formatCode>
                <c:ptCount val="13"/>
                <c:pt idx="0">
                  <c:v>711769649.16446495</c:v>
                </c:pt>
                <c:pt idx="1">
                  <c:v>690244346.99142241</c:v>
                </c:pt>
                <c:pt idx="2">
                  <c:v>905042027.81597269</c:v>
                </c:pt>
                <c:pt idx="3">
                  <c:v>734036557.30002809</c:v>
                </c:pt>
                <c:pt idx="4">
                  <c:v>563073283.07125044</c:v>
                </c:pt>
                <c:pt idx="5">
                  <c:v>678906091.26712823</c:v>
                </c:pt>
                <c:pt idx="6">
                  <c:v>625380039.43035936</c:v>
                </c:pt>
                <c:pt idx="7">
                  <c:v>992627660.92337346</c:v>
                </c:pt>
                <c:pt idx="8">
                  <c:v>696776232.58485973</c:v>
                </c:pt>
                <c:pt idx="9">
                  <c:v>724108163.07408547</c:v>
                </c:pt>
                <c:pt idx="10">
                  <c:v>771255943.76658154</c:v>
                </c:pt>
                <c:pt idx="11">
                  <c:v>475804211.3345387</c:v>
                </c:pt>
                <c:pt idx="12" formatCode="_(* #,##0_);_(* \(#,##0\);_(* &quot;-&quot;??_);_(@_)">
                  <c:v>-69259063.787740648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4-495E-993D-230D40C5098E}"/>
            </c:ext>
          </c:extLst>
        </c:ser>
        <c:ser>
          <c:idx val="2"/>
          <c:order val="0"/>
          <c:tx>
            <c:strRef>
              <c:f>'Ewueibi Asset'!$A$281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'Ewueibi Asset'!$G$277:$S$277</c:f>
              <c:numCache>
                <c:formatCode>0"E"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  <c:extLst xmlns:c15="http://schemas.microsoft.com/office/drawing/2012/chart"/>
            </c:numRef>
          </c:cat>
          <c:val>
            <c:numRef>
              <c:f>'Ewueibi Asset'!$G$281:$S$281</c:f>
              <c:numCache>
                <c:formatCode>#,##0_);\(#,##0\)</c:formatCode>
                <c:ptCount val="13"/>
                <c:pt idx="0">
                  <c:v>824308912.9318558</c:v>
                </c:pt>
                <c:pt idx="1">
                  <c:v>791636593.28274786</c:v>
                </c:pt>
                <c:pt idx="2">
                  <c:v>1098206336.2334902</c:v>
                </c:pt>
                <c:pt idx="3">
                  <c:v>846183046.42483091</c:v>
                </c:pt>
                <c:pt idx="4">
                  <c:v>597710477.95204294</c:v>
                </c:pt>
                <c:pt idx="5">
                  <c:v>762942274.00752366</c:v>
                </c:pt>
                <c:pt idx="6">
                  <c:v>679606777.0091691</c:v>
                </c:pt>
                <c:pt idx="7">
                  <c:v>1203249067.5405312</c:v>
                </c:pt>
                <c:pt idx="8">
                  <c:v>765066503.77703357</c:v>
                </c:pt>
                <c:pt idx="9">
                  <c:v>798944948.63916993</c:v>
                </c:pt>
                <c:pt idx="10">
                  <c:v>852213278.12550008</c:v>
                </c:pt>
                <c:pt idx="11">
                  <c:v>398701376.30268788</c:v>
                </c:pt>
                <c:pt idx="12">
                  <c:v>28753493.569900256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4-495E-993D-230D40C5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90208"/>
        <c:axId val="206655112"/>
      </c:lineChart>
      <c:catAx>
        <c:axId val="205290208"/>
        <c:scaling>
          <c:orientation val="minMax"/>
        </c:scaling>
        <c:delete val="0"/>
        <c:axPos val="b"/>
        <c:numFmt formatCode="0&quot;E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112"/>
        <c:crosses val="autoZero"/>
        <c:auto val="1"/>
        <c:lblAlgn val="ctr"/>
        <c:lblOffset val="100"/>
        <c:noMultiLvlLbl val="0"/>
      </c:catAx>
      <c:valAx>
        <c:axId val="20665511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806822</xdr:colOff>
      <xdr:row>250</xdr:row>
      <xdr:rowOff>124199</xdr:rowOff>
    </xdr:from>
    <xdr:to>
      <xdr:col>6</xdr:col>
      <xdr:colOff>610721</xdr:colOff>
      <xdr:row>256</xdr:row>
      <xdr:rowOff>151279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18161" y="46600597"/>
          <a:ext cx="784413" cy="10692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0"/>
        <a:lstStyle/>
        <a:p>
          <a:r>
            <a:rPr lang="en-US" sz="1100">
              <a:solidFill>
                <a:srgbClr val="FFC000"/>
              </a:solidFill>
            </a:rPr>
            <a:t>Mining Cost ($/tonne)</a:t>
          </a:r>
        </a:p>
      </xdr:txBody>
    </xdr:sp>
    <xdr:clientData/>
  </xdr:twoCellAnchor>
  <xdr:twoCellAnchor>
    <xdr:from>
      <xdr:col>5</xdr:col>
      <xdr:colOff>860237</xdr:colOff>
      <xdr:row>265</xdr:row>
      <xdr:rowOff>63406</xdr:rowOff>
    </xdr:from>
    <xdr:to>
      <xdr:col>6</xdr:col>
      <xdr:colOff>621927</xdr:colOff>
      <xdr:row>270</xdr:row>
      <xdr:rowOff>124386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71576" y="49173186"/>
          <a:ext cx="742204" cy="9294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0"/>
        <a:lstStyle/>
        <a:p>
          <a:r>
            <a:rPr lang="en-US" sz="1100">
              <a:solidFill>
                <a:srgbClr val="FFC000"/>
              </a:solidFill>
            </a:rPr>
            <a:t>Discount Rate (%)</a:t>
          </a:r>
        </a:p>
      </xdr:txBody>
    </xdr:sp>
    <xdr:clientData/>
  </xdr:twoCellAnchor>
  <xdr:twoCellAnchor>
    <xdr:from>
      <xdr:col>0</xdr:col>
      <xdr:colOff>18412</xdr:colOff>
      <xdr:row>293</xdr:row>
      <xdr:rowOff>14603</xdr:rowOff>
    </xdr:from>
    <xdr:to>
      <xdr:col>6</xdr:col>
      <xdr:colOff>398737</xdr:colOff>
      <xdr:row>308</xdr:row>
      <xdr:rowOff>111353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878206</xdr:colOff>
      <xdr:row>293</xdr:row>
      <xdr:rowOff>14603</xdr:rowOff>
    </xdr:from>
    <xdr:to>
      <xdr:col>11</xdr:col>
      <xdr:colOff>1039456</xdr:colOff>
      <xdr:row>308</xdr:row>
      <xdr:rowOff>111353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430530</xdr:colOff>
      <xdr:row>293</xdr:row>
      <xdr:rowOff>14603</xdr:rowOff>
    </xdr:from>
    <xdr:to>
      <xdr:col>17</xdr:col>
      <xdr:colOff>591780</xdr:colOff>
      <xdr:row>308</xdr:row>
      <xdr:rowOff>111353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</xdr:colOff>
      <xdr:row>310</xdr:row>
      <xdr:rowOff>52917</xdr:rowOff>
    </xdr:from>
    <xdr:to>
      <xdr:col>6</xdr:col>
      <xdr:colOff>415250</xdr:colOff>
      <xdr:row>325</xdr:row>
      <xdr:rowOff>149667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5175D-9CCE-4802-837C-4D6E528DC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19049</xdr:rowOff>
    </xdr:from>
    <xdr:to>
      <xdr:col>13</xdr:col>
      <xdr:colOff>666750</xdr:colOff>
      <xdr:row>25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485F7-71C5-4078-91DF-908110F6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</xdr:row>
      <xdr:rowOff>9524</xdr:rowOff>
    </xdr:from>
    <xdr:to>
      <xdr:col>26</xdr:col>
      <xdr:colOff>647700</xdr:colOff>
      <xdr:row>25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875BA-D345-406E-9DE2-042624A69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26</xdr:row>
      <xdr:rowOff>19050</xdr:rowOff>
    </xdr:from>
    <xdr:to>
      <xdr:col>13</xdr:col>
      <xdr:colOff>657226</xdr:colOff>
      <xdr:row>50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F9808-92E0-4785-8AF2-3FC78658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19049</xdr:colOff>
      <xdr:row>26</xdr:row>
      <xdr:rowOff>28575</xdr:rowOff>
    </xdr:from>
    <xdr:to>
      <xdr:col>26</xdr:col>
      <xdr:colOff>676274</xdr:colOff>
      <xdr:row>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B3AC59-C626-44A4-9CBB-6AF5B27E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293952</xdr:colOff>
      <xdr:row>29</xdr:row>
      <xdr:rowOff>27812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3C8F8-0F55-0FB5-5F18-EA457D24C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80952" cy="6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15</xdr:col>
      <xdr:colOff>189190</xdr:colOff>
      <xdr:row>58</xdr:row>
      <xdr:rowOff>85059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20F96-EAB4-F741-AAC8-957A30B7D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86500"/>
          <a:ext cx="10476190" cy="5323809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C051-23E7-4AFC-B097-261E6C7BA0EB}">
  <dimension ref="B7:N25"/>
  <sheetViews>
    <sheetView workbookViewId="0">
      <selection activeCell="F15" sqref="F15"/>
    </sheetView>
  </sheetViews>
  <sheetFormatPr defaultRowHeight="16.5" x14ac:dyDescent="0.3"/>
  <cols>
    <col min="1" max="16384" width="9" style="2"/>
  </cols>
  <sheetData>
    <row r="7" spans="2:1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26.25" customHeight="1" x14ac:dyDescent="0.3">
      <c r="B8" s="3"/>
      <c r="C8" s="143" t="s">
        <v>173</v>
      </c>
      <c r="D8" s="143"/>
      <c r="E8" s="143"/>
      <c r="F8" s="143"/>
      <c r="G8" s="143"/>
      <c r="H8" s="3"/>
      <c r="I8" s="3"/>
      <c r="J8" s="3"/>
      <c r="K8" s="3"/>
      <c r="L8" s="3"/>
      <c r="M8" s="3"/>
      <c r="N8" s="3"/>
    </row>
    <row r="9" spans="2:14" ht="26.25" customHeight="1" x14ac:dyDescent="0.3">
      <c r="B9" s="3"/>
      <c r="C9" s="143"/>
      <c r="D9" s="143"/>
      <c r="E9" s="143"/>
      <c r="F9" s="143"/>
      <c r="G9" s="143"/>
      <c r="H9" s="3"/>
      <c r="I9" s="3"/>
      <c r="J9" s="3"/>
      <c r="K9" s="3"/>
      <c r="L9" s="3"/>
      <c r="M9" s="3"/>
      <c r="N9" s="3"/>
    </row>
    <row r="10" spans="2:14" ht="26.25" customHeight="1" x14ac:dyDescent="0.3">
      <c r="B10" s="3"/>
      <c r="C10" s="143"/>
      <c r="D10" s="143"/>
      <c r="E10" s="143"/>
      <c r="F10" s="143"/>
      <c r="G10" s="143"/>
      <c r="H10" s="3"/>
      <c r="I10" s="3"/>
      <c r="J10" s="3"/>
      <c r="K10" s="3"/>
      <c r="L10" s="3"/>
      <c r="M10" s="3"/>
      <c r="N10" s="3"/>
    </row>
    <row r="11" spans="2:14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3"/>
      <c r="M11" s="3"/>
      <c r="N11" s="3"/>
    </row>
    <row r="12" spans="2:14" ht="19.5" x14ac:dyDescent="0.3">
      <c r="B12" s="5"/>
      <c r="C12" s="12" t="s">
        <v>172</v>
      </c>
      <c r="D12" s="13"/>
      <c r="E12" s="13"/>
      <c r="F12" s="6"/>
      <c r="G12" s="6"/>
      <c r="H12" s="5"/>
      <c r="I12" s="5"/>
      <c r="J12" s="5"/>
      <c r="K12" s="5"/>
      <c r="L12" s="3"/>
      <c r="M12" s="3"/>
      <c r="N12" s="3"/>
    </row>
    <row r="13" spans="2:14" x14ac:dyDescent="0.3">
      <c r="B13" s="5"/>
      <c r="C13" s="7"/>
      <c r="D13" s="6"/>
      <c r="E13" s="6"/>
      <c r="F13" s="6"/>
      <c r="G13" s="6"/>
      <c r="H13" s="5"/>
      <c r="I13" s="5"/>
      <c r="J13" s="5"/>
      <c r="K13" s="5"/>
      <c r="L13" s="3"/>
      <c r="M13" s="3"/>
      <c r="N13" s="3"/>
    </row>
    <row r="14" spans="2:14" x14ac:dyDescent="0.3">
      <c r="B14" s="8"/>
      <c r="C14" s="9" t="s">
        <v>162</v>
      </c>
      <c r="D14" s="10"/>
      <c r="E14" s="10"/>
      <c r="F14" s="10"/>
      <c r="G14" s="10"/>
      <c r="H14" s="8"/>
      <c r="I14" s="8"/>
      <c r="J14" s="8"/>
      <c r="K14" s="8"/>
      <c r="L14" s="3"/>
      <c r="M14" s="3"/>
      <c r="N14" s="3"/>
    </row>
    <row r="15" spans="2:14" x14ac:dyDescent="0.3">
      <c r="B15" s="8"/>
      <c r="C15" s="179" t="str">
        <f ca="1">RIGHT(CELL("filename",'Ewueibi Asset'!A1),LEN(CELL("filename",'Ewueibi Asset'!A1))-FIND("]",CELL("filename",'Ewueibi Asset'!A1)))</f>
        <v>Ewueibi Asset</v>
      </c>
      <c r="D15" s="10"/>
      <c r="E15" s="10"/>
      <c r="F15" s="10"/>
      <c r="G15" s="10"/>
      <c r="H15" s="8"/>
      <c r="I15" s="8"/>
      <c r="J15" s="8"/>
      <c r="K15" s="8"/>
      <c r="L15" s="3"/>
      <c r="M15" s="3"/>
      <c r="N15" s="3"/>
    </row>
    <row r="16" spans="2:14" x14ac:dyDescent="0.3">
      <c r="B16" s="8"/>
      <c r="C16" s="179" t="s">
        <v>176</v>
      </c>
      <c r="D16" s="10"/>
      <c r="E16" s="10"/>
      <c r="F16" s="10"/>
      <c r="G16" s="10"/>
      <c r="H16" s="8"/>
      <c r="I16" s="8"/>
      <c r="J16" s="8"/>
      <c r="K16" s="8"/>
      <c r="L16" s="3"/>
      <c r="M16" s="3"/>
      <c r="N16" s="3"/>
    </row>
    <row r="17" spans="2:14" x14ac:dyDescent="0.3">
      <c r="B17" s="8"/>
      <c r="C17" s="179" t="s">
        <v>177</v>
      </c>
      <c r="D17" s="10"/>
      <c r="E17" s="10"/>
      <c r="F17" s="10"/>
      <c r="G17" s="10"/>
      <c r="H17" s="8"/>
      <c r="I17" s="8"/>
      <c r="J17" s="8"/>
      <c r="K17" s="8"/>
      <c r="L17" s="3"/>
      <c r="M17" s="3"/>
      <c r="N17" s="3"/>
    </row>
    <row r="18" spans="2:14" x14ac:dyDescent="0.3">
      <c r="B18" s="8"/>
      <c r="C18" s="10"/>
      <c r="D18" s="10"/>
      <c r="E18" s="10"/>
      <c r="F18" s="10"/>
      <c r="G18" s="10"/>
      <c r="H18" s="8"/>
      <c r="I18" s="8"/>
      <c r="J18" s="8"/>
      <c r="K18" s="8"/>
      <c r="L18" s="3"/>
      <c r="M18" s="3"/>
      <c r="N18" s="3"/>
    </row>
    <row r="19" spans="2:14" x14ac:dyDescent="0.3">
      <c r="B19" s="8"/>
      <c r="C19" s="178" t="s">
        <v>178</v>
      </c>
      <c r="D19" s="10"/>
      <c r="E19" s="10"/>
      <c r="F19" s="10"/>
      <c r="G19" s="10"/>
      <c r="H19" s="8"/>
      <c r="I19" s="8"/>
      <c r="J19" s="8"/>
      <c r="K19" s="8"/>
      <c r="L19" s="3"/>
      <c r="M19" s="3"/>
      <c r="N19" s="3"/>
    </row>
    <row r="20" spans="2:14" x14ac:dyDescent="0.3">
      <c r="B20" s="8"/>
      <c r="C20" s="11" t="s">
        <v>171</v>
      </c>
      <c r="D20" s="11"/>
      <c r="E20" s="11"/>
      <c r="F20" s="11"/>
      <c r="G20" s="11"/>
      <c r="H20" s="8"/>
      <c r="I20" s="8"/>
      <c r="J20" s="8"/>
      <c r="K20" s="8"/>
      <c r="L20" s="3"/>
      <c r="M20" s="3"/>
      <c r="N20" s="3"/>
    </row>
    <row r="21" spans="2:14" x14ac:dyDescent="0.3">
      <c r="B21" s="8"/>
      <c r="C21" s="10"/>
      <c r="D21" s="10"/>
      <c r="E21" s="10"/>
      <c r="F21" s="10"/>
      <c r="G21" s="10"/>
      <c r="H21" s="8"/>
      <c r="I21" s="8"/>
      <c r="J21" s="8"/>
      <c r="K21" s="8"/>
      <c r="L21" s="3"/>
      <c r="M21" s="3"/>
      <c r="N21" s="3"/>
    </row>
    <row r="22" spans="2:14" x14ac:dyDescent="0.3">
      <c r="B22" s="8"/>
      <c r="C22" s="8"/>
      <c r="D22" s="8"/>
      <c r="E22" s="8"/>
      <c r="F22" s="8"/>
      <c r="G22" s="8"/>
      <c r="H22" s="8"/>
      <c r="I22" s="8"/>
      <c r="J22" s="8"/>
      <c r="K22" s="8"/>
      <c r="L22" s="3"/>
      <c r="M22" s="3"/>
      <c r="N22" s="3"/>
    </row>
    <row r="23" spans="2:14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mergeCells count="1">
    <mergeCell ref="C8:G10"/>
  </mergeCells>
  <hyperlinks>
    <hyperlink ref="C15" location="'Ewueibi Asset'!A1" display="'Ewueibi Asset'!A1" xr:uid="{6D471108-63F8-4AB4-B42E-1FF2CA03BAA0}"/>
    <hyperlink ref="C16" location="Charts!A1" display="Charts" xr:uid="{17152A40-A570-421A-A8CE-18FB2B031A80}"/>
    <hyperlink ref="C17" location="'Key Terms &amp; Infor'!A1" display="Terms" xr:uid="{9B8E04AE-416A-4FFB-93BD-C81DA065EE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3"/>
  <sheetViews>
    <sheetView showGridLines="0" zoomScale="90" zoomScaleNormal="100" workbookViewId="0">
      <pane ySplit="3" topLeftCell="A277" activePane="bottomLeft" state="frozen"/>
      <selection activeCell="B314" sqref="B314"/>
      <selection pane="bottomLeft" activeCell="G315" sqref="G315"/>
    </sheetView>
  </sheetViews>
  <sheetFormatPr defaultColWidth="11" defaultRowHeight="15" outlineLevelRow="2" x14ac:dyDescent="0.25"/>
  <cols>
    <col min="1" max="1" width="5.75" style="30" customWidth="1"/>
    <col min="2" max="2" width="8.375" style="30" customWidth="1"/>
    <col min="3" max="3" width="10.375" style="30" customWidth="1"/>
    <col min="4" max="4" width="13.875" style="30" customWidth="1"/>
    <col min="5" max="19" width="13.75" style="30" customWidth="1"/>
    <col min="20" max="16384" width="11" style="30"/>
  </cols>
  <sheetData>
    <row r="1" spans="1:19" s="17" customFormat="1" ht="16.5" customHeight="1" x14ac:dyDescent="0.25">
      <c r="A1" s="14" t="s">
        <v>174</v>
      </c>
      <c r="B1" s="15"/>
      <c r="C1" s="15"/>
      <c r="D1" s="15"/>
      <c r="E1" s="15"/>
      <c r="F1" s="16">
        <v>45292</v>
      </c>
      <c r="G1" s="16">
        <f>DATE(G2,12,31)</f>
        <v>45657</v>
      </c>
      <c r="H1" s="16">
        <f t="shared" ref="H1:S1" si="0">DATE(H2,12,31)</f>
        <v>46022</v>
      </c>
      <c r="I1" s="16">
        <f t="shared" si="0"/>
        <v>46387</v>
      </c>
      <c r="J1" s="16">
        <f t="shared" si="0"/>
        <v>46752</v>
      </c>
      <c r="K1" s="16">
        <f t="shared" si="0"/>
        <v>47118</v>
      </c>
      <c r="L1" s="16">
        <f t="shared" si="0"/>
        <v>47483</v>
      </c>
      <c r="M1" s="16">
        <f t="shared" si="0"/>
        <v>47848</v>
      </c>
      <c r="N1" s="16">
        <f t="shared" si="0"/>
        <v>48213</v>
      </c>
      <c r="O1" s="16">
        <f t="shared" si="0"/>
        <v>48579</v>
      </c>
      <c r="P1" s="16">
        <f t="shared" si="0"/>
        <v>48944</v>
      </c>
      <c r="Q1" s="16">
        <f t="shared" si="0"/>
        <v>49309</v>
      </c>
      <c r="R1" s="16">
        <f t="shared" si="0"/>
        <v>49674</v>
      </c>
      <c r="S1" s="16">
        <f t="shared" si="0"/>
        <v>50040</v>
      </c>
    </row>
    <row r="2" spans="1:19" s="17" customFormat="1" ht="16.5" customHeight="1" x14ac:dyDescent="0.3">
      <c r="A2" s="18" t="s">
        <v>18</v>
      </c>
      <c r="B2" s="19"/>
      <c r="C2" s="20">
        <f>F25</f>
        <v>2</v>
      </c>
      <c r="D2" s="21" t="s">
        <v>26</v>
      </c>
      <c r="E2" s="21" t="s">
        <v>27</v>
      </c>
      <c r="F2" s="21" t="s">
        <v>6</v>
      </c>
      <c r="G2" s="22">
        <v>2024</v>
      </c>
      <c r="H2" s="22">
        <f t="shared" ref="H2:S2" si="1">+G2+1</f>
        <v>2025</v>
      </c>
      <c r="I2" s="22">
        <f t="shared" si="1"/>
        <v>2026</v>
      </c>
      <c r="J2" s="22">
        <f t="shared" si="1"/>
        <v>2027</v>
      </c>
      <c r="K2" s="22">
        <f t="shared" si="1"/>
        <v>2028</v>
      </c>
      <c r="L2" s="22">
        <f t="shared" si="1"/>
        <v>2029</v>
      </c>
      <c r="M2" s="22">
        <f t="shared" si="1"/>
        <v>2030</v>
      </c>
      <c r="N2" s="22">
        <f t="shared" si="1"/>
        <v>2031</v>
      </c>
      <c r="O2" s="22">
        <f t="shared" si="1"/>
        <v>2032</v>
      </c>
      <c r="P2" s="22">
        <f t="shared" si="1"/>
        <v>2033</v>
      </c>
      <c r="Q2" s="22">
        <f t="shared" si="1"/>
        <v>2034</v>
      </c>
      <c r="R2" s="22">
        <f t="shared" si="1"/>
        <v>2035</v>
      </c>
      <c r="S2" s="22">
        <f t="shared" si="1"/>
        <v>2036</v>
      </c>
    </row>
    <row r="3" spans="1:19" s="26" customFormat="1" x14ac:dyDescent="0.25">
      <c r="A3" s="23" t="s">
        <v>17</v>
      </c>
      <c r="B3" s="23"/>
      <c r="C3" s="24"/>
      <c r="D3" s="24"/>
      <c r="E3" s="25"/>
      <c r="F3" s="25"/>
      <c r="G3" s="25" t="s">
        <v>155</v>
      </c>
      <c r="H3" s="25" t="s">
        <v>155</v>
      </c>
      <c r="I3" s="25" t="s">
        <v>155</v>
      </c>
      <c r="J3" s="25" t="s">
        <v>155</v>
      </c>
      <c r="K3" s="25" t="s">
        <v>155</v>
      </c>
      <c r="L3" s="25" t="s">
        <v>155</v>
      </c>
      <c r="M3" s="25" t="s">
        <v>155</v>
      </c>
      <c r="N3" s="25" t="s">
        <v>155</v>
      </c>
      <c r="O3" s="25" t="s">
        <v>155</v>
      </c>
      <c r="P3" s="25" t="s">
        <v>155</v>
      </c>
      <c r="Q3" s="25" t="s">
        <v>155</v>
      </c>
      <c r="R3" s="25" t="s">
        <v>155</v>
      </c>
      <c r="S3" s="25" t="s">
        <v>155</v>
      </c>
    </row>
    <row r="5" spans="1:19" s="28" customFormat="1" ht="18.75" customHeight="1" x14ac:dyDescent="0.3">
      <c r="A5" s="27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t="16.5" customHeight="1" outlineLevel="1" x14ac:dyDescent="0.25">
      <c r="A6" s="29"/>
      <c r="B6" s="29"/>
      <c r="C6" s="29"/>
    </row>
    <row r="7" spans="1:19" ht="16.5" customHeight="1" outlineLevel="1" x14ac:dyDescent="0.25">
      <c r="A7" s="29" t="s">
        <v>28</v>
      </c>
      <c r="B7" s="29"/>
      <c r="C7" s="29"/>
      <c r="D7" s="29" t="s">
        <v>25</v>
      </c>
    </row>
    <row r="8" spans="1:19" ht="16.5" customHeight="1" outlineLevel="1" x14ac:dyDescent="0.25"/>
    <row r="9" spans="1:19" ht="16.5" customHeight="1" outlineLevel="1" x14ac:dyDescent="0.25">
      <c r="D9" s="29" t="s">
        <v>29</v>
      </c>
    </row>
    <row r="10" spans="1:19" ht="16.5" customHeight="1" outlineLevel="1" x14ac:dyDescent="0.25">
      <c r="D10" s="31" t="s">
        <v>30</v>
      </c>
      <c r="E10" s="31"/>
      <c r="F10" s="32">
        <f>1/31.1034768</f>
        <v>3.2150746568627979E-2</v>
      </c>
    </row>
    <row r="11" spans="1:19" ht="16.5" customHeight="1" outlineLevel="1" x14ac:dyDescent="0.25">
      <c r="D11" s="30" t="s">
        <v>31</v>
      </c>
      <c r="F11" s="33">
        <v>4.53592E-4</v>
      </c>
    </row>
    <row r="12" spans="1:19" ht="16.5" customHeight="1" outlineLevel="1" x14ac:dyDescent="0.25">
      <c r="D12" s="30" t="s">
        <v>32</v>
      </c>
      <c r="F12" s="34">
        <v>31.103476799999999</v>
      </c>
    </row>
    <row r="13" spans="1:19" ht="16.5" customHeight="1" outlineLevel="1" x14ac:dyDescent="0.25"/>
    <row r="14" spans="1:19" ht="16.5" customHeight="1" outlineLevel="1" x14ac:dyDescent="0.25">
      <c r="A14" s="29" t="s">
        <v>33</v>
      </c>
      <c r="D14" s="29" t="s">
        <v>34</v>
      </c>
      <c r="G14" s="35">
        <v>2024</v>
      </c>
      <c r="H14" s="35">
        <f t="shared" ref="H14:S14" si="2">+G14+1</f>
        <v>2025</v>
      </c>
      <c r="I14" s="35">
        <f t="shared" si="2"/>
        <v>2026</v>
      </c>
      <c r="J14" s="35">
        <f t="shared" si="2"/>
        <v>2027</v>
      </c>
      <c r="K14" s="35">
        <f t="shared" si="2"/>
        <v>2028</v>
      </c>
      <c r="L14" s="35">
        <f t="shared" si="2"/>
        <v>2029</v>
      </c>
      <c r="M14" s="35">
        <f t="shared" si="2"/>
        <v>2030</v>
      </c>
      <c r="N14" s="35">
        <f t="shared" si="2"/>
        <v>2031</v>
      </c>
      <c r="O14" s="35">
        <f t="shared" si="2"/>
        <v>2032</v>
      </c>
      <c r="P14" s="35">
        <f t="shared" si="2"/>
        <v>2033</v>
      </c>
      <c r="Q14" s="35">
        <f t="shared" si="2"/>
        <v>2034</v>
      </c>
      <c r="R14" s="35">
        <f t="shared" si="2"/>
        <v>2035</v>
      </c>
      <c r="S14" s="35">
        <f t="shared" si="2"/>
        <v>2036</v>
      </c>
    </row>
    <row r="15" spans="1:19" ht="16.5" customHeight="1" outlineLevel="1" x14ac:dyDescent="0.25">
      <c r="A15" s="31" t="s">
        <v>35</v>
      </c>
      <c r="B15" s="31"/>
      <c r="C15" s="31"/>
      <c r="D15" s="36" t="s">
        <v>35</v>
      </c>
      <c r="E15" s="31"/>
      <c r="F15" s="37">
        <v>1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19" ht="16.5" customHeight="1" outlineLevel="1" x14ac:dyDescent="0.25">
      <c r="A16" s="30" t="s">
        <v>36</v>
      </c>
      <c r="D16" s="30" t="s">
        <v>37</v>
      </c>
      <c r="F16" s="39"/>
      <c r="G16" s="40">
        <v>2200</v>
      </c>
      <c r="H16" s="40">
        <v>2500</v>
      </c>
      <c r="I16" s="40">
        <v>2700</v>
      </c>
      <c r="J16" s="41">
        <f>I16</f>
        <v>2700</v>
      </c>
      <c r="K16" s="41">
        <f t="shared" ref="K16:S16" si="3">J16</f>
        <v>2700</v>
      </c>
      <c r="L16" s="41">
        <f t="shared" si="3"/>
        <v>2700</v>
      </c>
      <c r="M16" s="41">
        <f t="shared" si="3"/>
        <v>2700</v>
      </c>
      <c r="N16" s="41">
        <f t="shared" si="3"/>
        <v>2700</v>
      </c>
      <c r="O16" s="41">
        <f t="shared" si="3"/>
        <v>2700</v>
      </c>
      <c r="P16" s="41">
        <f t="shared" si="3"/>
        <v>2700</v>
      </c>
      <c r="Q16" s="41">
        <f t="shared" si="3"/>
        <v>2700</v>
      </c>
      <c r="R16" s="41">
        <f t="shared" si="3"/>
        <v>2700</v>
      </c>
      <c r="S16" s="41">
        <f t="shared" si="3"/>
        <v>2700</v>
      </c>
    </row>
    <row r="17" spans="1:19" ht="16.5" customHeight="1" outlineLevel="1" x14ac:dyDescent="0.25">
      <c r="A17" s="30" t="s">
        <v>38</v>
      </c>
      <c r="D17" s="30" t="s">
        <v>39</v>
      </c>
      <c r="F17" s="39"/>
      <c r="G17" s="40">
        <v>30</v>
      </c>
      <c r="H17" s="40">
        <v>32</v>
      </c>
      <c r="I17" s="34">
        <v>35</v>
      </c>
      <c r="J17" s="41">
        <f>I17</f>
        <v>35</v>
      </c>
      <c r="K17" s="41">
        <f t="shared" ref="K17:S17" si="4">J17</f>
        <v>35</v>
      </c>
      <c r="L17" s="41">
        <f t="shared" si="4"/>
        <v>35</v>
      </c>
      <c r="M17" s="41">
        <f t="shared" si="4"/>
        <v>35</v>
      </c>
      <c r="N17" s="41">
        <f t="shared" si="4"/>
        <v>35</v>
      </c>
      <c r="O17" s="41">
        <f t="shared" si="4"/>
        <v>35</v>
      </c>
      <c r="P17" s="41">
        <f t="shared" si="4"/>
        <v>35</v>
      </c>
      <c r="Q17" s="41">
        <f t="shared" si="4"/>
        <v>35</v>
      </c>
      <c r="R17" s="41">
        <f t="shared" si="4"/>
        <v>35</v>
      </c>
      <c r="S17" s="41">
        <f t="shared" si="4"/>
        <v>35</v>
      </c>
    </row>
    <row r="18" spans="1:19" ht="16.5" customHeight="1" outlineLevel="1" x14ac:dyDescent="0.25">
      <c r="D18" s="29" t="s">
        <v>36</v>
      </c>
      <c r="F18" s="39">
        <v>2</v>
      </c>
      <c r="G18" s="40"/>
      <c r="H18" s="41"/>
    </row>
    <row r="19" spans="1:19" ht="16.5" customHeight="1" outlineLevel="1" x14ac:dyDescent="0.25">
      <c r="D19" s="30" t="s">
        <v>37</v>
      </c>
      <c r="F19" s="39"/>
      <c r="G19" s="40">
        <v>2300</v>
      </c>
      <c r="H19" s="40">
        <v>2350</v>
      </c>
      <c r="I19" s="40">
        <v>2400</v>
      </c>
      <c r="J19" s="41">
        <f>I19</f>
        <v>2400</v>
      </c>
      <c r="K19" s="41">
        <f t="shared" ref="K19:S19" si="5">J19</f>
        <v>2400</v>
      </c>
      <c r="L19" s="41">
        <f t="shared" si="5"/>
        <v>2400</v>
      </c>
      <c r="M19" s="41">
        <f t="shared" si="5"/>
        <v>2400</v>
      </c>
      <c r="N19" s="41">
        <f t="shared" si="5"/>
        <v>2400</v>
      </c>
      <c r="O19" s="41">
        <f t="shared" si="5"/>
        <v>2400</v>
      </c>
      <c r="P19" s="41">
        <f t="shared" si="5"/>
        <v>2400</v>
      </c>
      <c r="Q19" s="41">
        <f t="shared" si="5"/>
        <v>2400</v>
      </c>
      <c r="R19" s="41">
        <f t="shared" si="5"/>
        <v>2400</v>
      </c>
      <c r="S19" s="41">
        <f t="shared" si="5"/>
        <v>2400</v>
      </c>
    </row>
    <row r="20" spans="1:19" ht="16.5" customHeight="1" outlineLevel="1" x14ac:dyDescent="0.25">
      <c r="D20" s="30" t="s">
        <v>39</v>
      </c>
      <c r="F20" s="39"/>
      <c r="G20" s="40">
        <v>29</v>
      </c>
      <c r="H20" s="40">
        <v>31</v>
      </c>
      <c r="I20" s="40">
        <v>32</v>
      </c>
      <c r="J20" s="41">
        <f>I20</f>
        <v>32</v>
      </c>
      <c r="K20" s="41">
        <f t="shared" ref="K20:S20" si="6">J20</f>
        <v>32</v>
      </c>
      <c r="L20" s="41">
        <f t="shared" si="6"/>
        <v>32</v>
      </c>
      <c r="M20" s="41">
        <f t="shared" si="6"/>
        <v>32</v>
      </c>
      <c r="N20" s="41">
        <f t="shared" si="6"/>
        <v>32</v>
      </c>
      <c r="O20" s="41">
        <f t="shared" si="6"/>
        <v>32</v>
      </c>
      <c r="P20" s="41">
        <f t="shared" si="6"/>
        <v>32</v>
      </c>
      <c r="Q20" s="41">
        <f t="shared" si="6"/>
        <v>32</v>
      </c>
      <c r="R20" s="41">
        <f t="shared" si="6"/>
        <v>32</v>
      </c>
      <c r="S20" s="41">
        <f t="shared" si="6"/>
        <v>32</v>
      </c>
    </row>
    <row r="21" spans="1:19" ht="16.5" customHeight="1" outlineLevel="1" x14ac:dyDescent="0.25">
      <c r="D21" s="29" t="s">
        <v>38</v>
      </c>
      <c r="F21" s="39">
        <v>3</v>
      </c>
    </row>
    <row r="22" spans="1:19" ht="16.5" customHeight="1" outlineLevel="1" x14ac:dyDescent="0.25">
      <c r="D22" s="30" t="s">
        <v>37</v>
      </c>
      <c r="G22" s="40">
        <v>2350</v>
      </c>
      <c r="H22" s="41">
        <f>G22</f>
        <v>2350</v>
      </c>
      <c r="I22" s="41">
        <f t="shared" ref="I22:J22" si="7">H22</f>
        <v>2350</v>
      </c>
      <c r="J22" s="41">
        <f t="shared" si="7"/>
        <v>2350</v>
      </c>
      <c r="K22" s="41">
        <f t="shared" ref="K22:S22" si="8">J22</f>
        <v>2350</v>
      </c>
      <c r="L22" s="41">
        <f t="shared" si="8"/>
        <v>2350</v>
      </c>
      <c r="M22" s="41">
        <f t="shared" si="8"/>
        <v>2350</v>
      </c>
      <c r="N22" s="41">
        <f t="shared" si="8"/>
        <v>2350</v>
      </c>
      <c r="O22" s="41">
        <f t="shared" si="8"/>
        <v>2350</v>
      </c>
      <c r="P22" s="41">
        <f t="shared" si="8"/>
        <v>2350</v>
      </c>
      <c r="Q22" s="41">
        <f t="shared" si="8"/>
        <v>2350</v>
      </c>
      <c r="R22" s="41">
        <f t="shared" si="8"/>
        <v>2350</v>
      </c>
      <c r="S22" s="41">
        <f t="shared" si="8"/>
        <v>2350</v>
      </c>
    </row>
    <row r="23" spans="1:19" ht="16.5" customHeight="1" outlineLevel="1" x14ac:dyDescent="0.25">
      <c r="D23" s="30" t="s">
        <v>39</v>
      </c>
      <c r="G23" s="30">
        <v>29.5</v>
      </c>
      <c r="H23" s="30">
        <f>G23</f>
        <v>29.5</v>
      </c>
      <c r="I23" s="30">
        <f t="shared" ref="I23:J23" si="9">H23</f>
        <v>29.5</v>
      </c>
      <c r="J23" s="30">
        <f t="shared" si="9"/>
        <v>29.5</v>
      </c>
      <c r="K23" s="30">
        <f t="shared" ref="K23:S23" si="10">J23</f>
        <v>29.5</v>
      </c>
      <c r="L23" s="30">
        <f t="shared" si="10"/>
        <v>29.5</v>
      </c>
      <c r="M23" s="30">
        <f t="shared" si="10"/>
        <v>29.5</v>
      </c>
      <c r="N23" s="30">
        <f t="shared" si="10"/>
        <v>29.5</v>
      </c>
      <c r="O23" s="30">
        <f t="shared" si="10"/>
        <v>29.5</v>
      </c>
      <c r="P23" s="30">
        <f t="shared" si="10"/>
        <v>29.5</v>
      </c>
      <c r="Q23" s="30">
        <f t="shared" si="10"/>
        <v>29.5</v>
      </c>
      <c r="R23" s="30">
        <f t="shared" si="10"/>
        <v>29.5</v>
      </c>
      <c r="S23" s="30">
        <f t="shared" si="10"/>
        <v>29.5</v>
      </c>
    </row>
    <row r="24" spans="1:19" ht="16.5" customHeight="1" outlineLevel="1" x14ac:dyDescent="0.25">
      <c r="D24" s="29" t="s">
        <v>40</v>
      </c>
      <c r="F24" s="42" t="s">
        <v>36</v>
      </c>
      <c r="G24" s="30">
        <f>CHOOSE($F$25,G16,G19,G22)</f>
        <v>2300</v>
      </c>
      <c r="H24" s="30">
        <f t="shared" ref="H24:S24" si="11">CHOOSE($F$25,H16,H19,H22)</f>
        <v>2350</v>
      </c>
      <c r="I24" s="30">
        <f t="shared" si="11"/>
        <v>2400</v>
      </c>
      <c r="J24" s="30">
        <f t="shared" si="11"/>
        <v>2400</v>
      </c>
      <c r="K24" s="30">
        <f t="shared" si="11"/>
        <v>2400</v>
      </c>
      <c r="L24" s="30">
        <f t="shared" si="11"/>
        <v>2400</v>
      </c>
      <c r="M24" s="30">
        <f t="shared" si="11"/>
        <v>2400</v>
      </c>
      <c r="N24" s="30">
        <f t="shared" si="11"/>
        <v>2400</v>
      </c>
      <c r="O24" s="30">
        <f t="shared" si="11"/>
        <v>2400</v>
      </c>
      <c r="P24" s="30">
        <f t="shared" si="11"/>
        <v>2400</v>
      </c>
      <c r="Q24" s="30">
        <f t="shared" si="11"/>
        <v>2400</v>
      </c>
      <c r="R24" s="30">
        <f t="shared" si="11"/>
        <v>2400</v>
      </c>
      <c r="S24" s="30">
        <f t="shared" si="11"/>
        <v>2400</v>
      </c>
    </row>
    <row r="25" spans="1:19" ht="16.5" customHeight="1" outlineLevel="1" x14ac:dyDescent="0.25">
      <c r="D25" s="30" t="s">
        <v>37</v>
      </c>
      <c r="F25" s="43">
        <f>INDEX(F15:F23,MATCH(F24,D15:D23,0),0)</f>
        <v>2</v>
      </c>
      <c r="G25" s="30">
        <f>CHOOSE($F$25,G17,G20,G23)</f>
        <v>29</v>
      </c>
      <c r="H25" s="30">
        <f t="shared" ref="H25:S25" si="12">CHOOSE($F$25,H17,H20,H23)</f>
        <v>31</v>
      </c>
      <c r="I25" s="30">
        <f t="shared" si="12"/>
        <v>32</v>
      </c>
      <c r="J25" s="30">
        <f t="shared" si="12"/>
        <v>32</v>
      </c>
      <c r="K25" s="30">
        <f t="shared" si="12"/>
        <v>32</v>
      </c>
      <c r="L25" s="30">
        <f t="shared" si="12"/>
        <v>32</v>
      </c>
      <c r="M25" s="30">
        <f t="shared" si="12"/>
        <v>32</v>
      </c>
      <c r="N25" s="30">
        <f t="shared" si="12"/>
        <v>32</v>
      </c>
      <c r="O25" s="30">
        <f t="shared" si="12"/>
        <v>32</v>
      </c>
      <c r="P25" s="30">
        <f t="shared" si="12"/>
        <v>32</v>
      </c>
      <c r="Q25" s="30">
        <f t="shared" si="12"/>
        <v>32</v>
      </c>
      <c r="R25" s="30">
        <f t="shared" si="12"/>
        <v>32</v>
      </c>
      <c r="S25" s="30">
        <f t="shared" si="12"/>
        <v>32</v>
      </c>
    </row>
    <row r="26" spans="1:19" ht="16.5" customHeight="1" outlineLevel="1" x14ac:dyDescent="0.25">
      <c r="D26" s="30" t="s">
        <v>39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</row>
    <row r="27" spans="1:19" ht="16.5" customHeight="1" outlineLevel="1" x14ac:dyDescent="0.25"/>
    <row r="28" spans="1:19" ht="16.5" customHeight="1" outlineLevel="1" x14ac:dyDescent="0.25">
      <c r="D28" s="29" t="s">
        <v>41</v>
      </c>
      <c r="G28" s="35">
        <v>2024</v>
      </c>
      <c r="H28" s="35">
        <f t="shared" ref="H28:S28" si="13">+G28+1</f>
        <v>2025</v>
      </c>
      <c r="I28" s="35">
        <f t="shared" si="13"/>
        <v>2026</v>
      </c>
      <c r="J28" s="35">
        <f t="shared" si="13"/>
        <v>2027</v>
      </c>
      <c r="K28" s="35">
        <f t="shared" si="13"/>
        <v>2028</v>
      </c>
      <c r="L28" s="35">
        <f t="shared" si="13"/>
        <v>2029</v>
      </c>
      <c r="M28" s="35">
        <f t="shared" si="13"/>
        <v>2030</v>
      </c>
      <c r="N28" s="35">
        <f t="shared" si="13"/>
        <v>2031</v>
      </c>
      <c r="O28" s="35">
        <f t="shared" si="13"/>
        <v>2032</v>
      </c>
      <c r="P28" s="35">
        <f t="shared" si="13"/>
        <v>2033</v>
      </c>
      <c r="Q28" s="35">
        <f t="shared" si="13"/>
        <v>2034</v>
      </c>
      <c r="R28" s="35">
        <f t="shared" si="13"/>
        <v>2035</v>
      </c>
      <c r="S28" s="35">
        <f t="shared" si="13"/>
        <v>2036</v>
      </c>
    </row>
    <row r="29" spans="1:19" ht="16.5" customHeight="1" outlineLevel="1" x14ac:dyDescent="0.25">
      <c r="A29" s="30" t="s">
        <v>167</v>
      </c>
      <c r="D29" s="31" t="s">
        <v>42</v>
      </c>
      <c r="E29" s="31" t="s">
        <v>43</v>
      </c>
      <c r="F29" s="44">
        <f>SUM(G29:S29)</f>
        <v>242592000</v>
      </c>
      <c r="G29" s="40">
        <v>20130000</v>
      </c>
      <c r="H29" s="40">
        <v>20075000</v>
      </c>
      <c r="I29" s="40">
        <v>20075000</v>
      </c>
      <c r="J29" s="40">
        <v>20075000</v>
      </c>
      <c r="K29" s="40">
        <v>20130000</v>
      </c>
      <c r="L29" s="40">
        <v>20075000</v>
      </c>
      <c r="M29" s="40">
        <v>20075000</v>
      </c>
      <c r="N29" s="40">
        <v>20075000</v>
      </c>
      <c r="O29" s="40">
        <v>20130000</v>
      </c>
      <c r="P29" s="40">
        <v>20075000</v>
      </c>
      <c r="Q29" s="40">
        <v>20075000</v>
      </c>
      <c r="R29" s="40">
        <v>20075000</v>
      </c>
      <c r="S29" s="40">
        <v>1527000</v>
      </c>
    </row>
    <row r="30" spans="1:19" ht="16.5" customHeight="1" outlineLevel="1" x14ac:dyDescent="0.25">
      <c r="A30" s="30" t="s">
        <v>44</v>
      </c>
      <c r="D30" s="30" t="s">
        <v>45</v>
      </c>
      <c r="E30" s="30" t="s">
        <v>46</v>
      </c>
      <c r="G30" s="45">
        <v>1.0900000000000001</v>
      </c>
      <c r="H30" s="45">
        <v>1.05</v>
      </c>
      <c r="I30" s="45">
        <v>1.24</v>
      </c>
      <c r="J30" s="45">
        <v>1.06</v>
      </c>
      <c r="K30" s="45">
        <v>0.89</v>
      </c>
      <c r="L30" s="45">
        <v>1.01</v>
      </c>
      <c r="M30" s="45">
        <v>0.95</v>
      </c>
      <c r="N30" s="45">
        <v>1.34</v>
      </c>
      <c r="O30" s="45">
        <v>1.01</v>
      </c>
      <c r="P30" s="45">
        <v>1.04</v>
      </c>
      <c r="Q30" s="45">
        <v>1.08</v>
      </c>
      <c r="R30" s="45">
        <v>0.78</v>
      </c>
      <c r="S30" s="45">
        <v>0.78</v>
      </c>
    </row>
    <row r="31" spans="1:19" ht="16.5" customHeight="1" outlineLevel="1" x14ac:dyDescent="0.25">
      <c r="D31" s="30" t="s">
        <v>47</v>
      </c>
      <c r="E31" s="30" t="s">
        <v>48</v>
      </c>
      <c r="G31" s="46">
        <v>0.89100000000000001</v>
      </c>
      <c r="H31" s="46">
        <v>0.88600000000000001</v>
      </c>
      <c r="I31" s="46">
        <v>0.89700000000000002</v>
      </c>
      <c r="J31" s="46">
        <v>0.89500000000000002</v>
      </c>
      <c r="K31" s="46">
        <v>0.88400000000000001</v>
      </c>
      <c r="L31" s="46">
        <v>0.88900000000000001</v>
      </c>
      <c r="M31" s="46">
        <v>0.89</v>
      </c>
      <c r="N31" s="46">
        <v>0.88900000000000001</v>
      </c>
      <c r="O31" s="46">
        <v>0.89700000000000002</v>
      </c>
      <c r="P31" s="46">
        <v>0.89800000000000002</v>
      </c>
      <c r="Q31" s="46">
        <v>0.90300000000000002</v>
      </c>
      <c r="R31" s="46">
        <v>0.88600000000000001</v>
      </c>
      <c r="S31" s="46">
        <v>0.88600000000000001</v>
      </c>
    </row>
    <row r="32" spans="1:19" ht="16.5" customHeight="1" outlineLevel="1" x14ac:dyDescent="0.25">
      <c r="D32" s="30" t="s">
        <v>49</v>
      </c>
      <c r="G32" s="47">
        <f>G29/SUM(G29:$S$29)</f>
        <v>8.2978828650573808E-2</v>
      </c>
      <c r="H32" s="47">
        <f>H29/SUM(H29:$S$29)</f>
        <v>9.0240130898760235E-2</v>
      </c>
      <c r="I32" s="47">
        <f>I29/SUM(I29:$S$29)</f>
        <v>9.9191153581998842E-2</v>
      </c>
      <c r="J32" s="47">
        <f>J29/SUM(J29:$S$29)</f>
        <v>0.11011343191890824</v>
      </c>
      <c r="K32" s="47">
        <f>K29/SUM(K29:$S$29)</f>
        <v>0.12407773812385584</v>
      </c>
      <c r="L32" s="47">
        <f>L29/SUM(L29:$S$29)</f>
        <v>0.14126679192439501</v>
      </c>
      <c r="M32" s="47">
        <f>M29/SUM(M29:$S$29)</f>
        <v>0.16450603120492985</v>
      </c>
      <c r="N32" s="47">
        <f>N29/SUM(N29:$S$29)</f>
        <v>0.19689673097482271</v>
      </c>
      <c r="O32" s="47">
        <f>O29/SUM(O29:$S$29)</f>
        <v>0.24584157690334871</v>
      </c>
      <c r="P32" s="47">
        <f>P29/SUM(P29:$S$29)</f>
        <v>0.32509068532193292</v>
      </c>
      <c r="Q32" s="47">
        <f>Q29/SUM(Q29:$S$29)</f>
        <v>0.48168054322528014</v>
      </c>
      <c r="R32" s="47">
        <f>R29/SUM(R29:$S$29)</f>
        <v>0.92931210073141379</v>
      </c>
      <c r="S32" s="47">
        <f>S29/SUM(S29:$S$29)</f>
        <v>1</v>
      </c>
    </row>
    <row r="33" spans="1:8" ht="16.5" customHeight="1" outlineLevel="1" x14ac:dyDescent="0.25"/>
    <row r="34" spans="1:8" ht="16.5" customHeight="1" outlineLevel="1" x14ac:dyDescent="0.25">
      <c r="D34" s="29" t="s">
        <v>50</v>
      </c>
    </row>
    <row r="35" spans="1:8" ht="16.5" customHeight="1" outlineLevel="1" x14ac:dyDescent="0.25">
      <c r="D35" s="30" t="s">
        <v>37</v>
      </c>
      <c r="F35" s="48" t="s">
        <v>51</v>
      </c>
      <c r="G35" s="48" t="s">
        <v>52</v>
      </c>
      <c r="H35" s="48" t="s">
        <v>53</v>
      </c>
    </row>
    <row r="36" spans="1:8" ht="16.5" customHeight="1" outlineLevel="1" x14ac:dyDescent="0.25">
      <c r="A36" s="30" t="s">
        <v>168</v>
      </c>
      <c r="D36" s="31" t="s">
        <v>54</v>
      </c>
      <c r="E36" s="31"/>
      <c r="F36" s="49">
        <v>65900000</v>
      </c>
      <c r="G36" s="50">
        <v>0.92</v>
      </c>
      <c r="H36" s="38">
        <f>F36*G36*$F$10</f>
        <v>1949235.4629627771</v>
      </c>
    </row>
    <row r="37" spans="1:8" ht="16.5" customHeight="1" outlineLevel="1" x14ac:dyDescent="0.25">
      <c r="A37" s="51"/>
      <c r="B37" s="51"/>
      <c r="C37" s="51"/>
      <c r="D37" s="30" t="s">
        <v>55</v>
      </c>
      <c r="F37" s="40">
        <v>215300000</v>
      </c>
      <c r="G37" s="45">
        <v>1.07</v>
      </c>
      <c r="H37" s="41">
        <f>F37*G37*$F$10</f>
        <v>7406599.6377613964</v>
      </c>
    </row>
    <row r="38" spans="1:8" ht="16.5" customHeight="1" outlineLevel="1" x14ac:dyDescent="0.25">
      <c r="D38" s="30" t="s">
        <v>56</v>
      </c>
      <c r="F38" s="52">
        <f>SUM(F36:F37)</f>
        <v>281200000</v>
      </c>
      <c r="G38" s="53">
        <f>H38/F38*F12</f>
        <v>1.0348470839260313</v>
      </c>
      <c r="H38" s="38">
        <f>SUM(H36:H37)</f>
        <v>9355835.1007241737</v>
      </c>
    </row>
    <row r="39" spans="1:8" ht="16.5" customHeight="1" outlineLevel="1" x14ac:dyDescent="0.25">
      <c r="H39" s="54"/>
    </row>
    <row r="40" spans="1:8" ht="16.5" customHeight="1" outlineLevel="1" x14ac:dyDescent="0.25">
      <c r="D40" s="30" t="s">
        <v>39</v>
      </c>
      <c r="F40" s="48" t="s">
        <v>51</v>
      </c>
      <c r="G40" s="48" t="s">
        <v>52</v>
      </c>
      <c r="H40" s="48" t="s">
        <v>53</v>
      </c>
    </row>
    <row r="41" spans="1:8" ht="16.5" customHeight="1" outlineLevel="1" x14ac:dyDescent="0.25">
      <c r="D41" s="31" t="s">
        <v>57</v>
      </c>
      <c r="E41" s="55">
        <v>1.58</v>
      </c>
      <c r="F41" s="56">
        <f>F38</f>
        <v>281200000</v>
      </c>
      <c r="G41" s="53">
        <f>H41/F41*F12</f>
        <v>1.6350583926031295</v>
      </c>
      <c r="H41" s="53">
        <f>H38*E41</f>
        <v>14782219.459144196</v>
      </c>
    </row>
    <row r="42" spans="1:8" ht="16.5" customHeight="1" outlineLevel="1" x14ac:dyDescent="0.25"/>
    <row r="43" spans="1:8" ht="16.5" customHeight="1" outlineLevel="1" x14ac:dyDescent="0.25">
      <c r="D43" s="30" t="s">
        <v>58</v>
      </c>
      <c r="E43" s="57">
        <v>2</v>
      </c>
    </row>
    <row r="44" spans="1:8" ht="16.5" customHeight="1" outlineLevel="1" x14ac:dyDescent="0.25"/>
    <row r="45" spans="1:8" ht="16.5" customHeight="1" outlineLevel="1" x14ac:dyDescent="0.25">
      <c r="A45" s="30" t="s">
        <v>59</v>
      </c>
      <c r="D45" s="29" t="s">
        <v>60</v>
      </c>
    </row>
    <row r="46" spans="1:8" ht="16.5" customHeight="1" outlineLevel="1" x14ac:dyDescent="0.25">
      <c r="A46" s="30" t="s">
        <v>160</v>
      </c>
      <c r="D46" s="31" t="s">
        <v>61</v>
      </c>
      <c r="E46" s="49">
        <v>55000</v>
      </c>
      <c r="F46" s="49">
        <v>365</v>
      </c>
    </row>
    <row r="47" spans="1:8" ht="16.5" customHeight="1" outlineLevel="1" x14ac:dyDescent="0.25">
      <c r="A47" s="30" t="s">
        <v>62</v>
      </c>
      <c r="D47" s="30" t="s">
        <v>63</v>
      </c>
      <c r="E47" s="58">
        <f>E46*F46</f>
        <v>20075000</v>
      </c>
    </row>
    <row r="48" spans="1:8" ht="16.5" customHeight="1" outlineLevel="1" x14ac:dyDescent="0.25">
      <c r="F48" s="59"/>
    </row>
    <row r="49" spans="1:13" ht="16.5" customHeight="1" outlineLevel="1" x14ac:dyDescent="0.25">
      <c r="D49" s="29" t="s">
        <v>64</v>
      </c>
    </row>
    <row r="50" spans="1:13" ht="16.5" customHeight="1" outlineLevel="1" x14ac:dyDescent="0.25">
      <c r="A50" s="30" t="s">
        <v>59</v>
      </c>
      <c r="D50" s="31" t="s">
        <v>65</v>
      </c>
      <c r="E50" s="60">
        <v>1.4999999999999999E-2</v>
      </c>
      <c r="F50" s="30" t="s">
        <v>66</v>
      </c>
    </row>
    <row r="51" spans="1:13" ht="16.5" customHeight="1" outlineLevel="1" x14ac:dyDescent="0.25">
      <c r="A51" s="30" t="s">
        <v>67</v>
      </c>
      <c r="D51" s="30" t="s">
        <v>68</v>
      </c>
      <c r="E51" s="61">
        <v>2.5000000000000001E-2</v>
      </c>
      <c r="F51" s="30" t="s">
        <v>69</v>
      </c>
    </row>
    <row r="52" spans="1:13" ht="16.5" customHeight="1" outlineLevel="1" x14ac:dyDescent="0.25">
      <c r="D52" s="30" t="s">
        <v>70</v>
      </c>
      <c r="E52" s="60">
        <v>1.4E-2</v>
      </c>
    </row>
    <row r="53" spans="1:13" ht="16.5" customHeight="1" outlineLevel="1" x14ac:dyDescent="0.25">
      <c r="E53" s="61"/>
    </row>
    <row r="54" spans="1:13" ht="16.5" customHeight="1" outlineLevel="1" x14ac:dyDescent="0.25">
      <c r="A54" s="30" t="s">
        <v>59</v>
      </c>
      <c r="D54" s="29" t="s">
        <v>71</v>
      </c>
      <c r="E54" s="61"/>
    </row>
    <row r="55" spans="1:13" ht="16.5" customHeight="1" outlineLevel="1" x14ac:dyDescent="0.25">
      <c r="A55" s="30" t="s">
        <v>72</v>
      </c>
      <c r="D55" s="31" t="s">
        <v>37</v>
      </c>
      <c r="E55" s="60">
        <v>0.99934999999999996</v>
      </c>
    </row>
    <row r="56" spans="1:13" ht="16.5" customHeight="1" outlineLevel="1" x14ac:dyDescent="0.25">
      <c r="D56" s="30" t="s">
        <v>39</v>
      </c>
      <c r="E56" s="61">
        <v>0.99</v>
      </c>
    </row>
    <row r="57" spans="1:13" ht="16.5" customHeight="1" outlineLevel="1" x14ac:dyDescent="0.25"/>
    <row r="58" spans="1:13" ht="16.5" customHeight="1" outlineLevel="1" x14ac:dyDescent="0.25">
      <c r="D58" s="29" t="s">
        <v>73</v>
      </c>
      <c r="G58" s="48" t="s">
        <v>74</v>
      </c>
      <c r="H58" s="62"/>
      <c r="I58" s="62"/>
      <c r="J58" s="62"/>
      <c r="K58" s="62"/>
      <c r="L58" s="62"/>
      <c r="M58" s="62"/>
    </row>
    <row r="59" spans="1:13" ht="16.5" customHeight="1" outlineLevel="1" x14ac:dyDescent="0.25">
      <c r="A59" s="30" t="s">
        <v>59</v>
      </c>
      <c r="D59" s="31" t="s">
        <v>75</v>
      </c>
      <c r="E59" s="31"/>
      <c r="F59" s="31" t="s">
        <v>76</v>
      </c>
      <c r="G59" s="50">
        <f>7.61+2</f>
        <v>9.61</v>
      </c>
      <c r="H59" s="63"/>
      <c r="I59" s="62"/>
      <c r="J59" s="62"/>
      <c r="K59" s="62"/>
      <c r="L59" s="62"/>
      <c r="M59" s="62"/>
    </row>
    <row r="60" spans="1:13" ht="16.5" customHeight="1" outlineLevel="1" x14ac:dyDescent="0.25">
      <c r="A60" s="30" t="s">
        <v>77</v>
      </c>
      <c r="D60" s="30" t="s">
        <v>78</v>
      </c>
      <c r="F60" s="30" t="s">
        <v>76</v>
      </c>
      <c r="G60" s="45">
        <f>8.05+2</f>
        <v>10.050000000000001</v>
      </c>
      <c r="H60" s="63"/>
      <c r="I60" s="62"/>
      <c r="J60" s="62"/>
      <c r="K60" s="62"/>
      <c r="L60" s="62"/>
      <c r="M60" s="62"/>
    </row>
    <row r="61" spans="1:13" ht="16.5" customHeight="1" outlineLevel="1" x14ac:dyDescent="0.25">
      <c r="D61" s="30" t="s">
        <v>79</v>
      </c>
      <c r="F61" s="30" t="s">
        <v>76</v>
      </c>
      <c r="G61" s="45">
        <f>0.1+0.5</f>
        <v>0.6</v>
      </c>
      <c r="H61" s="63"/>
      <c r="I61" s="62"/>
      <c r="J61" s="62"/>
      <c r="K61" s="62"/>
      <c r="L61" s="62"/>
      <c r="M61" s="62"/>
    </row>
    <row r="62" spans="1:13" ht="16.5" customHeight="1" outlineLevel="1" x14ac:dyDescent="0.25">
      <c r="D62" s="30" t="s">
        <v>80</v>
      </c>
      <c r="F62" s="30" t="s">
        <v>76</v>
      </c>
      <c r="G62" s="45">
        <f>2.17+1</f>
        <v>3.17</v>
      </c>
      <c r="H62" s="63"/>
      <c r="I62" s="62"/>
      <c r="J62" s="62"/>
      <c r="K62" s="62"/>
      <c r="L62" s="62"/>
      <c r="M62" s="62"/>
    </row>
    <row r="63" spans="1:13" ht="16.5" customHeight="1" outlineLevel="1" x14ac:dyDescent="0.25">
      <c r="D63" s="30" t="s">
        <v>6</v>
      </c>
      <c r="F63" s="30" t="s">
        <v>76</v>
      </c>
      <c r="G63" s="64">
        <f>SUM(G59:G62)</f>
        <v>23.43</v>
      </c>
      <c r="H63" s="65"/>
      <c r="I63" s="62"/>
      <c r="J63" s="62"/>
      <c r="K63" s="62"/>
      <c r="L63" s="62"/>
      <c r="M63" s="62"/>
    </row>
    <row r="64" spans="1:13" ht="16.5" customHeight="1" outlineLevel="1" x14ac:dyDescent="0.25">
      <c r="G64" s="66"/>
      <c r="H64" s="63"/>
    </row>
    <row r="65" spans="1:19" ht="16.5" customHeight="1" outlineLevel="1" x14ac:dyDescent="0.25">
      <c r="A65" s="30" t="s">
        <v>81</v>
      </c>
      <c r="D65" s="30" t="s">
        <v>82</v>
      </c>
      <c r="F65" s="30" t="s">
        <v>83</v>
      </c>
      <c r="G65" s="45">
        <f>15+1</f>
        <v>16</v>
      </c>
      <c r="H65" s="63"/>
    </row>
    <row r="66" spans="1:19" ht="16.5" customHeight="1" outlineLevel="1" x14ac:dyDescent="0.25">
      <c r="D66" s="30" t="s">
        <v>84</v>
      </c>
      <c r="F66" s="30" t="s">
        <v>83</v>
      </c>
      <c r="G66" s="45">
        <f>27+1.5</f>
        <v>28.5</v>
      </c>
      <c r="H66" s="63"/>
    </row>
    <row r="67" spans="1:19" ht="16.5" customHeight="1" outlineLevel="1" x14ac:dyDescent="0.25"/>
    <row r="68" spans="1:19" ht="16.5" customHeight="1" outlineLevel="1" x14ac:dyDescent="0.25">
      <c r="D68" s="29" t="s">
        <v>85</v>
      </c>
      <c r="G68" s="35">
        <v>2024</v>
      </c>
      <c r="H68" s="35">
        <f t="shared" ref="H68:S68" si="14">+G68+1</f>
        <v>2025</v>
      </c>
      <c r="I68" s="35">
        <f t="shared" si="14"/>
        <v>2026</v>
      </c>
      <c r="J68" s="35">
        <f t="shared" si="14"/>
        <v>2027</v>
      </c>
      <c r="K68" s="35">
        <f t="shared" si="14"/>
        <v>2028</v>
      </c>
      <c r="L68" s="35">
        <f t="shared" si="14"/>
        <v>2029</v>
      </c>
      <c r="M68" s="35">
        <f t="shared" si="14"/>
        <v>2030</v>
      </c>
      <c r="N68" s="35">
        <f t="shared" si="14"/>
        <v>2031</v>
      </c>
      <c r="O68" s="35">
        <f t="shared" si="14"/>
        <v>2032</v>
      </c>
      <c r="P68" s="35">
        <f t="shared" si="14"/>
        <v>2033</v>
      </c>
      <c r="Q68" s="35">
        <f t="shared" si="14"/>
        <v>2034</v>
      </c>
      <c r="R68" s="35">
        <f t="shared" si="14"/>
        <v>2035</v>
      </c>
      <c r="S68" s="35">
        <f t="shared" si="14"/>
        <v>2036</v>
      </c>
    </row>
    <row r="69" spans="1:19" ht="16.5" customHeight="1" outlineLevel="1" x14ac:dyDescent="0.25">
      <c r="A69" s="30" t="s">
        <v>59</v>
      </c>
      <c r="D69" s="31" t="s">
        <v>88</v>
      </c>
      <c r="E69" s="31"/>
      <c r="F69" s="49">
        <v>250000000</v>
      </c>
      <c r="G69" s="38">
        <f>$F$69*G70</f>
        <v>20744707.162643451</v>
      </c>
      <c r="H69" s="38">
        <f t="shared" ref="H69:S69" si="15">$F$69*H70</f>
        <v>20688027.634876665</v>
      </c>
      <c r="I69" s="38">
        <f t="shared" si="15"/>
        <v>20688027.634876665</v>
      </c>
      <c r="J69" s="38">
        <f t="shared" si="15"/>
        <v>20688027.634876665</v>
      </c>
      <c r="K69" s="38">
        <f t="shared" si="15"/>
        <v>20744707.162643451</v>
      </c>
      <c r="L69" s="38">
        <f t="shared" si="15"/>
        <v>20688027.634876665</v>
      </c>
      <c r="M69" s="38">
        <f t="shared" si="15"/>
        <v>20688027.634876665</v>
      </c>
      <c r="N69" s="38">
        <f t="shared" si="15"/>
        <v>20688027.634876665</v>
      </c>
      <c r="O69" s="38">
        <f t="shared" si="15"/>
        <v>20744707.162643451</v>
      </c>
      <c r="P69" s="38">
        <f t="shared" si="15"/>
        <v>20688027.634876665</v>
      </c>
      <c r="Q69" s="38">
        <f t="shared" si="15"/>
        <v>20688027.634876665</v>
      </c>
      <c r="R69" s="38">
        <f t="shared" si="15"/>
        <v>20688027.634876665</v>
      </c>
      <c r="S69" s="38">
        <f t="shared" si="15"/>
        <v>1573629.7981796598</v>
      </c>
    </row>
    <row r="70" spans="1:19" ht="16.5" customHeight="1" outlineLevel="1" x14ac:dyDescent="0.25">
      <c r="A70" s="30" t="s">
        <v>87</v>
      </c>
      <c r="D70" s="30" t="s">
        <v>88</v>
      </c>
      <c r="E70" s="30" t="s">
        <v>43</v>
      </c>
      <c r="F70" s="41">
        <f>F29</f>
        <v>242592000</v>
      </c>
      <c r="G70" s="67">
        <f>G29/$F$70</f>
        <v>8.2978828650573808E-2</v>
      </c>
      <c r="H70" s="67">
        <f t="shared" ref="H70:S70" si="16">H29/$F$70</f>
        <v>8.2752110539506665E-2</v>
      </c>
      <c r="I70" s="67">
        <f t="shared" si="16"/>
        <v>8.2752110539506665E-2</v>
      </c>
      <c r="J70" s="67">
        <f t="shared" si="16"/>
        <v>8.2752110539506665E-2</v>
      </c>
      <c r="K70" s="67">
        <f t="shared" si="16"/>
        <v>8.2978828650573808E-2</v>
      </c>
      <c r="L70" s="67">
        <f t="shared" si="16"/>
        <v>8.2752110539506665E-2</v>
      </c>
      <c r="M70" s="67">
        <f t="shared" si="16"/>
        <v>8.2752110539506665E-2</v>
      </c>
      <c r="N70" s="67">
        <f t="shared" si="16"/>
        <v>8.2752110539506665E-2</v>
      </c>
      <c r="O70" s="67">
        <f t="shared" si="16"/>
        <v>8.2978828650573808E-2</v>
      </c>
      <c r="P70" s="67">
        <f t="shared" si="16"/>
        <v>8.2752110539506665E-2</v>
      </c>
      <c r="Q70" s="67">
        <f t="shared" si="16"/>
        <v>8.2752110539506665E-2</v>
      </c>
      <c r="R70" s="67">
        <f t="shared" si="16"/>
        <v>8.2752110539506665E-2</v>
      </c>
      <c r="S70" s="67">
        <f t="shared" si="16"/>
        <v>6.2945191927186389E-3</v>
      </c>
    </row>
    <row r="71" spans="1:19" ht="16.5" customHeight="1" outlineLevel="1" x14ac:dyDescent="0.25"/>
    <row r="72" spans="1:19" ht="16.5" customHeight="1" outlineLevel="1" x14ac:dyDescent="0.25">
      <c r="A72" s="30" t="s">
        <v>59</v>
      </c>
      <c r="D72" s="29" t="s">
        <v>89</v>
      </c>
    </row>
    <row r="73" spans="1:19" ht="16.5" customHeight="1" outlineLevel="1" x14ac:dyDescent="0.25">
      <c r="A73" s="30" t="s">
        <v>90</v>
      </c>
      <c r="D73" s="30" t="s">
        <v>91</v>
      </c>
      <c r="F73" s="68">
        <v>100000000</v>
      </c>
      <c r="G73" s="69"/>
    </row>
    <row r="74" spans="1:19" ht="16.5" customHeight="1" outlineLevel="1" x14ac:dyDescent="0.25"/>
    <row r="75" spans="1:19" ht="16.5" customHeight="1" outlineLevel="1" x14ac:dyDescent="0.25">
      <c r="D75" s="29" t="s">
        <v>92</v>
      </c>
    </row>
    <row r="76" spans="1:19" ht="16.5" customHeight="1" outlineLevel="1" x14ac:dyDescent="0.25">
      <c r="A76" s="30" t="s">
        <v>93</v>
      </c>
      <c r="D76" s="31" t="s">
        <v>94</v>
      </c>
      <c r="E76" s="31"/>
      <c r="F76" s="70">
        <v>1850000000</v>
      </c>
    </row>
    <row r="77" spans="1:19" ht="16.5" customHeight="1" outlineLevel="1" x14ac:dyDescent="0.25">
      <c r="D77" s="30" t="s">
        <v>8</v>
      </c>
      <c r="F77" s="71">
        <v>0.3</v>
      </c>
    </row>
    <row r="78" spans="1:19" ht="16.5" customHeight="1" outlineLevel="1" x14ac:dyDescent="0.25">
      <c r="F78" s="71"/>
    </row>
    <row r="79" spans="1:19" ht="16.5" customHeight="1" outlineLevel="1" x14ac:dyDescent="0.25">
      <c r="A79" s="30" t="s">
        <v>0</v>
      </c>
      <c r="D79" s="29" t="s">
        <v>95</v>
      </c>
    </row>
    <row r="80" spans="1:19" ht="16.5" customHeight="1" outlineLevel="1" x14ac:dyDescent="0.25">
      <c r="D80" s="31" t="s">
        <v>96</v>
      </c>
      <c r="E80" s="31"/>
      <c r="F80" s="72">
        <v>2</v>
      </c>
      <c r="G80" s="31"/>
      <c r="H80" s="31" t="s">
        <v>169</v>
      </c>
      <c r="I80" s="72">
        <v>365</v>
      </c>
    </row>
    <row r="81" spans="1:19" ht="16.5" customHeight="1" outlineLevel="1" x14ac:dyDescent="0.25">
      <c r="D81" s="30" t="s">
        <v>97</v>
      </c>
      <c r="F81" s="34">
        <v>30</v>
      </c>
    </row>
    <row r="82" spans="1:19" ht="16.5" customHeight="1" outlineLevel="1" x14ac:dyDescent="0.25">
      <c r="D82" s="30" t="s">
        <v>1</v>
      </c>
      <c r="F82" s="34">
        <v>20</v>
      </c>
    </row>
    <row r="83" spans="1:19" ht="16.5" customHeight="1" outlineLevel="1" x14ac:dyDescent="0.25"/>
    <row r="84" spans="1:19" ht="16.5" customHeight="1" outlineLevel="1" x14ac:dyDescent="0.25">
      <c r="D84" s="29" t="s">
        <v>21</v>
      </c>
      <c r="F84" s="71">
        <v>0.05</v>
      </c>
    </row>
    <row r="85" spans="1:19" ht="16.5" customHeight="1" outlineLevel="1" x14ac:dyDescent="0.25">
      <c r="D85" s="29"/>
      <c r="F85" s="71"/>
    </row>
    <row r="86" spans="1:19" ht="16.5" customHeight="1" outlineLevel="1" x14ac:dyDescent="0.25">
      <c r="D86" s="29" t="s">
        <v>98</v>
      </c>
      <c r="F86" s="73">
        <v>4500000000</v>
      </c>
    </row>
    <row r="87" spans="1:19" ht="13.5" customHeight="1" x14ac:dyDescent="0.25"/>
    <row r="88" spans="1:19" s="28" customFormat="1" ht="18.75" customHeight="1" x14ac:dyDescent="0.3">
      <c r="A88" s="27" t="s">
        <v>99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 s="62" customFormat="1" outlineLevel="1" x14ac:dyDescent="0.25">
      <c r="A89" s="74"/>
      <c r="D89" s="75"/>
      <c r="E89" s="75"/>
    </row>
    <row r="90" spans="1:19" s="62" customFormat="1" outlineLevel="1" x14ac:dyDescent="0.25">
      <c r="A90" s="76" t="s">
        <v>100</v>
      </c>
      <c r="B90" s="4"/>
      <c r="C90" s="4"/>
      <c r="D90" s="77"/>
      <c r="E90" s="77"/>
      <c r="F90" s="4"/>
    </row>
    <row r="91" spans="1:19" s="62" customFormat="1" outlineLevel="1" x14ac:dyDescent="0.25">
      <c r="A91" s="74"/>
      <c r="D91" s="75"/>
      <c r="E91" s="75"/>
    </row>
    <row r="92" spans="1:19" s="62" customFormat="1" outlineLevel="1" x14ac:dyDescent="0.25">
      <c r="A92" s="74" t="s">
        <v>101</v>
      </c>
      <c r="D92" s="75"/>
      <c r="E92" s="75"/>
    </row>
    <row r="93" spans="1:19" s="62" customFormat="1" outlineLevel="1" x14ac:dyDescent="0.25">
      <c r="A93" s="74"/>
      <c r="B93" s="62" t="s">
        <v>12</v>
      </c>
      <c r="D93" s="75" t="s">
        <v>102</v>
      </c>
      <c r="E93" s="78">
        <f>IFERROR(AVERAGE(G93:R93),"na")</f>
        <v>132083250</v>
      </c>
      <c r="F93" s="79" t="s">
        <v>103</v>
      </c>
      <c r="G93" s="80">
        <f>F29</f>
        <v>242592000</v>
      </c>
      <c r="H93" s="81">
        <f>G95</f>
        <v>222462000</v>
      </c>
      <c r="I93" s="81">
        <f t="shared" ref="I93:S93" si="17">H95</f>
        <v>202387000</v>
      </c>
      <c r="J93" s="81">
        <f t="shared" si="17"/>
        <v>182312000</v>
      </c>
      <c r="K93" s="81">
        <f t="shared" si="17"/>
        <v>162237000</v>
      </c>
      <c r="L93" s="81">
        <f t="shared" si="17"/>
        <v>142107000</v>
      </c>
      <c r="M93" s="81">
        <f t="shared" si="17"/>
        <v>122032000</v>
      </c>
      <c r="N93" s="81">
        <f t="shared" si="17"/>
        <v>101957000</v>
      </c>
      <c r="O93" s="81">
        <f t="shared" si="17"/>
        <v>81882000</v>
      </c>
      <c r="P93" s="81">
        <f t="shared" si="17"/>
        <v>61752000</v>
      </c>
      <c r="Q93" s="81">
        <f t="shared" si="17"/>
        <v>41677000</v>
      </c>
      <c r="R93" s="81">
        <f t="shared" si="17"/>
        <v>21602000</v>
      </c>
      <c r="S93" s="81">
        <f t="shared" si="17"/>
        <v>1527000</v>
      </c>
    </row>
    <row r="94" spans="1:19" s="62" customFormat="1" outlineLevel="1" x14ac:dyDescent="0.25">
      <c r="A94" s="74"/>
      <c r="B94" s="30" t="s">
        <v>163</v>
      </c>
      <c r="D94" s="75" t="s">
        <v>102</v>
      </c>
      <c r="E94" s="78">
        <f t="shared" ref="E94:E95" si="18">IFERROR(AVERAGE(G94:R94),"na")</f>
        <v>-20088750</v>
      </c>
      <c r="F94" s="82">
        <f>SUM(G94:R94)</f>
        <v>-241065000</v>
      </c>
      <c r="G94" s="41">
        <f>-G29</f>
        <v>-20130000</v>
      </c>
      <c r="H94" s="41">
        <f>-H29</f>
        <v>-20075000</v>
      </c>
      <c r="I94" s="41">
        <f t="shared" ref="I94:S94" si="19">-I29</f>
        <v>-20075000</v>
      </c>
      <c r="J94" s="41">
        <f t="shared" si="19"/>
        <v>-20075000</v>
      </c>
      <c r="K94" s="41">
        <f t="shared" si="19"/>
        <v>-20130000</v>
      </c>
      <c r="L94" s="41">
        <f t="shared" si="19"/>
        <v>-20075000</v>
      </c>
      <c r="M94" s="41">
        <f t="shared" si="19"/>
        <v>-20075000</v>
      </c>
      <c r="N94" s="41">
        <f t="shared" si="19"/>
        <v>-20075000</v>
      </c>
      <c r="O94" s="41">
        <f t="shared" si="19"/>
        <v>-20130000</v>
      </c>
      <c r="P94" s="41">
        <f t="shared" si="19"/>
        <v>-20075000</v>
      </c>
      <c r="Q94" s="41">
        <f t="shared" si="19"/>
        <v>-20075000</v>
      </c>
      <c r="R94" s="41">
        <f t="shared" si="19"/>
        <v>-20075000</v>
      </c>
      <c r="S94" s="41">
        <f t="shared" si="19"/>
        <v>-1527000</v>
      </c>
    </row>
    <row r="95" spans="1:19" s="62" customFormat="1" outlineLevel="1" x14ac:dyDescent="0.25">
      <c r="A95" s="83"/>
      <c r="B95" s="31" t="s">
        <v>104</v>
      </c>
      <c r="C95" s="84"/>
      <c r="D95" s="85" t="s">
        <v>102</v>
      </c>
      <c r="E95" s="86">
        <f t="shared" si="18"/>
        <v>111994500</v>
      </c>
      <c r="F95" s="87" t="s">
        <v>103</v>
      </c>
      <c r="G95" s="56">
        <f>SUM(G93:G94)</f>
        <v>222462000</v>
      </c>
      <c r="H95" s="56">
        <f>SUM(H93:H94)</f>
        <v>202387000</v>
      </c>
      <c r="I95" s="56">
        <f t="shared" ref="I95:S95" si="20">SUM(I93:I94)</f>
        <v>182312000</v>
      </c>
      <c r="J95" s="56">
        <f t="shared" si="20"/>
        <v>162237000</v>
      </c>
      <c r="K95" s="56">
        <f t="shared" si="20"/>
        <v>142107000</v>
      </c>
      <c r="L95" s="56">
        <f t="shared" si="20"/>
        <v>122032000</v>
      </c>
      <c r="M95" s="56">
        <f t="shared" si="20"/>
        <v>101957000</v>
      </c>
      <c r="N95" s="56">
        <f t="shared" si="20"/>
        <v>81882000</v>
      </c>
      <c r="O95" s="56">
        <f t="shared" si="20"/>
        <v>61752000</v>
      </c>
      <c r="P95" s="56">
        <f t="shared" si="20"/>
        <v>41677000</v>
      </c>
      <c r="Q95" s="56">
        <f t="shared" si="20"/>
        <v>21602000</v>
      </c>
      <c r="R95" s="56">
        <f t="shared" si="20"/>
        <v>1527000</v>
      </c>
      <c r="S95" s="56">
        <f t="shared" si="20"/>
        <v>0</v>
      </c>
    </row>
    <row r="96" spans="1:19" s="62" customFormat="1" outlineLevel="1" x14ac:dyDescent="0.25">
      <c r="A96" s="74"/>
      <c r="B96" s="30"/>
      <c r="D96" s="75"/>
      <c r="E96" s="75"/>
    </row>
    <row r="97" spans="1:19" s="62" customFormat="1" outlineLevel="1" x14ac:dyDescent="0.25">
      <c r="A97" s="74"/>
      <c r="B97" s="30" t="s">
        <v>58</v>
      </c>
      <c r="D97" s="75" t="s">
        <v>105</v>
      </c>
      <c r="E97" s="78">
        <f t="shared" ref="E97:E99" si="21">IFERROR(AVERAGE(G97:R97),"na")</f>
        <v>2</v>
      </c>
      <c r="F97" s="79" t="s">
        <v>103</v>
      </c>
      <c r="G97" s="88">
        <v>2</v>
      </c>
      <c r="H97" s="88">
        <v>2</v>
      </c>
      <c r="I97" s="88">
        <v>2</v>
      </c>
      <c r="J97" s="88">
        <v>2</v>
      </c>
      <c r="K97" s="88">
        <v>2</v>
      </c>
      <c r="L97" s="88">
        <v>2</v>
      </c>
      <c r="M97" s="88">
        <v>2</v>
      </c>
      <c r="N97" s="88">
        <v>2</v>
      </c>
      <c r="O97" s="88">
        <v>2</v>
      </c>
      <c r="P97" s="88">
        <v>2</v>
      </c>
      <c r="Q97" s="88">
        <v>2</v>
      </c>
      <c r="R97" s="88">
        <v>2</v>
      </c>
      <c r="S97" s="88">
        <v>2</v>
      </c>
    </row>
    <row r="98" spans="1:19" s="62" customFormat="1" outlineLevel="1" x14ac:dyDescent="0.25">
      <c r="A98" s="74"/>
      <c r="B98" s="30" t="s">
        <v>106</v>
      </c>
      <c r="D98" s="75" t="s">
        <v>102</v>
      </c>
      <c r="E98" s="78">
        <f t="shared" si="21"/>
        <v>40177500</v>
      </c>
      <c r="F98" s="82">
        <f>SUM(G98:R98)</f>
        <v>482130000</v>
      </c>
      <c r="G98" s="41">
        <f>-G94*G97</f>
        <v>40260000</v>
      </c>
      <c r="H98" s="41">
        <f t="shared" ref="H98:S98" si="22">-H94*H97</f>
        <v>40150000</v>
      </c>
      <c r="I98" s="41">
        <f t="shared" si="22"/>
        <v>40150000</v>
      </c>
      <c r="J98" s="41">
        <f t="shared" si="22"/>
        <v>40150000</v>
      </c>
      <c r="K98" s="41">
        <f t="shared" si="22"/>
        <v>40260000</v>
      </c>
      <c r="L98" s="41">
        <f t="shared" si="22"/>
        <v>40150000</v>
      </c>
      <c r="M98" s="41">
        <f t="shared" si="22"/>
        <v>40150000</v>
      </c>
      <c r="N98" s="41">
        <f t="shared" si="22"/>
        <v>40150000</v>
      </c>
      <c r="O98" s="41">
        <f t="shared" si="22"/>
        <v>40260000</v>
      </c>
      <c r="P98" s="41">
        <f t="shared" si="22"/>
        <v>40150000</v>
      </c>
      <c r="Q98" s="41">
        <f t="shared" si="22"/>
        <v>40150000</v>
      </c>
      <c r="R98" s="41">
        <f t="shared" si="22"/>
        <v>40150000</v>
      </c>
      <c r="S98" s="41">
        <f t="shared" si="22"/>
        <v>3054000</v>
      </c>
    </row>
    <row r="99" spans="1:19" s="62" customFormat="1" outlineLevel="1" x14ac:dyDescent="0.25">
      <c r="A99" s="83"/>
      <c r="B99" s="31" t="s">
        <v>107</v>
      </c>
      <c r="C99" s="84"/>
      <c r="D99" s="85" t="s">
        <v>102</v>
      </c>
      <c r="E99" s="86">
        <f t="shared" si="21"/>
        <v>60266250</v>
      </c>
      <c r="F99" s="89">
        <f>SUM(G99:R99)</f>
        <v>723195000</v>
      </c>
      <c r="G99" s="56">
        <f>-G94+G98</f>
        <v>60390000</v>
      </c>
      <c r="H99" s="56">
        <f t="shared" ref="H99:S99" si="23">-H94+H98</f>
        <v>60225000</v>
      </c>
      <c r="I99" s="56">
        <f t="shared" si="23"/>
        <v>60225000</v>
      </c>
      <c r="J99" s="56">
        <f t="shared" si="23"/>
        <v>60225000</v>
      </c>
      <c r="K99" s="56">
        <f t="shared" si="23"/>
        <v>60390000</v>
      </c>
      <c r="L99" s="56">
        <f t="shared" si="23"/>
        <v>60225000</v>
      </c>
      <c r="M99" s="56">
        <f t="shared" si="23"/>
        <v>60225000</v>
      </c>
      <c r="N99" s="56">
        <f t="shared" si="23"/>
        <v>60225000</v>
      </c>
      <c r="O99" s="56">
        <f t="shared" si="23"/>
        <v>60390000</v>
      </c>
      <c r="P99" s="56">
        <f t="shared" si="23"/>
        <v>60225000</v>
      </c>
      <c r="Q99" s="56">
        <f t="shared" si="23"/>
        <v>60225000</v>
      </c>
      <c r="R99" s="56">
        <f t="shared" si="23"/>
        <v>60225000</v>
      </c>
      <c r="S99" s="56">
        <f t="shared" si="23"/>
        <v>4581000</v>
      </c>
    </row>
    <row r="100" spans="1:19" s="62" customFormat="1" outlineLevel="1" x14ac:dyDescent="0.25">
      <c r="A100" s="74"/>
      <c r="D100" s="75"/>
      <c r="E100" s="75"/>
    </row>
    <row r="101" spans="1:19" s="62" customFormat="1" ht="14.25" customHeight="1" outlineLevel="1" x14ac:dyDescent="0.25">
      <c r="B101" s="62" t="s">
        <v>108</v>
      </c>
      <c r="D101" s="75" t="s">
        <v>102</v>
      </c>
      <c r="E101" s="78">
        <f>IFERROR(AVERAGE(G101:R101),"na")</f>
        <v>20088750</v>
      </c>
      <c r="F101" s="82">
        <f>SUM(G101:R101)</f>
        <v>241065000</v>
      </c>
      <c r="G101" s="80">
        <f>-G94</f>
        <v>20130000</v>
      </c>
      <c r="H101" s="80">
        <f t="shared" ref="H101:S101" si="24">-H94</f>
        <v>20075000</v>
      </c>
      <c r="I101" s="80">
        <f t="shared" si="24"/>
        <v>20075000</v>
      </c>
      <c r="J101" s="80">
        <f t="shared" si="24"/>
        <v>20075000</v>
      </c>
      <c r="K101" s="80">
        <f t="shared" si="24"/>
        <v>20130000</v>
      </c>
      <c r="L101" s="80">
        <f t="shared" si="24"/>
        <v>20075000</v>
      </c>
      <c r="M101" s="80">
        <f t="shared" si="24"/>
        <v>20075000</v>
      </c>
      <c r="N101" s="80">
        <f t="shared" si="24"/>
        <v>20075000</v>
      </c>
      <c r="O101" s="80">
        <f t="shared" si="24"/>
        <v>20130000</v>
      </c>
      <c r="P101" s="80">
        <f t="shared" si="24"/>
        <v>20075000</v>
      </c>
      <c r="Q101" s="80">
        <f t="shared" si="24"/>
        <v>20075000</v>
      </c>
      <c r="R101" s="80">
        <f t="shared" si="24"/>
        <v>20075000</v>
      </c>
      <c r="S101" s="80">
        <f t="shared" si="24"/>
        <v>1527000</v>
      </c>
    </row>
    <row r="102" spans="1:19" s="90" customFormat="1" outlineLevel="1" x14ac:dyDescent="0.25">
      <c r="D102" s="91"/>
      <c r="E102" s="91"/>
    </row>
    <row r="103" spans="1:19" s="62" customFormat="1" outlineLevel="1" x14ac:dyDescent="0.25">
      <c r="B103" s="62" t="s">
        <v>109</v>
      </c>
      <c r="D103" s="75" t="s">
        <v>46</v>
      </c>
      <c r="E103" s="92">
        <f>IFERROR(SUMPRODUCT(G103:S103,$G$101:$S$101)/$F$101,"na")</f>
        <v>1.0499077427249912</v>
      </c>
      <c r="F103" s="79" t="s">
        <v>103</v>
      </c>
      <c r="G103" s="93">
        <f>G30</f>
        <v>1.0900000000000001</v>
      </c>
      <c r="H103" s="93">
        <f t="shared" ref="H103:S103" si="25">H30</f>
        <v>1.05</v>
      </c>
      <c r="I103" s="93">
        <f t="shared" si="25"/>
        <v>1.24</v>
      </c>
      <c r="J103" s="93">
        <f t="shared" si="25"/>
        <v>1.06</v>
      </c>
      <c r="K103" s="93">
        <f t="shared" si="25"/>
        <v>0.89</v>
      </c>
      <c r="L103" s="93">
        <f t="shared" si="25"/>
        <v>1.01</v>
      </c>
      <c r="M103" s="93">
        <f t="shared" si="25"/>
        <v>0.95</v>
      </c>
      <c r="N103" s="93">
        <f t="shared" si="25"/>
        <v>1.34</v>
      </c>
      <c r="O103" s="93">
        <f t="shared" si="25"/>
        <v>1.01</v>
      </c>
      <c r="P103" s="93">
        <f t="shared" si="25"/>
        <v>1.04</v>
      </c>
      <c r="Q103" s="93">
        <f t="shared" si="25"/>
        <v>1.08</v>
      </c>
      <c r="R103" s="93">
        <f t="shared" si="25"/>
        <v>0.78</v>
      </c>
      <c r="S103" s="93">
        <f t="shared" si="25"/>
        <v>0.78</v>
      </c>
    </row>
    <row r="104" spans="1:19" s="62" customFormat="1" outlineLevel="1" x14ac:dyDescent="0.25">
      <c r="B104" s="62" t="s">
        <v>110</v>
      </c>
      <c r="D104" s="75" t="s">
        <v>46</v>
      </c>
      <c r="E104" s="92">
        <f>IFERROR(SUMPRODUCT(G104:S104,$G$101:$S$101)/$F$101,"na")</f>
        <v>1.6454154919975046</v>
      </c>
      <c r="F104" s="79" t="s">
        <v>103</v>
      </c>
      <c r="G104" s="93">
        <f>$G$41</f>
        <v>1.6350583926031295</v>
      </c>
      <c r="H104" s="93">
        <f t="shared" ref="H104:S104" si="26">$G$41</f>
        <v>1.6350583926031295</v>
      </c>
      <c r="I104" s="93">
        <f t="shared" si="26"/>
        <v>1.6350583926031295</v>
      </c>
      <c r="J104" s="93">
        <f t="shared" si="26"/>
        <v>1.6350583926031295</v>
      </c>
      <c r="K104" s="93">
        <f t="shared" si="26"/>
        <v>1.6350583926031295</v>
      </c>
      <c r="L104" s="93">
        <f t="shared" si="26"/>
        <v>1.6350583926031295</v>
      </c>
      <c r="M104" s="93">
        <f t="shared" si="26"/>
        <v>1.6350583926031295</v>
      </c>
      <c r="N104" s="93">
        <f t="shared" si="26"/>
        <v>1.6350583926031295</v>
      </c>
      <c r="O104" s="93">
        <f t="shared" si="26"/>
        <v>1.6350583926031295</v>
      </c>
      <c r="P104" s="93">
        <f t="shared" si="26"/>
        <v>1.6350583926031295</v>
      </c>
      <c r="Q104" s="93">
        <f t="shared" si="26"/>
        <v>1.6350583926031295</v>
      </c>
      <c r="R104" s="93">
        <f t="shared" si="26"/>
        <v>1.6350583926031295</v>
      </c>
      <c r="S104" s="93">
        <f t="shared" si="26"/>
        <v>1.6350583926031295</v>
      </c>
    </row>
    <row r="105" spans="1:19" s="90" customFormat="1" outlineLevel="1" x14ac:dyDescent="0.25">
      <c r="D105" s="91"/>
      <c r="E105" s="91"/>
    </row>
    <row r="106" spans="1:19" s="90" customFormat="1" outlineLevel="1" x14ac:dyDescent="0.25">
      <c r="B106" s="62" t="s">
        <v>111</v>
      </c>
      <c r="D106" s="91" t="s">
        <v>112</v>
      </c>
      <c r="E106" s="78">
        <f t="shared" ref="E106:E107" si="27">IFERROR(AVERAGE(G106:R106),"na")</f>
        <v>674911.01723607525</v>
      </c>
      <c r="F106" s="82">
        <f>SUM(G106:R106)</f>
        <v>8098932.2068329034</v>
      </c>
      <c r="G106" s="94">
        <f>G$101*G103*$F$10</f>
        <v>705442.03598486457</v>
      </c>
      <c r="H106" s="94">
        <f t="shared" ref="H106:S106" si="28">H$101*H103*$F$10</f>
        <v>677697.54923346697</v>
      </c>
      <c r="I106" s="94">
        <f t="shared" si="28"/>
        <v>800328.5343328563</v>
      </c>
      <c r="J106" s="94">
        <f t="shared" si="28"/>
        <v>684151.81160711905</v>
      </c>
      <c r="K106" s="94">
        <f t="shared" si="28"/>
        <v>576003.13029956829</v>
      </c>
      <c r="L106" s="94">
        <f t="shared" si="28"/>
        <v>651880.49973885878</v>
      </c>
      <c r="M106" s="94">
        <f t="shared" si="28"/>
        <v>613154.92549694632</v>
      </c>
      <c r="N106" s="94">
        <f t="shared" si="28"/>
        <v>864871.15806937695</v>
      </c>
      <c r="O106" s="94">
        <f t="shared" si="28"/>
        <v>653666.47371074604</v>
      </c>
      <c r="P106" s="94">
        <f t="shared" si="28"/>
        <v>671243.28685981489</v>
      </c>
      <c r="Q106" s="94">
        <f t="shared" si="28"/>
        <v>697060.3363544232</v>
      </c>
      <c r="R106" s="94">
        <f t="shared" si="28"/>
        <v>503432.4651448612</v>
      </c>
      <c r="S106" s="94">
        <f t="shared" si="28"/>
        <v>38293.468208030041</v>
      </c>
    </row>
    <row r="107" spans="1:19" s="90" customFormat="1" outlineLevel="1" x14ac:dyDescent="0.25">
      <c r="B107" s="62" t="s">
        <v>113</v>
      </c>
      <c r="D107" s="91" t="s">
        <v>112</v>
      </c>
      <c r="E107" s="78">
        <f t="shared" si="27"/>
        <v>1056032.400995316</v>
      </c>
      <c r="F107" s="82">
        <f>SUM(G107:R107)</f>
        <v>12672388.811943792</v>
      </c>
      <c r="G107" s="94">
        <f>G$101*G104*$F$10</f>
        <v>1058200.8453505428</v>
      </c>
      <c r="H107" s="94">
        <f t="shared" ref="H107:S107" si="29">H$101*H104*$F$10</f>
        <v>1055309.5862102406</v>
      </c>
      <c r="I107" s="94">
        <f t="shared" si="29"/>
        <v>1055309.5862102406</v>
      </c>
      <c r="J107" s="94">
        <f t="shared" si="29"/>
        <v>1055309.5862102406</v>
      </c>
      <c r="K107" s="94">
        <f t="shared" si="29"/>
        <v>1058200.8453505428</v>
      </c>
      <c r="L107" s="94">
        <f t="shared" si="29"/>
        <v>1055309.5862102406</v>
      </c>
      <c r="M107" s="94">
        <f t="shared" si="29"/>
        <v>1055309.5862102406</v>
      </c>
      <c r="N107" s="94">
        <f t="shared" si="29"/>
        <v>1055309.5862102406</v>
      </c>
      <c r="O107" s="94">
        <f t="shared" si="29"/>
        <v>1058200.8453505428</v>
      </c>
      <c r="P107" s="94">
        <f t="shared" si="29"/>
        <v>1055309.5862102406</v>
      </c>
      <c r="Q107" s="94">
        <f t="shared" si="29"/>
        <v>1055309.5862102406</v>
      </c>
      <c r="R107" s="94">
        <f t="shared" si="29"/>
        <v>1055309.5862102406</v>
      </c>
      <c r="S107" s="94">
        <f t="shared" si="29"/>
        <v>80271.867404385426</v>
      </c>
    </row>
    <row r="108" spans="1:19" s="90" customFormat="1" outlineLevel="1" x14ac:dyDescent="0.25">
      <c r="D108" s="91"/>
      <c r="E108" s="91"/>
      <c r="F108" s="82"/>
    </row>
    <row r="109" spans="1:19" s="90" customFormat="1" outlineLevel="1" x14ac:dyDescent="0.25">
      <c r="D109" s="91"/>
      <c r="E109" s="91"/>
    </row>
    <row r="110" spans="1:19" s="90" customFormat="1" outlineLevel="1" x14ac:dyDescent="0.25">
      <c r="A110" s="95" t="s">
        <v>114</v>
      </c>
      <c r="B110" s="96"/>
      <c r="C110" s="96"/>
      <c r="D110" s="97"/>
      <c r="E110" s="97"/>
      <c r="F110" s="96"/>
    </row>
    <row r="111" spans="1:19" s="90" customFormat="1" outlineLevel="1" x14ac:dyDescent="0.25">
      <c r="D111" s="91"/>
      <c r="E111" s="78"/>
      <c r="F111" s="82"/>
    </row>
    <row r="112" spans="1:19" s="90" customFormat="1" outlineLevel="1" x14ac:dyDescent="0.25">
      <c r="A112" s="90" t="s">
        <v>115</v>
      </c>
      <c r="D112" s="91" t="s">
        <v>102</v>
      </c>
      <c r="E112" s="78">
        <f t="shared" ref="E112" si="30">IFERROR(AVERAGE(G112:R112),"na")</f>
        <v>20088750</v>
      </c>
      <c r="F112" s="82">
        <f>SUM(G112:R112)</f>
        <v>241065000</v>
      </c>
      <c r="G112" s="90">
        <f>G101</f>
        <v>20130000</v>
      </c>
      <c r="H112" s="90">
        <f t="shared" ref="H112:S112" si="31">H101</f>
        <v>20075000</v>
      </c>
      <c r="I112" s="90">
        <f t="shared" si="31"/>
        <v>20075000</v>
      </c>
      <c r="J112" s="90">
        <f t="shared" si="31"/>
        <v>20075000</v>
      </c>
      <c r="K112" s="90">
        <f t="shared" si="31"/>
        <v>20130000</v>
      </c>
      <c r="L112" s="90">
        <f t="shared" si="31"/>
        <v>20075000</v>
      </c>
      <c r="M112" s="90">
        <f t="shared" si="31"/>
        <v>20075000</v>
      </c>
      <c r="N112" s="90">
        <f t="shared" si="31"/>
        <v>20075000</v>
      </c>
      <c r="O112" s="90">
        <f t="shared" si="31"/>
        <v>20130000</v>
      </c>
      <c r="P112" s="90">
        <f t="shared" si="31"/>
        <v>20075000</v>
      </c>
      <c r="Q112" s="90">
        <f t="shared" si="31"/>
        <v>20075000</v>
      </c>
      <c r="R112" s="90">
        <f t="shared" si="31"/>
        <v>20075000</v>
      </c>
      <c r="S112" s="90">
        <f t="shared" si="31"/>
        <v>1527000</v>
      </c>
    </row>
    <row r="113" spans="1:19" s="90" customFormat="1" outlineLevel="1" x14ac:dyDescent="0.25">
      <c r="D113" s="91"/>
      <c r="E113" s="78"/>
      <c r="F113" s="82"/>
    </row>
    <row r="114" spans="1:19" s="90" customFormat="1" outlineLevel="1" x14ac:dyDescent="0.25">
      <c r="A114" s="90" t="s">
        <v>47</v>
      </c>
      <c r="D114" s="91"/>
      <c r="E114" s="91"/>
    </row>
    <row r="115" spans="1:19" s="90" customFormat="1" outlineLevel="1" x14ac:dyDescent="0.25">
      <c r="B115" s="90" t="s">
        <v>37</v>
      </c>
      <c r="D115" s="91" t="s">
        <v>48</v>
      </c>
      <c r="E115" s="98">
        <f t="shared" ref="E115:E116" si="32">IFERROR(AVERAGE(G115:R115),"na")</f>
        <v>0.89208333333333334</v>
      </c>
      <c r="F115" s="99">
        <f>IFERROR(F119/F106,"na")</f>
        <v>0.89235075511616579</v>
      </c>
      <c r="G115" s="100">
        <f>G31</f>
        <v>0.89100000000000001</v>
      </c>
      <c r="H115" s="100">
        <f t="shared" ref="H115:S115" si="33">H31</f>
        <v>0.88600000000000001</v>
      </c>
      <c r="I115" s="100">
        <f t="shared" si="33"/>
        <v>0.89700000000000002</v>
      </c>
      <c r="J115" s="100">
        <f t="shared" si="33"/>
        <v>0.89500000000000002</v>
      </c>
      <c r="K115" s="100">
        <f t="shared" si="33"/>
        <v>0.88400000000000001</v>
      </c>
      <c r="L115" s="100">
        <f t="shared" si="33"/>
        <v>0.88900000000000001</v>
      </c>
      <c r="M115" s="100">
        <f t="shared" si="33"/>
        <v>0.89</v>
      </c>
      <c r="N115" s="100">
        <f t="shared" si="33"/>
        <v>0.88900000000000001</v>
      </c>
      <c r="O115" s="100">
        <f t="shared" si="33"/>
        <v>0.89700000000000002</v>
      </c>
      <c r="P115" s="100">
        <f t="shared" si="33"/>
        <v>0.89800000000000002</v>
      </c>
      <c r="Q115" s="100">
        <f t="shared" si="33"/>
        <v>0.90300000000000002</v>
      </c>
      <c r="R115" s="100">
        <f t="shared" si="33"/>
        <v>0.88600000000000001</v>
      </c>
      <c r="S115" s="100">
        <f t="shared" si="33"/>
        <v>0.88600000000000001</v>
      </c>
    </row>
    <row r="116" spans="1:19" s="90" customFormat="1" outlineLevel="1" x14ac:dyDescent="0.25">
      <c r="B116" s="90" t="s">
        <v>39</v>
      </c>
      <c r="D116" s="91" t="s">
        <v>48</v>
      </c>
      <c r="E116" s="98">
        <f t="shared" si="32"/>
        <v>0.89208333333333334</v>
      </c>
      <c r="F116" s="99">
        <f>IFERROR(F120/F107,"na")</f>
        <v>0.89208236367784632</v>
      </c>
      <c r="G116" s="100">
        <f>G31</f>
        <v>0.89100000000000001</v>
      </c>
      <c r="H116" s="100">
        <f t="shared" ref="H116:S116" si="34">H31</f>
        <v>0.88600000000000001</v>
      </c>
      <c r="I116" s="100">
        <f t="shared" si="34"/>
        <v>0.89700000000000002</v>
      </c>
      <c r="J116" s="100">
        <f t="shared" si="34"/>
        <v>0.89500000000000002</v>
      </c>
      <c r="K116" s="100">
        <f t="shared" si="34"/>
        <v>0.88400000000000001</v>
      </c>
      <c r="L116" s="100">
        <f t="shared" si="34"/>
        <v>0.88900000000000001</v>
      </c>
      <c r="M116" s="100">
        <f t="shared" si="34"/>
        <v>0.89</v>
      </c>
      <c r="N116" s="100">
        <f t="shared" si="34"/>
        <v>0.88900000000000001</v>
      </c>
      <c r="O116" s="100">
        <f t="shared" si="34"/>
        <v>0.89700000000000002</v>
      </c>
      <c r="P116" s="100">
        <f t="shared" si="34"/>
        <v>0.89800000000000002</v>
      </c>
      <c r="Q116" s="100">
        <f t="shared" si="34"/>
        <v>0.90300000000000002</v>
      </c>
      <c r="R116" s="100">
        <f t="shared" si="34"/>
        <v>0.88600000000000001</v>
      </c>
      <c r="S116" s="100">
        <f t="shared" si="34"/>
        <v>0.88600000000000001</v>
      </c>
    </row>
    <row r="117" spans="1:19" s="90" customFormat="1" outlineLevel="1" x14ac:dyDescent="0.25">
      <c r="D117" s="91"/>
      <c r="E117" s="78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</row>
    <row r="118" spans="1:19" s="90" customFormat="1" outlineLevel="1" x14ac:dyDescent="0.25">
      <c r="A118" s="90" t="s">
        <v>116</v>
      </c>
      <c r="E118" s="91"/>
    </row>
    <row r="119" spans="1:19" s="101" customFormat="1" outlineLevel="1" x14ac:dyDescent="0.25">
      <c r="B119" s="90" t="s">
        <v>37</v>
      </c>
      <c r="C119" s="90"/>
      <c r="D119" s="91" t="s">
        <v>112</v>
      </c>
      <c r="E119" s="78">
        <f>IFERROR(AVERAGE(G119:R119),"na")</f>
        <v>602257.35586683138</v>
      </c>
      <c r="F119" s="82">
        <f>SUM(G119:R119)</f>
        <v>7227088.2704019761</v>
      </c>
      <c r="G119" s="90">
        <f>G106*G115</f>
        <v>628548.85406251438</v>
      </c>
      <c r="H119" s="90">
        <f t="shared" ref="H119:S119" si="35">H106*H115</f>
        <v>600440.02862085169</v>
      </c>
      <c r="I119" s="90">
        <f t="shared" si="35"/>
        <v>717894.69529657217</v>
      </c>
      <c r="J119" s="90">
        <f t="shared" si="35"/>
        <v>612315.87138837157</v>
      </c>
      <c r="K119" s="90">
        <f t="shared" si="35"/>
        <v>509186.7671848184</v>
      </c>
      <c r="L119" s="90">
        <f t="shared" si="35"/>
        <v>579521.76426784543</v>
      </c>
      <c r="M119" s="90">
        <f t="shared" si="35"/>
        <v>545707.88369228225</v>
      </c>
      <c r="N119" s="90">
        <f t="shared" si="35"/>
        <v>768870.45952367608</v>
      </c>
      <c r="O119" s="90">
        <f t="shared" si="35"/>
        <v>586338.82691853924</v>
      </c>
      <c r="P119" s="90">
        <f t="shared" si="35"/>
        <v>602776.47160011379</v>
      </c>
      <c r="Q119" s="90">
        <f t="shared" si="35"/>
        <v>629445.4837280442</v>
      </c>
      <c r="R119" s="90">
        <f t="shared" si="35"/>
        <v>446041.16411834705</v>
      </c>
      <c r="S119" s="90">
        <f t="shared" si="35"/>
        <v>33928.01283231462</v>
      </c>
    </row>
    <row r="120" spans="1:19" s="101" customFormat="1" outlineLevel="1" x14ac:dyDescent="0.25">
      <c r="B120" s="90" t="s">
        <v>39</v>
      </c>
      <c r="C120" s="90"/>
      <c r="D120" s="91" t="s">
        <v>112</v>
      </c>
      <c r="E120" s="78">
        <f t="shared" ref="E120" si="36">IFERROR(AVERAGE(G120:R120),"na")</f>
        <v>942067.88040029269</v>
      </c>
      <c r="F120" s="82">
        <f>SUM(G120:R120)</f>
        <v>11304814.564803513</v>
      </c>
      <c r="G120" s="90">
        <f>G107*G116</f>
        <v>942856.95320733369</v>
      </c>
      <c r="H120" s="90">
        <f t="shared" ref="H120:S120" si="37">H107*H116</f>
        <v>935004.29338227317</v>
      </c>
      <c r="I120" s="90">
        <f t="shared" si="37"/>
        <v>946612.69883058581</v>
      </c>
      <c r="J120" s="90">
        <f t="shared" si="37"/>
        <v>944502.07965816534</v>
      </c>
      <c r="K120" s="90">
        <f t="shared" si="37"/>
        <v>935449.54728987988</v>
      </c>
      <c r="L120" s="90">
        <f t="shared" si="37"/>
        <v>938170.22214090393</v>
      </c>
      <c r="M120" s="90">
        <f t="shared" si="37"/>
        <v>939225.53172711411</v>
      </c>
      <c r="N120" s="90">
        <f t="shared" si="37"/>
        <v>938170.22214090393</v>
      </c>
      <c r="O120" s="90">
        <f t="shared" si="37"/>
        <v>949206.15827943687</v>
      </c>
      <c r="P120" s="90">
        <f t="shared" si="37"/>
        <v>947668.0084167961</v>
      </c>
      <c r="Q120" s="90">
        <f t="shared" si="37"/>
        <v>952944.55634784733</v>
      </c>
      <c r="R120" s="90">
        <f t="shared" si="37"/>
        <v>935004.29338227317</v>
      </c>
      <c r="S120" s="90">
        <f t="shared" si="37"/>
        <v>71120.874520285492</v>
      </c>
    </row>
    <row r="121" spans="1:19" s="101" customFormat="1" ht="14.25" outlineLevel="1" x14ac:dyDescent="0.2">
      <c r="E121" s="102"/>
    </row>
    <row r="122" spans="1:19" s="101" customFormat="1" outlineLevel="1" x14ac:dyDescent="0.25">
      <c r="A122" s="90" t="s">
        <v>71</v>
      </c>
      <c r="E122" s="102"/>
    </row>
    <row r="123" spans="1:19" s="90" customFormat="1" outlineLevel="1" x14ac:dyDescent="0.25">
      <c r="B123" s="90" t="s">
        <v>37</v>
      </c>
      <c r="D123" s="91" t="s">
        <v>112</v>
      </c>
      <c r="E123" s="103">
        <f t="shared" ref="E123:E124" si="38">IFERROR(AVERAGE(G123:R123),"na")</f>
        <v>0.99934999999999985</v>
      </c>
      <c r="F123" s="104" t="s">
        <v>103</v>
      </c>
      <c r="G123" s="100">
        <f>$E$55</f>
        <v>0.99934999999999996</v>
      </c>
      <c r="H123" s="100">
        <f t="shared" ref="H123:S123" si="39">$E$55</f>
        <v>0.99934999999999996</v>
      </c>
      <c r="I123" s="100">
        <f t="shared" si="39"/>
        <v>0.99934999999999996</v>
      </c>
      <c r="J123" s="100">
        <f t="shared" si="39"/>
        <v>0.99934999999999996</v>
      </c>
      <c r="K123" s="100">
        <f t="shared" si="39"/>
        <v>0.99934999999999996</v>
      </c>
      <c r="L123" s="100">
        <f t="shared" si="39"/>
        <v>0.99934999999999996</v>
      </c>
      <c r="M123" s="100">
        <f t="shared" si="39"/>
        <v>0.99934999999999996</v>
      </c>
      <c r="N123" s="100">
        <f t="shared" si="39"/>
        <v>0.99934999999999996</v>
      </c>
      <c r="O123" s="100">
        <f t="shared" si="39"/>
        <v>0.99934999999999996</v>
      </c>
      <c r="P123" s="100">
        <f t="shared" si="39"/>
        <v>0.99934999999999996</v>
      </c>
      <c r="Q123" s="100">
        <f t="shared" si="39"/>
        <v>0.99934999999999996</v>
      </c>
      <c r="R123" s="100">
        <f t="shared" si="39"/>
        <v>0.99934999999999996</v>
      </c>
      <c r="S123" s="100">
        <f t="shared" si="39"/>
        <v>0.99934999999999996</v>
      </c>
    </row>
    <row r="124" spans="1:19" s="90" customFormat="1" outlineLevel="1" x14ac:dyDescent="0.25">
      <c r="B124" s="90" t="s">
        <v>39</v>
      </c>
      <c r="D124" s="91" t="s">
        <v>112</v>
      </c>
      <c r="E124" s="103">
        <f t="shared" si="38"/>
        <v>0.9900000000000001</v>
      </c>
      <c r="F124" s="104" t="s">
        <v>103</v>
      </c>
      <c r="G124" s="100">
        <f>$E$56</f>
        <v>0.99</v>
      </c>
      <c r="H124" s="100">
        <f t="shared" ref="H124:S124" si="40">$E$56</f>
        <v>0.99</v>
      </c>
      <c r="I124" s="100">
        <f t="shared" si="40"/>
        <v>0.99</v>
      </c>
      <c r="J124" s="100">
        <f t="shared" si="40"/>
        <v>0.99</v>
      </c>
      <c r="K124" s="100">
        <f t="shared" si="40"/>
        <v>0.99</v>
      </c>
      <c r="L124" s="100">
        <f t="shared" si="40"/>
        <v>0.99</v>
      </c>
      <c r="M124" s="100">
        <f t="shared" si="40"/>
        <v>0.99</v>
      </c>
      <c r="N124" s="100">
        <f t="shared" si="40"/>
        <v>0.99</v>
      </c>
      <c r="O124" s="100">
        <f t="shared" si="40"/>
        <v>0.99</v>
      </c>
      <c r="P124" s="100">
        <f t="shared" si="40"/>
        <v>0.99</v>
      </c>
      <c r="Q124" s="100">
        <f t="shared" si="40"/>
        <v>0.99</v>
      </c>
      <c r="R124" s="100">
        <f t="shared" si="40"/>
        <v>0.99</v>
      </c>
      <c r="S124" s="100">
        <f t="shared" si="40"/>
        <v>0.99</v>
      </c>
    </row>
    <row r="125" spans="1:19" s="90" customFormat="1" outlineLevel="1" x14ac:dyDescent="0.25">
      <c r="D125" s="91"/>
      <c r="E125" s="91"/>
    </row>
    <row r="126" spans="1:19" s="90" customFormat="1" outlineLevel="1" x14ac:dyDescent="0.25">
      <c r="A126" s="90" t="s">
        <v>117</v>
      </c>
      <c r="D126" s="91"/>
      <c r="E126" s="91"/>
    </row>
    <row r="127" spans="1:19" s="90" customFormat="1" outlineLevel="1" x14ac:dyDescent="0.25">
      <c r="B127" s="90" t="s">
        <v>37</v>
      </c>
      <c r="D127" s="91" t="s">
        <v>112</v>
      </c>
      <c r="E127" s="78">
        <f t="shared" ref="E127:E128" si="41">IFERROR(AVERAGE(G127:R127),"na")</f>
        <v>601865.88858551788</v>
      </c>
      <c r="F127" s="82">
        <f>SUM(G127:R127)</f>
        <v>7222390.6630262146</v>
      </c>
      <c r="G127" s="90">
        <f>G119*G123</f>
        <v>628140.29730737372</v>
      </c>
      <c r="H127" s="90">
        <f t="shared" ref="H127:S127" si="42">H119*H123</f>
        <v>600049.74260224809</v>
      </c>
      <c r="I127" s="90">
        <f t="shared" si="42"/>
        <v>717428.06374462938</v>
      </c>
      <c r="J127" s="90">
        <f t="shared" si="42"/>
        <v>611917.86607196915</v>
      </c>
      <c r="K127" s="90">
        <f t="shared" si="42"/>
        <v>508855.79578614823</v>
      </c>
      <c r="L127" s="90">
        <f t="shared" si="42"/>
        <v>579145.07512107131</v>
      </c>
      <c r="M127" s="90">
        <f t="shared" si="42"/>
        <v>545353.17356788227</v>
      </c>
      <c r="N127" s="90">
        <f t="shared" si="42"/>
        <v>768370.6937249857</v>
      </c>
      <c r="O127" s="90">
        <f t="shared" si="42"/>
        <v>585957.70668104221</v>
      </c>
      <c r="P127" s="90">
        <f t="shared" si="42"/>
        <v>602384.66689357371</v>
      </c>
      <c r="Q127" s="90">
        <f t="shared" si="42"/>
        <v>629036.34416362096</v>
      </c>
      <c r="R127" s="90">
        <f t="shared" si="42"/>
        <v>445751.23736167012</v>
      </c>
      <c r="S127" s="90">
        <f t="shared" si="42"/>
        <v>33905.959623973613</v>
      </c>
    </row>
    <row r="128" spans="1:19" s="90" customFormat="1" outlineLevel="1" x14ac:dyDescent="0.25">
      <c r="B128" s="90" t="s">
        <v>39</v>
      </c>
      <c r="D128" s="91" t="s">
        <v>112</v>
      </c>
      <c r="E128" s="78">
        <f t="shared" si="41"/>
        <v>932647.20159628987</v>
      </c>
      <c r="F128" s="82">
        <f>SUM(G128:R128)</f>
        <v>11191766.419155478</v>
      </c>
      <c r="G128" s="90">
        <f>G120*G124</f>
        <v>933428.38367526035</v>
      </c>
      <c r="H128" s="90">
        <f t="shared" ref="H128:S128" si="43">H120*H124</f>
        <v>925654.25044845045</v>
      </c>
      <c r="I128" s="90">
        <f t="shared" si="43"/>
        <v>937146.57184227998</v>
      </c>
      <c r="J128" s="90">
        <f t="shared" si="43"/>
        <v>935057.0588615837</v>
      </c>
      <c r="K128" s="90">
        <f t="shared" si="43"/>
        <v>926095.05181698105</v>
      </c>
      <c r="L128" s="90">
        <f t="shared" si="43"/>
        <v>928788.51991949487</v>
      </c>
      <c r="M128" s="90">
        <f t="shared" si="43"/>
        <v>929833.27640984301</v>
      </c>
      <c r="N128" s="90">
        <f t="shared" si="43"/>
        <v>928788.51991949487</v>
      </c>
      <c r="O128" s="90">
        <f t="shared" si="43"/>
        <v>939714.09669664246</v>
      </c>
      <c r="P128" s="90">
        <f t="shared" si="43"/>
        <v>938191.32833262812</v>
      </c>
      <c r="Q128" s="90">
        <f t="shared" si="43"/>
        <v>943415.11078436882</v>
      </c>
      <c r="R128" s="90">
        <f t="shared" si="43"/>
        <v>925654.25044845045</v>
      </c>
      <c r="S128" s="90">
        <f t="shared" si="43"/>
        <v>70409.665775082642</v>
      </c>
    </row>
    <row r="129" spans="1:19" s="90" customFormat="1" outlineLevel="1" x14ac:dyDescent="0.25">
      <c r="D129" s="91"/>
      <c r="E129" s="91"/>
    </row>
    <row r="130" spans="1:19" s="90" customFormat="1" x14ac:dyDescent="0.25">
      <c r="D130" s="91"/>
      <c r="E130" s="91"/>
    </row>
    <row r="131" spans="1:19" s="28" customFormat="1" ht="18.75" customHeight="1" x14ac:dyDescent="0.3">
      <c r="A131" s="27" t="s">
        <v>81</v>
      </c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 s="4" customFormat="1" ht="16.5" customHeight="1" outlineLevel="1" x14ac:dyDescent="0.25">
      <c r="D132" s="77"/>
      <c r="E132" s="77"/>
      <c r="F132" s="77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9" s="62" customFormat="1" outlineLevel="1" x14ac:dyDescent="0.25">
      <c r="A133" s="74" t="s">
        <v>34</v>
      </c>
      <c r="D133" s="75"/>
      <c r="E133" s="75"/>
      <c r="F133" s="75"/>
    </row>
    <row r="134" spans="1:19" s="62" customFormat="1" outlineLevel="1" x14ac:dyDescent="0.25">
      <c r="B134" s="62" t="s">
        <v>37</v>
      </c>
      <c r="D134" s="75" t="s">
        <v>83</v>
      </c>
      <c r="E134" s="78">
        <f t="shared" ref="E134:E135" si="44">IFERROR(AVERAGE(G134:R134),"na")</f>
        <v>2387.5</v>
      </c>
      <c r="F134" s="105" t="s">
        <v>103</v>
      </c>
      <c r="G134" s="106">
        <f>G24</f>
        <v>2300</v>
      </c>
      <c r="H134" s="106">
        <f t="shared" ref="H134:S134" si="45">H24</f>
        <v>2350</v>
      </c>
      <c r="I134" s="106">
        <f t="shared" si="45"/>
        <v>2400</v>
      </c>
      <c r="J134" s="106">
        <f t="shared" si="45"/>
        <v>2400</v>
      </c>
      <c r="K134" s="106">
        <f t="shared" si="45"/>
        <v>2400</v>
      </c>
      <c r="L134" s="106">
        <f t="shared" si="45"/>
        <v>2400</v>
      </c>
      <c r="M134" s="106">
        <f t="shared" si="45"/>
        <v>2400</v>
      </c>
      <c r="N134" s="106">
        <f t="shared" si="45"/>
        <v>2400</v>
      </c>
      <c r="O134" s="106">
        <f t="shared" si="45"/>
        <v>2400</v>
      </c>
      <c r="P134" s="106">
        <f t="shared" si="45"/>
        <v>2400</v>
      </c>
      <c r="Q134" s="106">
        <f t="shared" si="45"/>
        <v>2400</v>
      </c>
      <c r="R134" s="106">
        <f t="shared" si="45"/>
        <v>2400</v>
      </c>
      <c r="S134" s="106">
        <f t="shared" si="45"/>
        <v>2400</v>
      </c>
    </row>
    <row r="135" spans="1:19" s="62" customFormat="1" outlineLevel="1" x14ac:dyDescent="0.25">
      <c r="B135" s="62" t="s">
        <v>39</v>
      </c>
      <c r="D135" s="75" t="s">
        <v>83</v>
      </c>
      <c r="E135" s="78">
        <f t="shared" si="44"/>
        <v>31.666666666666668</v>
      </c>
      <c r="F135" s="105" t="s">
        <v>103</v>
      </c>
      <c r="G135" s="106">
        <f>G25</f>
        <v>29</v>
      </c>
      <c r="H135" s="106">
        <f t="shared" ref="H135:S135" si="46">H25</f>
        <v>31</v>
      </c>
      <c r="I135" s="106">
        <f t="shared" si="46"/>
        <v>32</v>
      </c>
      <c r="J135" s="106">
        <f t="shared" si="46"/>
        <v>32</v>
      </c>
      <c r="K135" s="106">
        <f t="shared" si="46"/>
        <v>32</v>
      </c>
      <c r="L135" s="106">
        <f t="shared" si="46"/>
        <v>32</v>
      </c>
      <c r="M135" s="106">
        <f t="shared" si="46"/>
        <v>32</v>
      </c>
      <c r="N135" s="106">
        <f t="shared" si="46"/>
        <v>32</v>
      </c>
      <c r="O135" s="106">
        <f t="shared" si="46"/>
        <v>32</v>
      </c>
      <c r="P135" s="106">
        <f t="shared" si="46"/>
        <v>32</v>
      </c>
      <c r="Q135" s="106">
        <f t="shared" si="46"/>
        <v>32</v>
      </c>
      <c r="R135" s="106">
        <f t="shared" si="46"/>
        <v>32</v>
      </c>
      <c r="S135" s="106">
        <f t="shared" si="46"/>
        <v>32</v>
      </c>
    </row>
    <row r="136" spans="1:19" s="62" customFormat="1" outlineLevel="1" x14ac:dyDescent="0.25">
      <c r="D136" s="75"/>
      <c r="E136" s="75"/>
      <c r="F136" s="75"/>
    </row>
    <row r="137" spans="1:19" s="90" customFormat="1" outlineLevel="1" x14ac:dyDescent="0.25">
      <c r="A137" s="74" t="s">
        <v>117</v>
      </c>
      <c r="E137" s="91"/>
      <c r="F137" s="91"/>
    </row>
    <row r="138" spans="1:19" s="101" customFormat="1" outlineLevel="1" x14ac:dyDescent="0.25">
      <c r="B138" s="62" t="s">
        <v>37</v>
      </c>
      <c r="D138" s="91" t="s">
        <v>112</v>
      </c>
      <c r="E138" s="78">
        <f t="shared" ref="E138:E139" si="47">IFERROR(AVERAGE(G138:R138),"na")</f>
        <v>601865.88858551788</v>
      </c>
      <c r="F138" s="78">
        <f>SUM(G138:R138)</f>
        <v>7222390.6630262146</v>
      </c>
      <c r="G138" s="106">
        <f>G127</f>
        <v>628140.29730737372</v>
      </c>
      <c r="H138" s="106">
        <f t="shared" ref="H138:S138" si="48">H127</f>
        <v>600049.74260224809</v>
      </c>
      <c r="I138" s="106">
        <f t="shared" si="48"/>
        <v>717428.06374462938</v>
      </c>
      <c r="J138" s="106">
        <f t="shared" si="48"/>
        <v>611917.86607196915</v>
      </c>
      <c r="K138" s="106">
        <f t="shared" si="48"/>
        <v>508855.79578614823</v>
      </c>
      <c r="L138" s="106">
        <f t="shared" si="48"/>
        <v>579145.07512107131</v>
      </c>
      <c r="M138" s="106">
        <f t="shared" si="48"/>
        <v>545353.17356788227</v>
      </c>
      <c r="N138" s="106">
        <f t="shared" si="48"/>
        <v>768370.6937249857</v>
      </c>
      <c r="O138" s="106">
        <f t="shared" si="48"/>
        <v>585957.70668104221</v>
      </c>
      <c r="P138" s="106">
        <f t="shared" si="48"/>
        <v>602384.66689357371</v>
      </c>
      <c r="Q138" s="106">
        <f t="shared" si="48"/>
        <v>629036.34416362096</v>
      </c>
      <c r="R138" s="106">
        <f t="shared" si="48"/>
        <v>445751.23736167012</v>
      </c>
      <c r="S138" s="106">
        <f t="shared" si="48"/>
        <v>33905.959623973613</v>
      </c>
    </row>
    <row r="139" spans="1:19" s="101" customFormat="1" outlineLevel="1" x14ac:dyDescent="0.25">
      <c r="B139" s="62" t="s">
        <v>39</v>
      </c>
      <c r="D139" s="91" t="s">
        <v>112</v>
      </c>
      <c r="E139" s="78">
        <f t="shared" si="47"/>
        <v>932647.20159628987</v>
      </c>
      <c r="F139" s="78">
        <f>SUM(G139:R139)</f>
        <v>11191766.419155478</v>
      </c>
      <c r="G139" s="106">
        <f>G128</f>
        <v>933428.38367526035</v>
      </c>
      <c r="H139" s="106">
        <f t="shared" ref="H139:S139" si="49">H128</f>
        <v>925654.25044845045</v>
      </c>
      <c r="I139" s="106">
        <f t="shared" si="49"/>
        <v>937146.57184227998</v>
      </c>
      <c r="J139" s="106">
        <f t="shared" si="49"/>
        <v>935057.0588615837</v>
      </c>
      <c r="K139" s="106">
        <f t="shared" si="49"/>
        <v>926095.05181698105</v>
      </c>
      <c r="L139" s="106">
        <f t="shared" si="49"/>
        <v>928788.51991949487</v>
      </c>
      <c r="M139" s="106">
        <f t="shared" si="49"/>
        <v>929833.27640984301</v>
      </c>
      <c r="N139" s="106">
        <f t="shared" si="49"/>
        <v>928788.51991949487</v>
      </c>
      <c r="O139" s="106">
        <f t="shared" si="49"/>
        <v>939714.09669664246</v>
      </c>
      <c r="P139" s="106">
        <f t="shared" si="49"/>
        <v>938191.32833262812</v>
      </c>
      <c r="Q139" s="106">
        <f t="shared" si="49"/>
        <v>943415.11078436882</v>
      </c>
      <c r="R139" s="106">
        <f t="shared" si="49"/>
        <v>925654.25044845045</v>
      </c>
      <c r="S139" s="106">
        <f t="shared" si="49"/>
        <v>70409.665775082642</v>
      </c>
    </row>
    <row r="140" spans="1:19" s="62" customFormat="1" outlineLevel="1" x14ac:dyDescent="0.25">
      <c r="D140" s="75"/>
      <c r="E140" s="78"/>
      <c r="F140" s="105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</row>
    <row r="141" spans="1:19" s="62" customFormat="1" outlineLevel="1" x14ac:dyDescent="0.25">
      <c r="A141" s="74" t="s">
        <v>118</v>
      </c>
      <c r="D141" s="75"/>
      <c r="E141" s="78"/>
      <c r="F141" s="105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</row>
    <row r="142" spans="1:19" s="62" customFormat="1" outlineLevel="1" x14ac:dyDescent="0.25">
      <c r="B142" s="62" t="s">
        <v>115</v>
      </c>
      <c r="D142" s="75" t="s">
        <v>102</v>
      </c>
      <c r="E142" s="78">
        <f t="shared" ref="E142" si="50">IFERROR(AVERAGE(G142:R142),"na")</f>
        <v>20088750</v>
      </c>
      <c r="F142" s="78">
        <f>SUM(G142:R142)</f>
        <v>241065000</v>
      </c>
      <c r="G142" s="106">
        <f>G112</f>
        <v>20130000</v>
      </c>
      <c r="H142" s="106">
        <f t="shared" ref="H142:S142" si="51">H112</f>
        <v>20075000</v>
      </c>
      <c r="I142" s="106">
        <f t="shared" si="51"/>
        <v>20075000</v>
      </c>
      <c r="J142" s="106">
        <f t="shared" si="51"/>
        <v>20075000</v>
      </c>
      <c r="K142" s="106">
        <f t="shared" si="51"/>
        <v>20130000</v>
      </c>
      <c r="L142" s="106">
        <f t="shared" si="51"/>
        <v>20075000</v>
      </c>
      <c r="M142" s="106">
        <f t="shared" si="51"/>
        <v>20075000</v>
      </c>
      <c r="N142" s="106">
        <f t="shared" si="51"/>
        <v>20075000</v>
      </c>
      <c r="O142" s="106">
        <f t="shared" si="51"/>
        <v>20130000</v>
      </c>
      <c r="P142" s="106">
        <f t="shared" si="51"/>
        <v>20075000</v>
      </c>
      <c r="Q142" s="106">
        <f t="shared" si="51"/>
        <v>20075000</v>
      </c>
      <c r="R142" s="106">
        <f t="shared" si="51"/>
        <v>20075000</v>
      </c>
      <c r="S142" s="106">
        <f t="shared" si="51"/>
        <v>1527000</v>
      </c>
    </row>
    <row r="143" spans="1:19" s="101" customFormat="1" outlineLevel="1" x14ac:dyDescent="0.25">
      <c r="E143" s="102"/>
      <c r="F143" s="78"/>
    </row>
    <row r="144" spans="1:19" s="101" customFormat="1" ht="14.25" outlineLevel="1" x14ac:dyDescent="0.2">
      <c r="E144" s="102"/>
      <c r="F144" s="102"/>
    </row>
    <row r="145" spans="1:19" s="90" customFormat="1" outlineLevel="1" x14ac:dyDescent="0.25">
      <c r="A145" s="76" t="s">
        <v>119</v>
      </c>
      <c r="B145" s="4"/>
      <c r="C145" s="4"/>
      <c r="D145" s="77"/>
      <c r="E145" s="77"/>
      <c r="F145" s="77"/>
    </row>
    <row r="146" spans="1:19" s="90" customFormat="1" outlineLevel="1" x14ac:dyDescent="0.25">
      <c r="A146" s="101"/>
      <c r="D146" s="91"/>
      <c r="E146" s="91"/>
      <c r="F146" s="91"/>
    </row>
    <row r="147" spans="1:19" s="90" customFormat="1" outlineLevel="1" x14ac:dyDescent="0.25">
      <c r="A147" s="90" t="s">
        <v>4</v>
      </c>
      <c r="D147" s="91"/>
      <c r="E147" s="91"/>
      <c r="F147" s="91"/>
    </row>
    <row r="148" spans="1:19" s="90" customFormat="1" outlineLevel="1" x14ac:dyDescent="0.25">
      <c r="B148" s="90" t="s">
        <v>37</v>
      </c>
      <c r="D148" s="91" t="s">
        <v>120</v>
      </c>
      <c r="E148" s="78">
        <f t="shared" ref="E148:E150" si="52">IFERROR(AVERAGE(G148:R148),"na")</f>
        <v>1436743422.8668392</v>
      </c>
      <c r="F148" s="78">
        <f>SUM(G148:R148)</f>
        <v>17240921074.402069</v>
      </c>
      <c r="G148" s="90">
        <f>G134*G138</f>
        <v>1444722683.8069596</v>
      </c>
      <c r="H148" s="90">
        <f t="shared" ref="H148:S148" si="53">H134*H138</f>
        <v>1410116895.115283</v>
      </c>
      <c r="I148" s="90">
        <f t="shared" si="53"/>
        <v>1721827352.9871106</v>
      </c>
      <c r="J148" s="90">
        <f t="shared" si="53"/>
        <v>1468602878.572726</v>
      </c>
      <c r="K148" s="90">
        <f t="shared" si="53"/>
        <v>1221253909.8867557</v>
      </c>
      <c r="L148" s="90">
        <f t="shared" si="53"/>
        <v>1389948180.2905712</v>
      </c>
      <c r="M148" s="90">
        <f t="shared" si="53"/>
        <v>1308847616.5629175</v>
      </c>
      <c r="N148" s="90">
        <f t="shared" si="53"/>
        <v>1844089664.9399657</v>
      </c>
      <c r="O148" s="90">
        <f t="shared" si="53"/>
        <v>1406298496.0345013</v>
      </c>
      <c r="P148" s="90">
        <f t="shared" si="53"/>
        <v>1445723200.5445769</v>
      </c>
      <c r="Q148" s="90">
        <f t="shared" si="53"/>
        <v>1509687225.9926903</v>
      </c>
      <c r="R148" s="90">
        <f t="shared" si="53"/>
        <v>1069802969.6680083</v>
      </c>
      <c r="S148" s="90">
        <f t="shared" si="53"/>
        <v>81374303.097536668</v>
      </c>
    </row>
    <row r="149" spans="1:19" s="90" customFormat="1" outlineLevel="1" x14ac:dyDescent="0.25">
      <c r="B149" s="90" t="s">
        <v>39</v>
      </c>
      <c r="D149" s="91" t="s">
        <v>120</v>
      </c>
      <c r="E149" s="78">
        <f t="shared" si="52"/>
        <v>29534215.500958424</v>
      </c>
      <c r="F149" s="78">
        <f>SUM(G149:R149)</f>
        <v>354410586.01150107</v>
      </c>
      <c r="G149" s="90">
        <f>G135*G139</f>
        <v>27069423.126582552</v>
      </c>
      <c r="H149" s="90">
        <f t="shared" ref="H149:S149" si="54">H135*H139</f>
        <v>28695281.763901964</v>
      </c>
      <c r="I149" s="90">
        <f t="shared" si="54"/>
        <v>29988690.298952959</v>
      </c>
      <c r="J149" s="90">
        <f t="shared" si="54"/>
        <v>29921825.883570679</v>
      </c>
      <c r="K149" s="90">
        <f t="shared" si="54"/>
        <v>29635041.658143394</v>
      </c>
      <c r="L149" s="90">
        <f t="shared" si="54"/>
        <v>29721232.637423836</v>
      </c>
      <c r="M149" s="90">
        <f t="shared" si="54"/>
        <v>29754664.845114976</v>
      </c>
      <c r="N149" s="90">
        <f t="shared" si="54"/>
        <v>29721232.637423836</v>
      </c>
      <c r="O149" s="90">
        <f t="shared" si="54"/>
        <v>30070851.094292559</v>
      </c>
      <c r="P149" s="90">
        <f t="shared" si="54"/>
        <v>30022122.5066441</v>
      </c>
      <c r="Q149" s="90">
        <f t="shared" si="54"/>
        <v>30189283.545099802</v>
      </c>
      <c r="R149" s="90">
        <f t="shared" si="54"/>
        <v>29620936.014350414</v>
      </c>
      <c r="S149" s="90">
        <f t="shared" si="54"/>
        <v>2253109.3048026445</v>
      </c>
    </row>
    <row r="150" spans="1:19" s="90" customFormat="1" outlineLevel="1" x14ac:dyDescent="0.25">
      <c r="A150" s="107" t="s">
        <v>121</v>
      </c>
      <c r="B150" s="108"/>
      <c r="C150" s="108"/>
      <c r="D150" s="109"/>
      <c r="E150" s="110">
        <f t="shared" si="52"/>
        <v>1466277638.3677976</v>
      </c>
      <c r="F150" s="110">
        <f>SUM(G150:R150)</f>
        <v>17595331660.41357</v>
      </c>
      <c r="G150" s="110">
        <f>SUM(G148:G149)</f>
        <v>1471792106.9335423</v>
      </c>
      <c r="H150" s="110">
        <f t="shared" ref="H150:S150" si="55">SUM(H148:H149)</f>
        <v>1438812176.879185</v>
      </c>
      <c r="I150" s="110">
        <f t="shared" si="55"/>
        <v>1751816043.2860637</v>
      </c>
      <c r="J150" s="110">
        <f t="shared" si="55"/>
        <v>1498524704.4562967</v>
      </c>
      <c r="K150" s="110">
        <f t="shared" si="55"/>
        <v>1250888951.544899</v>
      </c>
      <c r="L150" s="110">
        <f t="shared" si="55"/>
        <v>1419669412.927995</v>
      </c>
      <c r="M150" s="110">
        <f t="shared" si="55"/>
        <v>1338602281.4080324</v>
      </c>
      <c r="N150" s="110">
        <f t="shared" si="55"/>
        <v>1873810897.5773895</v>
      </c>
      <c r="O150" s="110">
        <f t="shared" si="55"/>
        <v>1436369347.128794</v>
      </c>
      <c r="P150" s="110">
        <f t="shared" si="55"/>
        <v>1475745323.0512209</v>
      </c>
      <c r="Q150" s="110">
        <f t="shared" si="55"/>
        <v>1539876509.5377901</v>
      </c>
      <c r="R150" s="110">
        <f t="shared" si="55"/>
        <v>1099423905.6823587</v>
      </c>
      <c r="S150" s="110">
        <f t="shared" si="55"/>
        <v>83627412.402339309</v>
      </c>
    </row>
    <row r="151" spans="1:19" s="90" customFormat="1" outlineLevel="1" x14ac:dyDescent="0.25">
      <c r="D151" s="91"/>
      <c r="E151" s="91"/>
      <c r="F151" s="91"/>
    </row>
    <row r="152" spans="1:19" s="90" customFormat="1" outlineLevel="1" x14ac:dyDescent="0.25">
      <c r="A152" s="90" t="s">
        <v>64</v>
      </c>
      <c r="D152" s="91"/>
      <c r="E152" s="91"/>
      <c r="F152" s="91"/>
    </row>
    <row r="153" spans="1:19" s="90" customFormat="1" outlineLevel="1" x14ac:dyDescent="0.25">
      <c r="B153" s="90" t="s">
        <v>5</v>
      </c>
      <c r="D153" s="91" t="s">
        <v>120</v>
      </c>
      <c r="E153" s="98">
        <f>'Ewueibi Asset'!$E$52</f>
        <v>1.4E-2</v>
      </c>
      <c r="F153" s="78">
        <f>SUM(G153:R153)</f>
        <v>246334643.24578995</v>
      </c>
      <c r="G153" s="90">
        <f>$E$153*G150</f>
        <v>20605089.497069594</v>
      </c>
      <c r="H153" s="90">
        <f t="shared" ref="H153:S153" si="56">$E$153*H150</f>
        <v>20143370.476308592</v>
      </c>
      <c r="I153" s="90">
        <f t="shared" si="56"/>
        <v>24525424.60600489</v>
      </c>
      <c r="J153" s="90">
        <f t="shared" si="56"/>
        <v>20979345.862388153</v>
      </c>
      <c r="K153" s="90">
        <f t="shared" si="56"/>
        <v>17512445.321628585</v>
      </c>
      <c r="L153" s="90">
        <f t="shared" si="56"/>
        <v>19875371.780991931</v>
      </c>
      <c r="M153" s="90">
        <f t="shared" si="56"/>
        <v>18740431.939712454</v>
      </c>
      <c r="N153" s="90">
        <f t="shared" si="56"/>
        <v>26233352.566083454</v>
      </c>
      <c r="O153" s="90">
        <f t="shared" si="56"/>
        <v>20109170.859803114</v>
      </c>
      <c r="P153" s="90">
        <f t="shared" si="56"/>
        <v>20660434.522717092</v>
      </c>
      <c r="Q153" s="90">
        <f t="shared" si="56"/>
        <v>21558271.13352906</v>
      </c>
      <c r="R153" s="90">
        <f t="shared" si="56"/>
        <v>15391934.679553023</v>
      </c>
      <c r="S153" s="90">
        <f t="shared" si="56"/>
        <v>1170783.7736327504</v>
      </c>
    </row>
    <row r="154" spans="1:19" s="90" customFormat="1" outlineLevel="1" x14ac:dyDescent="0.25">
      <c r="A154" s="108" t="s">
        <v>122</v>
      </c>
      <c r="B154" s="108"/>
      <c r="C154" s="108"/>
      <c r="D154" s="109" t="s">
        <v>120</v>
      </c>
      <c r="E154" s="86">
        <f t="shared" ref="E154" si="57">IFERROR(AVERAGE(G154:R154),"na")</f>
        <v>20527886.937149163</v>
      </c>
      <c r="F154" s="86">
        <f>SUM(G154:R154)</f>
        <v>246334643.24578995</v>
      </c>
      <c r="G154" s="108">
        <f>SUM(G153)</f>
        <v>20605089.497069594</v>
      </c>
      <c r="H154" s="108">
        <f t="shared" ref="H154:S154" si="58">SUM(H153)</f>
        <v>20143370.476308592</v>
      </c>
      <c r="I154" s="108">
        <f t="shared" si="58"/>
        <v>24525424.60600489</v>
      </c>
      <c r="J154" s="108">
        <f t="shared" si="58"/>
        <v>20979345.862388153</v>
      </c>
      <c r="K154" s="108">
        <f t="shared" si="58"/>
        <v>17512445.321628585</v>
      </c>
      <c r="L154" s="108">
        <f t="shared" si="58"/>
        <v>19875371.780991931</v>
      </c>
      <c r="M154" s="108">
        <f t="shared" si="58"/>
        <v>18740431.939712454</v>
      </c>
      <c r="N154" s="108">
        <f t="shared" si="58"/>
        <v>26233352.566083454</v>
      </c>
      <c r="O154" s="108">
        <f t="shared" si="58"/>
        <v>20109170.859803114</v>
      </c>
      <c r="P154" s="108">
        <f t="shared" si="58"/>
        <v>20660434.522717092</v>
      </c>
      <c r="Q154" s="108">
        <f t="shared" si="58"/>
        <v>21558271.13352906</v>
      </c>
      <c r="R154" s="108">
        <f t="shared" si="58"/>
        <v>15391934.679553023</v>
      </c>
      <c r="S154" s="108">
        <f t="shared" si="58"/>
        <v>1170783.7736327504</v>
      </c>
    </row>
    <row r="155" spans="1:19" s="90" customFormat="1" outlineLevel="1" x14ac:dyDescent="0.25">
      <c r="D155" s="91"/>
      <c r="E155" s="91"/>
      <c r="F155" s="78"/>
    </row>
    <row r="156" spans="1:19" s="90" customFormat="1" outlineLevel="1" x14ac:dyDescent="0.25">
      <c r="A156" s="90" t="s">
        <v>123</v>
      </c>
      <c r="D156" s="91"/>
      <c r="E156" s="91"/>
      <c r="F156" s="91"/>
    </row>
    <row r="157" spans="1:19" s="90" customFormat="1" outlineLevel="1" x14ac:dyDescent="0.25">
      <c r="B157" s="62" t="s">
        <v>75</v>
      </c>
      <c r="D157" s="91" t="s">
        <v>124</v>
      </c>
      <c r="E157" s="111">
        <f t="shared" ref="E157:E161" si="59">IFERROR(AVERAGE(G157:R157),"na")</f>
        <v>9.61</v>
      </c>
      <c r="F157" s="105" t="s">
        <v>103</v>
      </c>
      <c r="G157" s="112">
        <f>$G59</f>
        <v>9.61</v>
      </c>
      <c r="H157" s="112">
        <f t="shared" ref="H157:S157" si="60">$G59</f>
        <v>9.61</v>
      </c>
      <c r="I157" s="112">
        <f t="shared" si="60"/>
        <v>9.61</v>
      </c>
      <c r="J157" s="112">
        <f t="shared" si="60"/>
        <v>9.61</v>
      </c>
      <c r="K157" s="112">
        <f t="shared" si="60"/>
        <v>9.61</v>
      </c>
      <c r="L157" s="112">
        <f t="shared" si="60"/>
        <v>9.61</v>
      </c>
      <c r="M157" s="112">
        <f t="shared" si="60"/>
        <v>9.61</v>
      </c>
      <c r="N157" s="112">
        <f t="shared" si="60"/>
        <v>9.61</v>
      </c>
      <c r="O157" s="112">
        <f t="shared" si="60"/>
        <v>9.61</v>
      </c>
      <c r="P157" s="112">
        <f t="shared" si="60"/>
        <v>9.61</v>
      </c>
      <c r="Q157" s="112">
        <f t="shared" si="60"/>
        <v>9.61</v>
      </c>
      <c r="R157" s="112">
        <f t="shared" si="60"/>
        <v>9.61</v>
      </c>
      <c r="S157" s="112">
        <f t="shared" si="60"/>
        <v>9.61</v>
      </c>
    </row>
    <row r="158" spans="1:19" s="90" customFormat="1" outlineLevel="1" x14ac:dyDescent="0.25">
      <c r="B158" s="62" t="s">
        <v>78</v>
      </c>
      <c r="D158" s="91" t="s">
        <v>124</v>
      </c>
      <c r="E158" s="111">
        <f t="shared" si="59"/>
        <v>10.049999999999999</v>
      </c>
      <c r="F158" s="105" t="s">
        <v>103</v>
      </c>
      <c r="G158" s="112">
        <f t="shared" ref="G158:S160" si="61">$G60</f>
        <v>10.050000000000001</v>
      </c>
      <c r="H158" s="112">
        <f t="shared" si="61"/>
        <v>10.050000000000001</v>
      </c>
      <c r="I158" s="112">
        <f t="shared" si="61"/>
        <v>10.050000000000001</v>
      </c>
      <c r="J158" s="112">
        <f t="shared" si="61"/>
        <v>10.050000000000001</v>
      </c>
      <c r="K158" s="112">
        <f t="shared" si="61"/>
        <v>10.050000000000001</v>
      </c>
      <c r="L158" s="112">
        <f t="shared" si="61"/>
        <v>10.050000000000001</v>
      </c>
      <c r="M158" s="112">
        <f t="shared" si="61"/>
        <v>10.050000000000001</v>
      </c>
      <c r="N158" s="112">
        <f t="shared" si="61"/>
        <v>10.050000000000001</v>
      </c>
      <c r="O158" s="112">
        <f t="shared" si="61"/>
        <v>10.050000000000001</v>
      </c>
      <c r="P158" s="112">
        <f t="shared" si="61"/>
        <v>10.050000000000001</v>
      </c>
      <c r="Q158" s="112">
        <f t="shared" si="61"/>
        <v>10.050000000000001</v>
      </c>
      <c r="R158" s="112">
        <f t="shared" si="61"/>
        <v>10.050000000000001</v>
      </c>
      <c r="S158" s="112">
        <f t="shared" si="61"/>
        <v>10.050000000000001</v>
      </c>
    </row>
    <row r="159" spans="1:19" s="90" customFormat="1" outlineLevel="1" x14ac:dyDescent="0.25">
      <c r="B159" s="62" t="s">
        <v>79</v>
      </c>
      <c r="D159" s="91" t="s">
        <v>124</v>
      </c>
      <c r="E159" s="111">
        <f t="shared" si="59"/>
        <v>0.59999999999999987</v>
      </c>
      <c r="F159" s="105" t="s">
        <v>103</v>
      </c>
      <c r="G159" s="112">
        <f t="shared" si="61"/>
        <v>0.6</v>
      </c>
      <c r="H159" s="112">
        <f t="shared" si="61"/>
        <v>0.6</v>
      </c>
      <c r="I159" s="112">
        <f t="shared" si="61"/>
        <v>0.6</v>
      </c>
      <c r="J159" s="112">
        <f t="shared" si="61"/>
        <v>0.6</v>
      </c>
      <c r="K159" s="112">
        <f t="shared" si="61"/>
        <v>0.6</v>
      </c>
      <c r="L159" s="112">
        <f t="shared" si="61"/>
        <v>0.6</v>
      </c>
      <c r="M159" s="112">
        <f t="shared" si="61"/>
        <v>0.6</v>
      </c>
      <c r="N159" s="112">
        <f t="shared" si="61"/>
        <v>0.6</v>
      </c>
      <c r="O159" s="112">
        <f t="shared" si="61"/>
        <v>0.6</v>
      </c>
      <c r="P159" s="112">
        <f t="shared" si="61"/>
        <v>0.6</v>
      </c>
      <c r="Q159" s="112">
        <f t="shared" si="61"/>
        <v>0.6</v>
      </c>
      <c r="R159" s="112">
        <f t="shared" si="61"/>
        <v>0.6</v>
      </c>
      <c r="S159" s="112">
        <f t="shared" si="61"/>
        <v>0.6</v>
      </c>
    </row>
    <row r="160" spans="1:19" s="90" customFormat="1" outlineLevel="1" x14ac:dyDescent="0.25">
      <c r="B160" s="62" t="s">
        <v>80</v>
      </c>
      <c r="D160" s="91" t="s">
        <v>124</v>
      </c>
      <c r="E160" s="111">
        <f t="shared" si="59"/>
        <v>3.1700000000000004</v>
      </c>
      <c r="F160" s="105" t="s">
        <v>103</v>
      </c>
      <c r="G160" s="112">
        <f t="shared" si="61"/>
        <v>3.17</v>
      </c>
      <c r="H160" s="112">
        <f t="shared" si="61"/>
        <v>3.17</v>
      </c>
      <c r="I160" s="112">
        <f t="shared" si="61"/>
        <v>3.17</v>
      </c>
      <c r="J160" s="112">
        <f t="shared" si="61"/>
        <v>3.17</v>
      </c>
      <c r="K160" s="112">
        <f t="shared" si="61"/>
        <v>3.17</v>
      </c>
      <c r="L160" s="112">
        <f t="shared" si="61"/>
        <v>3.17</v>
      </c>
      <c r="M160" s="112">
        <f t="shared" si="61"/>
        <v>3.17</v>
      </c>
      <c r="N160" s="112">
        <f t="shared" si="61"/>
        <v>3.17</v>
      </c>
      <c r="O160" s="112">
        <f t="shared" si="61"/>
        <v>3.17</v>
      </c>
      <c r="P160" s="112">
        <f t="shared" si="61"/>
        <v>3.17</v>
      </c>
      <c r="Q160" s="112">
        <f t="shared" si="61"/>
        <v>3.17</v>
      </c>
      <c r="R160" s="112">
        <f t="shared" si="61"/>
        <v>3.17</v>
      </c>
      <c r="S160" s="112">
        <f t="shared" si="61"/>
        <v>3.17</v>
      </c>
    </row>
    <row r="161" spans="1:19" s="90" customFormat="1" outlineLevel="1" x14ac:dyDescent="0.25">
      <c r="A161" s="84" t="s">
        <v>6</v>
      </c>
      <c r="B161" s="83"/>
      <c r="C161" s="108"/>
      <c r="D161" s="109" t="s">
        <v>124</v>
      </c>
      <c r="E161" s="113">
        <f t="shared" si="59"/>
        <v>23.430000000000003</v>
      </c>
      <c r="F161" s="114" t="s">
        <v>103</v>
      </c>
      <c r="G161" s="115">
        <f>SUM(G157:G160)</f>
        <v>23.43</v>
      </c>
      <c r="H161" s="115">
        <f t="shared" ref="H161:S161" si="62">SUM(H157:H160)</f>
        <v>23.43</v>
      </c>
      <c r="I161" s="115">
        <f t="shared" si="62"/>
        <v>23.43</v>
      </c>
      <c r="J161" s="115">
        <f t="shared" si="62"/>
        <v>23.43</v>
      </c>
      <c r="K161" s="115">
        <f t="shared" si="62"/>
        <v>23.43</v>
      </c>
      <c r="L161" s="115">
        <f t="shared" si="62"/>
        <v>23.43</v>
      </c>
      <c r="M161" s="115">
        <f t="shared" si="62"/>
        <v>23.43</v>
      </c>
      <c r="N161" s="115">
        <f t="shared" si="62"/>
        <v>23.43</v>
      </c>
      <c r="O161" s="115">
        <f t="shared" si="62"/>
        <v>23.43</v>
      </c>
      <c r="P161" s="115">
        <f t="shared" si="62"/>
        <v>23.43</v>
      </c>
      <c r="Q161" s="115">
        <f t="shared" si="62"/>
        <v>23.43</v>
      </c>
      <c r="R161" s="115">
        <f t="shared" si="62"/>
        <v>23.43</v>
      </c>
      <c r="S161" s="115">
        <f t="shared" si="62"/>
        <v>23.43</v>
      </c>
    </row>
    <row r="162" spans="1:19" s="90" customFormat="1" outlineLevel="1" x14ac:dyDescent="0.25">
      <c r="D162" s="91"/>
      <c r="E162" s="91"/>
      <c r="F162" s="91"/>
    </row>
    <row r="163" spans="1:19" s="90" customFormat="1" outlineLevel="1" x14ac:dyDescent="0.25">
      <c r="A163" s="90" t="s">
        <v>125</v>
      </c>
      <c r="D163" s="91"/>
      <c r="E163" s="91"/>
      <c r="F163" s="91"/>
    </row>
    <row r="164" spans="1:19" s="90" customFormat="1" outlineLevel="1" x14ac:dyDescent="0.25">
      <c r="B164" s="62" t="s">
        <v>75</v>
      </c>
      <c r="D164" s="91" t="s">
        <v>120</v>
      </c>
      <c r="E164" s="78">
        <f t="shared" ref="E164:E168" si="63">IFERROR(AVERAGE(G164:R164),"na")</f>
        <v>193052887.5</v>
      </c>
      <c r="F164" s="78">
        <f>SUM(G164:R164)</f>
        <v>2316634650</v>
      </c>
      <c r="G164" s="90">
        <f>G157*G$142</f>
        <v>193449300</v>
      </c>
      <c r="H164" s="90">
        <f t="shared" ref="H164:S164" si="64">H157*H$142</f>
        <v>192920750</v>
      </c>
      <c r="I164" s="90">
        <f t="shared" si="64"/>
        <v>192920750</v>
      </c>
      <c r="J164" s="90">
        <f t="shared" si="64"/>
        <v>192920750</v>
      </c>
      <c r="K164" s="90">
        <f t="shared" si="64"/>
        <v>193449300</v>
      </c>
      <c r="L164" s="90">
        <f t="shared" si="64"/>
        <v>192920750</v>
      </c>
      <c r="M164" s="90">
        <f t="shared" si="64"/>
        <v>192920750</v>
      </c>
      <c r="N164" s="90">
        <f t="shared" si="64"/>
        <v>192920750</v>
      </c>
      <c r="O164" s="90">
        <f t="shared" si="64"/>
        <v>193449300</v>
      </c>
      <c r="P164" s="90">
        <f t="shared" si="64"/>
        <v>192920750</v>
      </c>
      <c r="Q164" s="90">
        <f t="shared" si="64"/>
        <v>192920750</v>
      </c>
      <c r="R164" s="90">
        <f t="shared" si="64"/>
        <v>192920750</v>
      </c>
      <c r="S164" s="90">
        <f t="shared" si="64"/>
        <v>14674470</v>
      </c>
    </row>
    <row r="165" spans="1:19" s="90" customFormat="1" outlineLevel="1" x14ac:dyDescent="0.25">
      <c r="B165" s="62" t="s">
        <v>78</v>
      </c>
      <c r="D165" s="91" t="s">
        <v>120</v>
      </c>
      <c r="E165" s="78">
        <f t="shared" si="63"/>
        <v>201891937.5</v>
      </c>
      <c r="F165" s="78">
        <f>SUM(G165:R165)</f>
        <v>2422703250</v>
      </c>
      <c r="G165" s="90">
        <f t="shared" ref="G165:S166" si="65">G158*G$142</f>
        <v>202306500</v>
      </c>
      <c r="H165" s="90">
        <f t="shared" si="65"/>
        <v>201753750</v>
      </c>
      <c r="I165" s="90">
        <f t="shared" si="65"/>
        <v>201753750</v>
      </c>
      <c r="J165" s="90">
        <f t="shared" si="65"/>
        <v>201753750</v>
      </c>
      <c r="K165" s="90">
        <f t="shared" si="65"/>
        <v>202306500</v>
      </c>
      <c r="L165" s="90">
        <f t="shared" si="65"/>
        <v>201753750</v>
      </c>
      <c r="M165" s="90">
        <f t="shared" si="65"/>
        <v>201753750</v>
      </c>
      <c r="N165" s="90">
        <f t="shared" si="65"/>
        <v>201753750</v>
      </c>
      <c r="O165" s="90">
        <f t="shared" si="65"/>
        <v>202306500</v>
      </c>
      <c r="P165" s="90">
        <f t="shared" si="65"/>
        <v>201753750</v>
      </c>
      <c r="Q165" s="90">
        <f t="shared" si="65"/>
        <v>201753750</v>
      </c>
      <c r="R165" s="90">
        <f t="shared" si="65"/>
        <v>201753750</v>
      </c>
      <c r="S165" s="90">
        <f t="shared" si="65"/>
        <v>15346350.000000002</v>
      </c>
    </row>
    <row r="166" spans="1:19" s="90" customFormat="1" outlineLevel="1" x14ac:dyDescent="0.25">
      <c r="B166" s="62" t="s">
        <v>79</v>
      </c>
      <c r="D166" s="91" t="s">
        <v>120</v>
      </c>
      <c r="E166" s="78">
        <f t="shared" si="63"/>
        <v>12053250</v>
      </c>
      <c r="F166" s="78">
        <f>SUM(G166:R166)</f>
        <v>144639000</v>
      </c>
      <c r="G166" s="90">
        <f t="shared" si="65"/>
        <v>12078000</v>
      </c>
      <c r="H166" s="90">
        <f t="shared" si="65"/>
        <v>12045000</v>
      </c>
      <c r="I166" s="90">
        <f t="shared" si="65"/>
        <v>12045000</v>
      </c>
      <c r="J166" s="90">
        <f t="shared" si="65"/>
        <v>12045000</v>
      </c>
      <c r="K166" s="90">
        <f t="shared" si="65"/>
        <v>12078000</v>
      </c>
      <c r="L166" s="90">
        <f t="shared" si="65"/>
        <v>12045000</v>
      </c>
      <c r="M166" s="90">
        <f t="shared" si="65"/>
        <v>12045000</v>
      </c>
      <c r="N166" s="90">
        <f t="shared" si="65"/>
        <v>12045000</v>
      </c>
      <c r="O166" s="90">
        <f t="shared" si="65"/>
        <v>12078000</v>
      </c>
      <c r="P166" s="90">
        <f t="shared" si="65"/>
        <v>12045000</v>
      </c>
      <c r="Q166" s="90">
        <f t="shared" si="65"/>
        <v>12045000</v>
      </c>
      <c r="R166" s="90">
        <f t="shared" si="65"/>
        <v>12045000</v>
      </c>
      <c r="S166" s="90">
        <f t="shared" si="65"/>
        <v>916200</v>
      </c>
    </row>
    <row r="167" spans="1:19" s="90" customFormat="1" outlineLevel="1" x14ac:dyDescent="0.25">
      <c r="B167" s="62" t="s">
        <v>80</v>
      </c>
      <c r="D167" s="91" t="s">
        <v>120</v>
      </c>
      <c r="E167" s="78">
        <f t="shared" si="63"/>
        <v>63681337.5</v>
      </c>
      <c r="F167" s="78">
        <f>SUM(G167:R167)</f>
        <v>764176050</v>
      </c>
      <c r="G167" s="90">
        <f>G160*G$142</f>
        <v>63812100</v>
      </c>
      <c r="H167" s="90">
        <f t="shared" ref="H167:S167" si="66">H160*H$142</f>
        <v>63637750</v>
      </c>
      <c r="I167" s="90">
        <f t="shared" si="66"/>
        <v>63637750</v>
      </c>
      <c r="J167" s="90">
        <f t="shared" si="66"/>
        <v>63637750</v>
      </c>
      <c r="K167" s="90">
        <f t="shared" si="66"/>
        <v>63812100</v>
      </c>
      <c r="L167" s="90">
        <f t="shared" si="66"/>
        <v>63637750</v>
      </c>
      <c r="M167" s="90">
        <f t="shared" si="66"/>
        <v>63637750</v>
      </c>
      <c r="N167" s="90">
        <f t="shared" si="66"/>
        <v>63637750</v>
      </c>
      <c r="O167" s="90">
        <f t="shared" si="66"/>
        <v>63812100</v>
      </c>
      <c r="P167" s="90">
        <f t="shared" si="66"/>
        <v>63637750</v>
      </c>
      <c r="Q167" s="90">
        <f t="shared" si="66"/>
        <v>63637750</v>
      </c>
      <c r="R167" s="90">
        <f t="shared" si="66"/>
        <v>63637750</v>
      </c>
      <c r="S167" s="90">
        <f t="shared" si="66"/>
        <v>4840590</v>
      </c>
    </row>
    <row r="168" spans="1:19" s="90" customFormat="1" outlineLevel="1" x14ac:dyDescent="0.25">
      <c r="A168" s="84" t="s">
        <v>6</v>
      </c>
      <c r="B168" s="83"/>
      <c r="C168" s="108"/>
      <c r="D168" s="109" t="s">
        <v>120</v>
      </c>
      <c r="E168" s="86">
        <f t="shared" si="63"/>
        <v>470679412.5</v>
      </c>
      <c r="F168" s="86">
        <f>SUM(G168:R168)</f>
        <v>5648152950</v>
      </c>
      <c r="G168" s="108">
        <f>SUM(G164:G167)</f>
        <v>471645900</v>
      </c>
      <c r="H168" s="108">
        <f t="shared" ref="H168:S168" si="67">SUM(H164:H167)</f>
        <v>470357250</v>
      </c>
      <c r="I168" s="108">
        <f t="shared" si="67"/>
        <v>470357250</v>
      </c>
      <c r="J168" s="108">
        <f t="shared" si="67"/>
        <v>470357250</v>
      </c>
      <c r="K168" s="108">
        <f t="shared" si="67"/>
        <v>471645900</v>
      </c>
      <c r="L168" s="108">
        <f t="shared" si="67"/>
        <v>470357250</v>
      </c>
      <c r="M168" s="108">
        <f t="shared" si="67"/>
        <v>470357250</v>
      </c>
      <c r="N168" s="108">
        <f t="shared" si="67"/>
        <v>470357250</v>
      </c>
      <c r="O168" s="108">
        <f t="shared" si="67"/>
        <v>471645900</v>
      </c>
      <c r="P168" s="108">
        <f t="shared" si="67"/>
        <v>470357250</v>
      </c>
      <c r="Q168" s="108">
        <f t="shared" si="67"/>
        <v>470357250</v>
      </c>
      <c r="R168" s="108">
        <f t="shared" si="67"/>
        <v>470357250</v>
      </c>
      <c r="S168" s="108">
        <f t="shared" si="67"/>
        <v>35777610</v>
      </c>
    </row>
    <row r="169" spans="1:19" s="90" customFormat="1" outlineLevel="1" x14ac:dyDescent="0.25">
      <c r="D169" s="91"/>
      <c r="E169" s="91"/>
      <c r="F169" s="78"/>
    </row>
    <row r="170" spans="1:19" s="90" customFormat="1" outlineLevel="1" x14ac:dyDescent="0.25">
      <c r="A170" s="101" t="s">
        <v>126</v>
      </c>
      <c r="D170" s="91"/>
      <c r="E170" s="116">
        <f t="shared" ref="E170" si="68">IFERROR(AVERAGE(G170:R170),"na")</f>
        <v>441145196.99904156</v>
      </c>
      <c r="F170" s="116">
        <f>SUM(G170:R170)</f>
        <v>5293742363.9884987</v>
      </c>
      <c r="G170" s="101">
        <f>G168-G149</f>
        <v>444576476.87341744</v>
      </c>
      <c r="H170" s="101">
        <f t="shared" ref="H170:S170" si="69">H168-H149</f>
        <v>441661968.23609805</v>
      </c>
      <c r="I170" s="101">
        <f t="shared" si="69"/>
        <v>440368559.70104706</v>
      </c>
      <c r="J170" s="101">
        <f t="shared" si="69"/>
        <v>440435424.11642933</v>
      </c>
      <c r="K170" s="101">
        <f t="shared" si="69"/>
        <v>442010858.3418566</v>
      </c>
      <c r="L170" s="101">
        <f t="shared" si="69"/>
        <v>440636017.36257619</v>
      </c>
      <c r="M170" s="101">
        <f t="shared" si="69"/>
        <v>440602585.15488505</v>
      </c>
      <c r="N170" s="101">
        <f t="shared" si="69"/>
        <v>440636017.36257619</v>
      </c>
      <c r="O170" s="101">
        <f t="shared" si="69"/>
        <v>441575048.90570742</v>
      </c>
      <c r="P170" s="101">
        <f t="shared" si="69"/>
        <v>440335127.49335587</v>
      </c>
      <c r="Q170" s="101">
        <f t="shared" si="69"/>
        <v>440167966.45490021</v>
      </c>
      <c r="R170" s="101">
        <f t="shared" si="69"/>
        <v>440736313.98564959</v>
      </c>
      <c r="S170" s="101">
        <f t="shared" si="69"/>
        <v>33524500.695197355</v>
      </c>
    </row>
    <row r="171" spans="1:19" s="90" customFormat="1" outlineLevel="1" x14ac:dyDescent="0.25">
      <c r="D171" s="91"/>
      <c r="E171" s="91"/>
      <c r="F171" s="91"/>
    </row>
    <row r="172" spans="1:19" s="90" customFormat="1" outlineLevel="1" x14ac:dyDescent="0.25">
      <c r="A172" s="90" t="s">
        <v>85</v>
      </c>
      <c r="D172" s="91"/>
      <c r="E172" s="91"/>
      <c r="F172" s="91"/>
    </row>
    <row r="173" spans="1:19" s="90" customFormat="1" outlineLevel="1" x14ac:dyDescent="0.25">
      <c r="B173" s="90" t="s">
        <v>86</v>
      </c>
      <c r="D173" s="91" t="s">
        <v>120</v>
      </c>
      <c r="E173" s="78" t="str">
        <f t="shared" ref="E173:E175" si="70">IFERROR(AVERAGE(G173:R173),"na")</f>
        <v>na</v>
      </c>
      <c r="F173" s="78">
        <f>SUM(G173:R173)</f>
        <v>0</v>
      </c>
    </row>
    <row r="174" spans="1:19" s="90" customFormat="1" outlineLevel="1" x14ac:dyDescent="0.25">
      <c r="B174" s="90" t="s">
        <v>88</v>
      </c>
      <c r="D174" s="91" t="s">
        <v>120</v>
      </c>
      <c r="E174" s="78">
        <f t="shared" si="70"/>
        <v>20702197.516818363</v>
      </c>
      <c r="F174" s="78">
        <f>SUM(G174:R174)</f>
        <v>248426370.20182037</v>
      </c>
      <c r="G174" s="90">
        <f>G69</f>
        <v>20744707.162643451</v>
      </c>
      <c r="H174" s="90">
        <f t="shared" ref="H174:S174" si="71">H69</f>
        <v>20688027.634876665</v>
      </c>
      <c r="I174" s="90">
        <f t="shared" si="71"/>
        <v>20688027.634876665</v>
      </c>
      <c r="J174" s="90">
        <f t="shared" si="71"/>
        <v>20688027.634876665</v>
      </c>
      <c r="K174" s="90">
        <f t="shared" si="71"/>
        <v>20744707.162643451</v>
      </c>
      <c r="L174" s="90">
        <f t="shared" si="71"/>
        <v>20688027.634876665</v>
      </c>
      <c r="M174" s="90">
        <f t="shared" si="71"/>
        <v>20688027.634876665</v>
      </c>
      <c r="N174" s="90">
        <f t="shared" si="71"/>
        <v>20688027.634876665</v>
      </c>
      <c r="O174" s="90">
        <f t="shared" si="71"/>
        <v>20744707.162643451</v>
      </c>
      <c r="P174" s="90">
        <f t="shared" si="71"/>
        <v>20688027.634876665</v>
      </c>
      <c r="Q174" s="90">
        <f t="shared" si="71"/>
        <v>20688027.634876665</v>
      </c>
      <c r="R174" s="90">
        <f t="shared" si="71"/>
        <v>20688027.634876665</v>
      </c>
      <c r="S174" s="90">
        <f t="shared" si="71"/>
        <v>1573629.7981796598</v>
      </c>
    </row>
    <row r="175" spans="1:19" s="90" customFormat="1" outlineLevel="1" x14ac:dyDescent="0.25">
      <c r="A175" s="107" t="s">
        <v>127</v>
      </c>
      <c r="B175" s="108"/>
      <c r="C175" s="108"/>
      <c r="D175" s="117" t="s">
        <v>120</v>
      </c>
      <c r="E175" s="110">
        <f t="shared" si="70"/>
        <v>20702197.516818363</v>
      </c>
      <c r="F175" s="110">
        <f>SUM(G175:R175)</f>
        <v>248426370.20182037</v>
      </c>
      <c r="G175" s="107">
        <f>SUM(G173:G174)</f>
        <v>20744707.162643451</v>
      </c>
      <c r="H175" s="107">
        <f t="shared" ref="H175:S175" si="72">SUM(H173:H174)</f>
        <v>20688027.634876665</v>
      </c>
      <c r="I175" s="107">
        <f t="shared" si="72"/>
        <v>20688027.634876665</v>
      </c>
      <c r="J175" s="107">
        <f t="shared" si="72"/>
        <v>20688027.634876665</v>
      </c>
      <c r="K175" s="107">
        <f t="shared" si="72"/>
        <v>20744707.162643451</v>
      </c>
      <c r="L175" s="107">
        <f t="shared" si="72"/>
        <v>20688027.634876665</v>
      </c>
      <c r="M175" s="107">
        <f t="shared" si="72"/>
        <v>20688027.634876665</v>
      </c>
      <c r="N175" s="107">
        <f t="shared" si="72"/>
        <v>20688027.634876665</v>
      </c>
      <c r="O175" s="107">
        <f t="shared" si="72"/>
        <v>20744707.162643451</v>
      </c>
      <c r="P175" s="107">
        <f t="shared" si="72"/>
        <v>20688027.634876665</v>
      </c>
      <c r="Q175" s="107">
        <f t="shared" si="72"/>
        <v>20688027.634876665</v>
      </c>
      <c r="R175" s="107">
        <f t="shared" si="72"/>
        <v>20688027.634876665</v>
      </c>
      <c r="S175" s="107">
        <f t="shared" si="72"/>
        <v>1573629.7981796598</v>
      </c>
    </row>
    <row r="176" spans="1:19" s="90" customFormat="1" outlineLevel="1" x14ac:dyDescent="0.25">
      <c r="D176" s="91"/>
      <c r="E176" s="91"/>
      <c r="F176" s="78"/>
    </row>
    <row r="177" spans="1:19" s="90" customFormat="1" outlineLevel="1" x14ac:dyDescent="0.25">
      <c r="A177" s="90" t="s">
        <v>128</v>
      </c>
      <c r="D177" s="91"/>
      <c r="E177" s="91"/>
      <c r="F177" s="78"/>
    </row>
    <row r="178" spans="1:19" s="90" customFormat="1" outlineLevel="1" x14ac:dyDescent="0.25">
      <c r="B178" s="90" t="s">
        <v>129</v>
      </c>
      <c r="D178" s="91" t="s">
        <v>83</v>
      </c>
      <c r="E178" s="78">
        <f t="shared" ref="E178:E182" si="73">IFERROR(AVERAGE(G178:R178),"na")</f>
        <v>746.77772720215273</v>
      </c>
      <c r="F178" s="105" t="s">
        <v>103</v>
      </c>
      <c r="G178" s="112">
        <f>G170/G138</f>
        <v>707.76620888544699</v>
      </c>
      <c r="H178" s="112">
        <f t="shared" ref="H178:S178" si="74">H170/H138</f>
        <v>736.04225929792665</v>
      </c>
      <c r="I178" s="112">
        <f t="shared" si="74"/>
        <v>613.81563107879413</v>
      </c>
      <c r="J178" s="112">
        <f t="shared" si="74"/>
        <v>719.76232193329793</v>
      </c>
      <c r="K178" s="112">
        <f t="shared" si="74"/>
        <v>868.63677686716596</v>
      </c>
      <c r="L178" s="112">
        <f t="shared" si="74"/>
        <v>760.83875403837362</v>
      </c>
      <c r="M178" s="112">
        <f t="shared" si="74"/>
        <v>807.92155709357303</v>
      </c>
      <c r="N178" s="112">
        <f t="shared" si="74"/>
        <v>573.46801610355021</v>
      </c>
      <c r="O178" s="112">
        <f t="shared" si="74"/>
        <v>753.59542825515314</v>
      </c>
      <c r="P178" s="112">
        <f t="shared" si="74"/>
        <v>730.98661319537212</v>
      </c>
      <c r="Q178" s="112">
        <f t="shared" si="74"/>
        <v>699.74965761343435</v>
      </c>
      <c r="R178" s="112">
        <f t="shared" si="74"/>
        <v>988.74950206374513</v>
      </c>
      <c r="S178" s="112">
        <f t="shared" si="74"/>
        <v>988.74950206374513</v>
      </c>
    </row>
    <row r="179" spans="1:19" s="90" customFormat="1" outlineLevel="1" x14ac:dyDescent="0.25">
      <c r="B179" s="90" t="s">
        <v>130</v>
      </c>
      <c r="D179" s="91" t="s">
        <v>83</v>
      </c>
      <c r="E179" s="78">
        <f t="shared" si="73"/>
        <v>35.045250599931038</v>
      </c>
      <c r="F179" s="105" t="s">
        <v>103</v>
      </c>
      <c r="G179" s="112">
        <f>G175/G138</f>
        <v>33.025595160140234</v>
      </c>
      <c r="H179" s="112">
        <f t="shared" ref="H179:S179" si="75">H175/H138</f>
        <v>34.477187749732998</v>
      </c>
      <c r="I179" s="112">
        <f t="shared" si="75"/>
        <v>28.836379116388496</v>
      </c>
      <c r="J179" s="112">
        <f t="shared" si="75"/>
        <v>33.808504019791926</v>
      </c>
      <c r="K179" s="112">
        <f t="shared" si="75"/>
        <v>40.767359504266359</v>
      </c>
      <c r="L179" s="112">
        <f t="shared" si="75"/>
        <v>35.721667201524241</v>
      </c>
      <c r="M179" s="112">
        <f t="shared" si="75"/>
        <v>37.935100843969956</v>
      </c>
      <c r="N179" s="112">
        <f t="shared" si="75"/>
        <v>26.92454020413394</v>
      </c>
      <c r="O179" s="112">
        <f t="shared" si="75"/>
        <v>35.403079311209638</v>
      </c>
      <c r="P179" s="112">
        <f t="shared" si="75"/>
        <v>34.343549515565144</v>
      </c>
      <c r="Q179" s="112">
        <f t="shared" si="75"/>
        <v>32.888445678578194</v>
      </c>
      <c r="R179" s="112">
        <f t="shared" si="75"/>
        <v>46.411598893871329</v>
      </c>
      <c r="S179" s="112">
        <f t="shared" si="75"/>
        <v>46.411598893871329</v>
      </c>
    </row>
    <row r="180" spans="1:19" s="90" customFormat="1" outlineLevel="1" x14ac:dyDescent="0.25">
      <c r="B180" s="90" t="s">
        <v>82</v>
      </c>
      <c r="D180" s="91" t="s">
        <v>83</v>
      </c>
      <c r="E180" s="78">
        <f t="shared" si="73"/>
        <v>16</v>
      </c>
      <c r="F180" s="105" t="s">
        <v>103</v>
      </c>
      <c r="G180" s="112">
        <f>$G$65</f>
        <v>16</v>
      </c>
      <c r="H180" s="112">
        <f t="shared" ref="H180:S180" si="76">$G$65</f>
        <v>16</v>
      </c>
      <c r="I180" s="112">
        <f t="shared" si="76"/>
        <v>16</v>
      </c>
      <c r="J180" s="112">
        <f t="shared" si="76"/>
        <v>16</v>
      </c>
      <c r="K180" s="112">
        <f t="shared" si="76"/>
        <v>16</v>
      </c>
      <c r="L180" s="112">
        <f t="shared" si="76"/>
        <v>16</v>
      </c>
      <c r="M180" s="112">
        <f t="shared" si="76"/>
        <v>16</v>
      </c>
      <c r="N180" s="112">
        <f t="shared" si="76"/>
        <v>16</v>
      </c>
      <c r="O180" s="112">
        <f t="shared" si="76"/>
        <v>16</v>
      </c>
      <c r="P180" s="112">
        <f t="shared" si="76"/>
        <v>16</v>
      </c>
      <c r="Q180" s="112">
        <f t="shared" si="76"/>
        <v>16</v>
      </c>
      <c r="R180" s="112">
        <f t="shared" si="76"/>
        <v>16</v>
      </c>
      <c r="S180" s="112">
        <f t="shared" si="76"/>
        <v>16</v>
      </c>
    </row>
    <row r="181" spans="1:19" s="90" customFormat="1" outlineLevel="1" x14ac:dyDescent="0.25">
      <c r="B181" s="90" t="s">
        <v>84</v>
      </c>
      <c r="D181" s="91" t="s">
        <v>83</v>
      </c>
      <c r="E181" s="78">
        <f t="shared" si="73"/>
        <v>28.5</v>
      </c>
      <c r="F181" s="105" t="s">
        <v>103</v>
      </c>
      <c r="G181" s="112">
        <f>$G$66</f>
        <v>28.5</v>
      </c>
      <c r="H181" s="112">
        <f t="shared" ref="H181:S181" si="77">$G$66</f>
        <v>28.5</v>
      </c>
      <c r="I181" s="112">
        <f t="shared" si="77"/>
        <v>28.5</v>
      </c>
      <c r="J181" s="112">
        <f t="shared" si="77"/>
        <v>28.5</v>
      </c>
      <c r="K181" s="112">
        <f t="shared" si="77"/>
        <v>28.5</v>
      </c>
      <c r="L181" s="112">
        <f t="shared" si="77"/>
        <v>28.5</v>
      </c>
      <c r="M181" s="112">
        <f t="shared" si="77"/>
        <v>28.5</v>
      </c>
      <c r="N181" s="112">
        <f t="shared" si="77"/>
        <v>28.5</v>
      </c>
      <c r="O181" s="112">
        <f t="shared" si="77"/>
        <v>28.5</v>
      </c>
      <c r="P181" s="112">
        <f t="shared" si="77"/>
        <v>28.5</v>
      </c>
      <c r="Q181" s="112">
        <f t="shared" si="77"/>
        <v>28.5</v>
      </c>
      <c r="R181" s="112">
        <f t="shared" si="77"/>
        <v>28.5</v>
      </c>
      <c r="S181" s="112">
        <f t="shared" si="77"/>
        <v>28.5</v>
      </c>
    </row>
    <row r="182" spans="1:19" s="90" customFormat="1" outlineLevel="1" x14ac:dyDescent="0.25">
      <c r="A182" s="107" t="s">
        <v>128</v>
      </c>
      <c r="B182" s="108"/>
      <c r="C182" s="108"/>
      <c r="D182" s="117" t="s">
        <v>83</v>
      </c>
      <c r="E182" s="110">
        <f t="shared" si="73"/>
        <v>826.32297780208398</v>
      </c>
      <c r="F182" s="118" t="s">
        <v>103</v>
      </c>
      <c r="G182" s="107">
        <f>SUM(G178:G181)</f>
        <v>785.29180404558724</v>
      </c>
      <c r="H182" s="107">
        <f t="shared" ref="H182:S182" si="78">SUM(H178:H181)</f>
        <v>815.0194470476597</v>
      </c>
      <c r="I182" s="107">
        <f t="shared" si="78"/>
        <v>687.15201019518258</v>
      </c>
      <c r="J182" s="107">
        <f t="shared" si="78"/>
        <v>798.07082595308987</v>
      </c>
      <c r="K182" s="107">
        <f t="shared" si="78"/>
        <v>953.90413637143229</v>
      </c>
      <c r="L182" s="107">
        <f t="shared" si="78"/>
        <v>841.06042123989789</v>
      </c>
      <c r="M182" s="107">
        <f t="shared" si="78"/>
        <v>890.35665793754299</v>
      </c>
      <c r="N182" s="107">
        <f t="shared" si="78"/>
        <v>644.89255630768412</v>
      </c>
      <c r="O182" s="107">
        <f t="shared" si="78"/>
        <v>833.49850756636283</v>
      </c>
      <c r="P182" s="107">
        <f t="shared" si="78"/>
        <v>809.8301627109372</v>
      </c>
      <c r="Q182" s="107">
        <f t="shared" si="78"/>
        <v>777.1381032920126</v>
      </c>
      <c r="R182" s="107">
        <f t="shared" si="78"/>
        <v>1079.6611009576166</v>
      </c>
      <c r="S182" s="107">
        <f t="shared" si="78"/>
        <v>1079.6611009576166</v>
      </c>
    </row>
    <row r="183" spans="1:19" s="90" customFormat="1" outlineLevel="1" x14ac:dyDescent="0.25">
      <c r="D183" s="91"/>
      <c r="E183" s="91"/>
      <c r="F183" s="91"/>
    </row>
    <row r="184" spans="1:19" s="90" customFormat="1" outlineLevel="1" x14ac:dyDescent="0.25">
      <c r="A184" s="101" t="s">
        <v>7</v>
      </c>
      <c r="D184" s="102" t="s">
        <v>120</v>
      </c>
      <c r="E184" s="116">
        <f t="shared" ref="E184" si="79">IFERROR(AVERAGE(G184:R184),"na")</f>
        <v>975070338.93064797</v>
      </c>
      <c r="F184" s="116">
        <f>SUM(G184:R184)</f>
        <v>11700844067.167776</v>
      </c>
      <c r="G184" s="101">
        <f>G148-G154-G170</f>
        <v>979541117.43647265</v>
      </c>
      <c r="H184" s="101">
        <f t="shared" ref="H184:S184" si="80">H148-H154-H170</f>
        <v>948311556.40287638</v>
      </c>
      <c r="I184" s="101">
        <f t="shared" si="80"/>
        <v>1256933368.6800585</v>
      </c>
      <c r="J184" s="101">
        <f t="shared" si="80"/>
        <v>1007188108.5939085</v>
      </c>
      <c r="K184" s="101">
        <f t="shared" si="80"/>
        <v>761730606.22327054</v>
      </c>
      <c r="L184" s="101">
        <f t="shared" si="80"/>
        <v>929436791.14700294</v>
      </c>
      <c r="M184" s="101">
        <f t="shared" si="80"/>
        <v>849504599.46831989</v>
      </c>
      <c r="N184" s="101">
        <f t="shared" si="80"/>
        <v>1377220295.011306</v>
      </c>
      <c r="O184" s="101">
        <f t="shared" si="80"/>
        <v>944614276.26899076</v>
      </c>
      <c r="P184" s="101">
        <f t="shared" si="80"/>
        <v>984727638.52850401</v>
      </c>
      <c r="Q184" s="101">
        <f t="shared" si="80"/>
        <v>1047960988.4042611</v>
      </c>
      <c r="R184" s="101">
        <f t="shared" si="80"/>
        <v>613674721.00280571</v>
      </c>
      <c r="S184" s="101">
        <f t="shared" si="80"/>
        <v>46679018.62870656</v>
      </c>
    </row>
    <row r="185" spans="1:19" s="90" customFormat="1" outlineLevel="1" x14ac:dyDescent="0.25">
      <c r="D185" s="91"/>
      <c r="E185" s="91"/>
      <c r="F185" s="91"/>
    </row>
    <row r="186" spans="1:19" s="90" customFormat="1" outlineLevel="1" x14ac:dyDescent="0.25">
      <c r="A186" s="90" t="s">
        <v>3</v>
      </c>
      <c r="D186" s="91"/>
      <c r="E186" s="91"/>
      <c r="F186" s="91"/>
    </row>
    <row r="187" spans="1:19" s="90" customFormat="1" outlineLevel="1" x14ac:dyDescent="0.25">
      <c r="B187" s="90" t="s">
        <v>131</v>
      </c>
      <c r="D187" s="91" t="s">
        <v>48</v>
      </c>
      <c r="E187" s="105" t="s">
        <v>103</v>
      </c>
      <c r="F187" s="105" t="s">
        <v>103</v>
      </c>
      <c r="G187" s="119">
        <f>G32</f>
        <v>8.2978828650573808E-2</v>
      </c>
      <c r="H187" s="119">
        <f>H32</f>
        <v>9.0240130898760235E-2</v>
      </c>
      <c r="I187" s="119">
        <f t="shared" ref="I187:S187" si="81">I32</f>
        <v>9.9191153581998842E-2</v>
      </c>
      <c r="J187" s="119">
        <f t="shared" si="81"/>
        <v>0.11011343191890824</v>
      </c>
      <c r="K187" s="119">
        <f t="shared" si="81"/>
        <v>0.12407773812385584</v>
      </c>
      <c r="L187" s="119">
        <f t="shared" si="81"/>
        <v>0.14126679192439501</v>
      </c>
      <c r="M187" s="119">
        <f t="shared" si="81"/>
        <v>0.16450603120492985</v>
      </c>
      <c r="N187" s="119">
        <f t="shared" si="81"/>
        <v>0.19689673097482271</v>
      </c>
      <c r="O187" s="119">
        <f t="shared" si="81"/>
        <v>0.24584157690334871</v>
      </c>
      <c r="P187" s="119">
        <f t="shared" si="81"/>
        <v>0.32509068532193292</v>
      </c>
      <c r="Q187" s="119">
        <f t="shared" si="81"/>
        <v>0.48168054322528014</v>
      </c>
      <c r="R187" s="119">
        <f t="shared" si="81"/>
        <v>0.92931210073141379</v>
      </c>
      <c r="S187" s="119">
        <f t="shared" si="81"/>
        <v>1</v>
      </c>
    </row>
    <row r="188" spans="1:19" s="90" customFormat="1" outlineLevel="1" x14ac:dyDescent="0.25">
      <c r="B188" s="90" t="s">
        <v>12</v>
      </c>
      <c r="D188" s="91" t="s">
        <v>120</v>
      </c>
      <c r="E188" s="78">
        <f t="shared" ref="E188:E192" si="82">IFERROR(AVERAGE(G188:R188),"na")</f>
        <v>1064772832.7844611</v>
      </c>
      <c r="F188" s="105" t="s">
        <v>103</v>
      </c>
      <c r="G188" s="120">
        <f>F76</f>
        <v>1850000000</v>
      </c>
      <c r="H188" s="90">
        <f>G192</f>
        <v>1715512502.6580267</v>
      </c>
      <c r="I188" s="90">
        <f t="shared" ref="I188:S188" si="83">H192</f>
        <v>1579525567.1727748</v>
      </c>
      <c r="J188" s="90">
        <f t="shared" si="83"/>
        <v>1441486562.3610833</v>
      </c>
      <c r="K188" s="90">
        <f t="shared" si="83"/>
        <v>1301169527.8268824</v>
      </c>
      <c r="L188" s="90">
        <f t="shared" si="83"/>
        <v>1157894106.7182982</v>
      </c>
      <c r="M188" s="90">
        <f t="shared" si="83"/>
        <v>1012087617.2136956</v>
      </c>
      <c r="N188" s="90">
        <f t="shared" si="83"/>
        <v>862877822.38942146</v>
      </c>
      <c r="O188" s="90">
        <f t="shared" si="83"/>
        <v>709594622.5535233</v>
      </c>
      <c r="P188" s="90">
        <f t="shared" si="83"/>
        <v>550791557.22420955</v>
      </c>
      <c r="Q188" s="90">
        <f t="shared" si="83"/>
        <v>385696894.96975213</v>
      </c>
      <c r="R188" s="90">
        <f t="shared" si="83"/>
        <v>210637212.32586777</v>
      </c>
      <c r="S188" s="90">
        <f t="shared" si="83"/>
        <v>16351895.260626644</v>
      </c>
    </row>
    <row r="189" spans="1:19" s="90" customFormat="1" outlineLevel="1" x14ac:dyDescent="0.25">
      <c r="B189" s="90" t="s">
        <v>132</v>
      </c>
      <c r="D189" s="91" t="s">
        <v>120</v>
      </c>
      <c r="E189" s="78">
        <f t="shared" si="82"/>
        <v>20702197.516818363</v>
      </c>
      <c r="F189" s="78">
        <f>SUM(G189:R189)</f>
        <v>248426370.20182037</v>
      </c>
      <c r="G189" s="90">
        <f>G175</f>
        <v>20744707.162643451</v>
      </c>
      <c r="H189" s="90">
        <f>H175</f>
        <v>20688027.634876665</v>
      </c>
      <c r="I189" s="90">
        <f t="shared" ref="I189:S189" si="84">I175</f>
        <v>20688027.634876665</v>
      </c>
      <c r="J189" s="90">
        <f t="shared" si="84"/>
        <v>20688027.634876665</v>
      </c>
      <c r="K189" s="90">
        <f t="shared" si="84"/>
        <v>20744707.162643451</v>
      </c>
      <c r="L189" s="90">
        <f t="shared" si="84"/>
        <v>20688027.634876665</v>
      </c>
      <c r="M189" s="90">
        <f t="shared" si="84"/>
        <v>20688027.634876665</v>
      </c>
      <c r="N189" s="90">
        <f t="shared" si="84"/>
        <v>20688027.634876665</v>
      </c>
      <c r="O189" s="90">
        <f t="shared" si="84"/>
        <v>20744707.162643451</v>
      </c>
      <c r="P189" s="90">
        <f t="shared" si="84"/>
        <v>20688027.634876665</v>
      </c>
      <c r="Q189" s="90">
        <f t="shared" si="84"/>
        <v>20688027.634876665</v>
      </c>
      <c r="R189" s="90">
        <f t="shared" si="84"/>
        <v>20688027.634876665</v>
      </c>
      <c r="S189" s="90">
        <f t="shared" si="84"/>
        <v>1573629.7981796598</v>
      </c>
    </row>
    <row r="190" spans="1:19" s="90" customFormat="1" outlineLevel="1" x14ac:dyDescent="0.25">
      <c r="B190" s="90" t="s">
        <v>13</v>
      </c>
      <c r="D190" s="91" t="s">
        <v>120</v>
      </c>
      <c r="E190" s="78">
        <f t="shared" si="82"/>
        <v>1085475030.3012798</v>
      </c>
      <c r="F190" s="105" t="s">
        <v>103</v>
      </c>
      <c r="G190" s="90">
        <f>G188+G189</f>
        <v>1870744707.1626434</v>
      </c>
      <c r="H190" s="90">
        <f>H188+H189</f>
        <v>1736200530.2929034</v>
      </c>
      <c r="I190" s="90">
        <f t="shared" ref="I190:S190" si="85">I188+I189</f>
        <v>1600213594.8076515</v>
      </c>
      <c r="J190" s="90">
        <f t="shared" si="85"/>
        <v>1462174589.99596</v>
      </c>
      <c r="K190" s="90">
        <f t="shared" si="85"/>
        <v>1321914234.9895258</v>
      </c>
      <c r="L190" s="90">
        <f t="shared" si="85"/>
        <v>1178582134.3531749</v>
      </c>
      <c r="M190" s="90">
        <f t="shared" si="85"/>
        <v>1032775644.8485723</v>
      </c>
      <c r="N190" s="90">
        <f t="shared" si="85"/>
        <v>883565850.02429807</v>
      </c>
      <c r="O190" s="90">
        <f t="shared" si="85"/>
        <v>730339329.71616673</v>
      </c>
      <c r="P190" s="90">
        <f t="shared" si="85"/>
        <v>571479584.85908616</v>
      </c>
      <c r="Q190" s="90">
        <f t="shared" si="85"/>
        <v>406384922.6046288</v>
      </c>
      <c r="R190" s="90">
        <f t="shared" si="85"/>
        <v>231325239.96074444</v>
      </c>
      <c r="S190" s="90">
        <f t="shared" si="85"/>
        <v>17925525.058806304</v>
      </c>
    </row>
    <row r="191" spans="1:19" s="90" customFormat="1" outlineLevel="1" x14ac:dyDescent="0.25">
      <c r="B191" s="90" t="s">
        <v>133</v>
      </c>
      <c r="D191" s="91" t="s">
        <v>120</v>
      </c>
      <c r="E191" s="78">
        <f t="shared" si="82"/>
        <v>173506206.24509948</v>
      </c>
      <c r="F191" s="78">
        <f>SUM(G191:R191)</f>
        <v>2082074474.9411938</v>
      </c>
      <c r="G191" s="90">
        <f>G190*G187</f>
        <v>155232204.50461686</v>
      </c>
      <c r="H191" s="90">
        <f>H190*H187</f>
        <v>156674963.12012854</v>
      </c>
      <c r="I191" s="90">
        <f t="shared" ref="I191:S191" si="86">I190*I187</f>
        <v>158727032.44656822</v>
      </c>
      <c r="J191" s="90">
        <f t="shared" si="86"/>
        <v>161005062.16907769</v>
      </c>
      <c r="K191" s="90">
        <f t="shared" si="86"/>
        <v>164020128.2712276</v>
      </c>
      <c r="L191" s="90">
        <f t="shared" si="86"/>
        <v>166494517.13947931</v>
      </c>
      <c r="M191" s="90">
        <f t="shared" si="86"/>
        <v>169897822.45915076</v>
      </c>
      <c r="N191" s="90">
        <f t="shared" si="86"/>
        <v>173971227.47077477</v>
      </c>
      <c r="O191" s="90">
        <f t="shared" si="86"/>
        <v>179547772.49195716</v>
      </c>
      <c r="P191" s="90">
        <f t="shared" si="86"/>
        <v>185782689.88933402</v>
      </c>
      <c r="Q191" s="90">
        <f t="shared" si="86"/>
        <v>195747710.27876103</v>
      </c>
      <c r="R191" s="90">
        <f t="shared" si="86"/>
        <v>214973344.7001178</v>
      </c>
      <c r="S191" s="90">
        <f t="shared" si="86"/>
        <v>17925525.058806304</v>
      </c>
    </row>
    <row r="192" spans="1:19" s="90" customFormat="1" outlineLevel="1" x14ac:dyDescent="0.25">
      <c r="A192" s="108"/>
      <c r="B192" s="108" t="s">
        <v>14</v>
      </c>
      <c r="C192" s="108"/>
      <c r="D192" s="109" t="s">
        <v>120</v>
      </c>
      <c r="E192" s="86">
        <f t="shared" si="82"/>
        <v>911968824.05618012</v>
      </c>
      <c r="F192" s="114" t="s">
        <v>103</v>
      </c>
      <c r="G192" s="108">
        <f>G190-G191</f>
        <v>1715512502.6580267</v>
      </c>
      <c r="H192" s="108">
        <f>H190-H191</f>
        <v>1579525567.1727748</v>
      </c>
      <c r="I192" s="108">
        <f t="shared" ref="I192:S192" si="87">I190-I191</f>
        <v>1441486562.3610833</v>
      </c>
      <c r="J192" s="108">
        <f t="shared" si="87"/>
        <v>1301169527.8268824</v>
      </c>
      <c r="K192" s="108">
        <f t="shared" si="87"/>
        <v>1157894106.7182982</v>
      </c>
      <c r="L192" s="108">
        <f t="shared" si="87"/>
        <v>1012087617.2136956</v>
      </c>
      <c r="M192" s="108">
        <f t="shared" si="87"/>
        <v>862877822.38942146</v>
      </c>
      <c r="N192" s="108">
        <f t="shared" si="87"/>
        <v>709594622.5535233</v>
      </c>
      <c r="O192" s="108">
        <f t="shared" si="87"/>
        <v>550791557.22420955</v>
      </c>
      <c r="P192" s="108">
        <f t="shared" si="87"/>
        <v>385696894.96975213</v>
      </c>
      <c r="Q192" s="108">
        <f t="shared" si="87"/>
        <v>210637212.32586777</v>
      </c>
      <c r="R192" s="108">
        <f t="shared" si="87"/>
        <v>16351895.260626644</v>
      </c>
      <c r="S192" s="108">
        <f t="shared" si="87"/>
        <v>0</v>
      </c>
    </row>
    <row r="193" spans="1:19" s="90" customFormat="1" outlineLevel="1" x14ac:dyDescent="0.25">
      <c r="D193" s="91"/>
      <c r="E193" s="91"/>
      <c r="F193" s="78"/>
    </row>
    <row r="194" spans="1:19" s="90" customFormat="1" outlineLevel="1" x14ac:dyDescent="0.25">
      <c r="A194" s="101" t="s">
        <v>15</v>
      </c>
      <c r="D194" s="91" t="s">
        <v>120</v>
      </c>
      <c r="E194" s="78">
        <f t="shared" ref="E194" si="88">IFERROR(AVERAGE(G194:R194),"na")</f>
        <v>801564132.68554878</v>
      </c>
      <c r="F194" s="78">
        <f>SUM(G194:R194)</f>
        <v>9618769592.2265854</v>
      </c>
      <c r="G194" s="101">
        <f>G184-G191</f>
        <v>824308912.9318558</v>
      </c>
      <c r="H194" s="101">
        <f t="shared" ref="H194:S194" si="89">H184-H191</f>
        <v>791636593.28274786</v>
      </c>
      <c r="I194" s="101">
        <f t="shared" si="89"/>
        <v>1098206336.2334902</v>
      </c>
      <c r="J194" s="101">
        <f t="shared" si="89"/>
        <v>846183046.42483091</v>
      </c>
      <c r="K194" s="101">
        <f t="shared" si="89"/>
        <v>597710477.95204294</v>
      </c>
      <c r="L194" s="101">
        <f t="shared" si="89"/>
        <v>762942274.00752366</v>
      </c>
      <c r="M194" s="101">
        <f t="shared" si="89"/>
        <v>679606777.0091691</v>
      </c>
      <c r="N194" s="101">
        <f t="shared" si="89"/>
        <v>1203249067.5405312</v>
      </c>
      <c r="O194" s="101">
        <f t="shared" si="89"/>
        <v>765066503.77703357</v>
      </c>
      <c r="P194" s="101">
        <f t="shared" si="89"/>
        <v>798944948.63916993</v>
      </c>
      <c r="Q194" s="101">
        <f t="shared" si="89"/>
        <v>852213278.12550008</v>
      </c>
      <c r="R194" s="101">
        <f t="shared" si="89"/>
        <v>398701376.30268788</v>
      </c>
      <c r="S194" s="101">
        <f t="shared" si="89"/>
        <v>28753493.569900256</v>
      </c>
    </row>
    <row r="195" spans="1:19" s="90" customFormat="1" outlineLevel="1" x14ac:dyDescent="0.25">
      <c r="D195" s="91"/>
      <c r="E195" s="91"/>
      <c r="F195" s="78"/>
    </row>
    <row r="196" spans="1:19" s="90" customFormat="1" outlineLevel="1" x14ac:dyDescent="0.25">
      <c r="A196" s="90" t="s">
        <v>8</v>
      </c>
      <c r="D196" s="91" t="s">
        <v>120</v>
      </c>
      <c r="E196" s="103">
        <f>'Ewueibi Asset'!$F$77</f>
        <v>0.3</v>
      </c>
      <c r="F196" s="78">
        <f>SUM(G196:R196)</f>
        <v>2885630877.6679754</v>
      </c>
      <c r="G196" s="90">
        <f>IF(G194&gt;0,G194*$E$196,0)</f>
        <v>247292673.87955672</v>
      </c>
      <c r="H196" s="90">
        <f t="shared" ref="H196:S196" si="90">IF(H194&gt;0,H194*$E$196,0)</f>
        <v>237490977.98482436</v>
      </c>
      <c r="I196" s="90">
        <f t="shared" si="90"/>
        <v>329461900.87004703</v>
      </c>
      <c r="J196" s="90">
        <f t="shared" si="90"/>
        <v>253854913.92744926</v>
      </c>
      <c r="K196" s="90">
        <f t="shared" si="90"/>
        <v>179313143.38561288</v>
      </c>
      <c r="L196" s="90">
        <f t="shared" si="90"/>
        <v>228882682.2022571</v>
      </c>
      <c r="M196" s="90">
        <f t="shared" si="90"/>
        <v>203882033.10275072</v>
      </c>
      <c r="N196" s="90">
        <f t="shared" si="90"/>
        <v>360974720.26215935</v>
      </c>
      <c r="O196" s="90">
        <f t="shared" si="90"/>
        <v>229519951.13311008</v>
      </c>
      <c r="P196" s="90">
        <f t="shared" si="90"/>
        <v>239683484.59175098</v>
      </c>
      <c r="Q196" s="90">
        <f t="shared" si="90"/>
        <v>255663983.43765002</v>
      </c>
      <c r="R196" s="90">
        <f t="shared" si="90"/>
        <v>119610412.89080636</v>
      </c>
      <c r="S196" s="90">
        <f t="shared" si="90"/>
        <v>8626048.0709700771</v>
      </c>
    </row>
    <row r="197" spans="1:19" s="90" customFormat="1" outlineLevel="1" x14ac:dyDescent="0.25">
      <c r="D197" s="91"/>
      <c r="E197" s="91"/>
      <c r="F197" s="78"/>
    </row>
    <row r="198" spans="1:19" s="90" customFormat="1" outlineLevel="1" x14ac:dyDescent="0.25">
      <c r="A198" s="101" t="s">
        <v>9</v>
      </c>
      <c r="D198" s="91" t="s">
        <v>120</v>
      </c>
      <c r="E198" s="116">
        <f t="shared" ref="E198" si="91">IFERROR(AVERAGE(G198:R198),"na")</f>
        <v>561094892.879884</v>
      </c>
      <c r="F198" s="116">
        <f>SUM(G198:R198)</f>
        <v>6733138714.5586081</v>
      </c>
      <c r="G198" s="101">
        <f>G194-G196</f>
        <v>577016239.05229902</v>
      </c>
      <c r="H198" s="101">
        <f t="shared" ref="H198:S198" si="92">H194-H196</f>
        <v>554145615.29792356</v>
      </c>
      <c r="I198" s="101">
        <f t="shared" si="92"/>
        <v>768744435.36344314</v>
      </c>
      <c r="J198" s="101">
        <f t="shared" si="92"/>
        <v>592328132.49738169</v>
      </c>
      <c r="K198" s="101">
        <f t="shared" si="92"/>
        <v>418397334.56643009</v>
      </c>
      <c r="L198" s="101">
        <f t="shared" si="92"/>
        <v>534059591.80526656</v>
      </c>
      <c r="M198" s="101">
        <f t="shared" si="92"/>
        <v>475724743.90641838</v>
      </c>
      <c r="N198" s="101">
        <f t="shared" si="92"/>
        <v>842274347.27837181</v>
      </c>
      <c r="O198" s="101">
        <f t="shared" si="92"/>
        <v>535546552.64392352</v>
      </c>
      <c r="P198" s="101">
        <f t="shared" si="92"/>
        <v>559261464.04741895</v>
      </c>
      <c r="Q198" s="101">
        <f t="shared" si="92"/>
        <v>596549294.68785</v>
      </c>
      <c r="R198" s="101">
        <f t="shared" si="92"/>
        <v>279090963.41188151</v>
      </c>
      <c r="S198" s="101">
        <f t="shared" si="92"/>
        <v>20127445.498930179</v>
      </c>
    </row>
    <row r="199" spans="1:19" s="90" customFormat="1" outlineLevel="1" x14ac:dyDescent="0.25">
      <c r="D199" s="91"/>
      <c r="E199" s="91"/>
      <c r="F199" s="91"/>
    </row>
    <row r="200" spans="1:19" s="90" customFormat="1" outlineLevel="1" x14ac:dyDescent="0.25">
      <c r="A200" s="101" t="s">
        <v>134</v>
      </c>
      <c r="D200" s="91"/>
      <c r="E200" s="91"/>
      <c r="F200" s="91"/>
    </row>
    <row r="201" spans="1:19" s="90" customFormat="1" outlineLevel="1" x14ac:dyDescent="0.25">
      <c r="A201" s="90" t="s">
        <v>10</v>
      </c>
      <c r="D201" s="91"/>
      <c r="E201" s="91"/>
      <c r="F201" s="91"/>
      <c r="G201" s="90">
        <f>G148/$I$80*$F$80</f>
        <v>7916288.678394299</v>
      </c>
      <c r="H201" s="90">
        <f t="shared" ref="H201:S201" si="93">H148/$I$80*$F$80</f>
        <v>7726667.918439907</v>
      </c>
      <c r="I201" s="90">
        <f t="shared" si="93"/>
        <v>9434670.4273266327</v>
      </c>
      <c r="J201" s="90">
        <f t="shared" si="93"/>
        <v>8047139.0606724713</v>
      </c>
      <c r="K201" s="90">
        <f t="shared" si="93"/>
        <v>6691802.2459548255</v>
      </c>
      <c r="L201" s="90">
        <f t="shared" si="93"/>
        <v>7616154.4125510752</v>
      </c>
      <c r="M201" s="90">
        <f t="shared" si="93"/>
        <v>7171767.7619885886</v>
      </c>
      <c r="N201" s="90">
        <f t="shared" si="93"/>
        <v>10104600.903780634</v>
      </c>
      <c r="O201" s="90">
        <f t="shared" si="93"/>
        <v>7705745.1837506918</v>
      </c>
      <c r="P201" s="90">
        <f t="shared" si="93"/>
        <v>7921770.9618880926</v>
      </c>
      <c r="Q201" s="90">
        <f t="shared" si="93"/>
        <v>8272258.7725626864</v>
      </c>
      <c r="R201" s="90">
        <f t="shared" si="93"/>
        <v>5861934.0803726483</v>
      </c>
      <c r="S201" s="90">
        <f t="shared" si="93"/>
        <v>445886.5923152694</v>
      </c>
    </row>
    <row r="202" spans="1:19" s="90" customFormat="1" outlineLevel="1" x14ac:dyDescent="0.25">
      <c r="A202" s="90" t="s">
        <v>11</v>
      </c>
      <c r="D202" s="91"/>
      <c r="E202" s="91"/>
      <c r="F202" s="91"/>
      <c r="G202" s="90">
        <f>G170/$I$80*$F$82</f>
        <v>24360354.897173561</v>
      </c>
      <c r="H202" s="90">
        <f t="shared" ref="H202:S202" si="94">H170/$I$80*$F$82</f>
        <v>24200655.793758798</v>
      </c>
      <c r="I202" s="90">
        <f t="shared" si="94"/>
        <v>24129784.093208056</v>
      </c>
      <c r="J202" s="90">
        <f t="shared" si="94"/>
        <v>24133447.89679065</v>
      </c>
      <c r="K202" s="90">
        <f t="shared" si="94"/>
        <v>24219773.05982776</v>
      </c>
      <c r="L202" s="90">
        <f t="shared" si="94"/>
        <v>24144439.30753842</v>
      </c>
      <c r="M202" s="90">
        <f t="shared" si="94"/>
        <v>24142607.405747123</v>
      </c>
      <c r="N202" s="90">
        <f t="shared" si="94"/>
        <v>24144439.30753842</v>
      </c>
      <c r="O202" s="90">
        <f t="shared" si="94"/>
        <v>24195893.090723693</v>
      </c>
      <c r="P202" s="90">
        <f t="shared" si="94"/>
        <v>24127952.191416763</v>
      </c>
      <c r="Q202" s="90">
        <f t="shared" si="94"/>
        <v>24118792.682460286</v>
      </c>
      <c r="R202" s="90">
        <f t="shared" si="94"/>
        <v>24149935.012912307</v>
      </c>
      <c r="S202" s="90">
        <f t="shared" si="94"/>
        <v>1836958.9422025948</v>
      </c>
    </row>
    <row r="203" spans="1:19" s="90" customFormat="1" outlineLevel="1" x14ac:dyDescent="0.25">
      <c r="A203" s="90" t="s">
        <v>2</v>
      </c>
      <c r="D203" s="91"/>
      <c r="E203" s="91"/>
      <c r="F203" s="91"/>
      <c r="G203" s="90">
        <f>G170/$I$80*$F$81</f>
        <v>36540532.345760338</v>
      </c>
      <c r="H203" s="90">
        <f t="shared" ref="H203:S203" si="95">H170/$I$80*$F$81</f>
        <v>36300983.690638199</v>
      </c>
      <c r="I203" s="90">
        <f t="shared" si="95"/>
        <v>36194676.139812082</v>
      </c>
      <c r="J203" s="90">
        <f t="shared" si="95"/>
        <v>36200171.845185973</v>
      </c>
      <c r="K203" s="90">
        <f t="shared" si="95"/>
        <v>36329659.58974164</v>
      </c>
      <c r="L203" s="90">
        <f t="shared" si="95"/>
        <v>36216658.96130763</v>
      </c>
      <c r="M203" s="90">
        <f t="shared" si="95"/>
        <v>36213911.108620688</v>
      </c>
      <c r="N203" s="90">
        <f t="shared" si="95"/>
        <v>36216658.96130763</v>
      </c>
      <c r="O203" s="90">
        <f t="shared" si="95"/>
        <v>36293839.63608554</v>
      </c>
      <c r="P203" s="90">
        <f t="shared" si="95"/>
        <v>36191928.28712514</v>
      </c>
      <c r="Q203" s="90">
        <f t="shared" si="95"/>
        <v>36178189.023690432</v>
      </c>
      <c r="R203" s="90">
        <f t="shared" si="95"/>
        <v>36224902.519368462</v>
      </c>
      <c r="S203" s="90">
        <f t="shared" si="95"/>
        <v>2755438.4133038921</v>
      </c>
    </row>
    <row r="204" spans="1:19" s="90" customFormat="1" outlineLevel="1" x14ac:dyDescent="0.25">
      <c r="A204" s="108" t="s">
        <v>135</v>
      </c>
      <c r="B204" s="108"/>
      <c r="C204" s="108"/>
      <c r="D204" s="109"/>
      <c r="E204" s="109"/>
      <c r="F204" s="121">
        <v>-4000000</v>
      </c>
      <c r="G204" s="108">
        <f>G201+G202-G203</f>
        <v>-4263888.7701924779</v>
      </c>
      <c r="H204" s="108">
        <f t="shared" ref="H204:S204" si="96">H201+H202-H203</f>
        <v>-4373659.978439495</v>
      </c>
      <c r="I204" s="108">
        <f t="shared" si="96"/>
        <v>-2630221.6192773953</v>
      </c>
      <c r="J204" s="108">
        <f t="shared" si="96"/>
        <v>-4019584.8877228498</v>
      </c>
      <c r="K204" s="108">
        <f t="shared" si="96"/>
        <v>-5418084.2839590535</v>
      </c>
      <c r="L204" s="108">
        <f t="shared" si="96"/>
        <v>-4456065.2412181348</v>
      </c>
      <c r="M204" s="108">
        <f t="shared" si="96"/>
        <v>-4899535.9408849776</v>
      </c>
      <c r="N204" s="108">
        <f t="shared" si="96"/>
        <v>-1967618.7499885783</v>
      </c>
      <c r="O204" s="108">
        <f t="shared" si="96"/>
        <v>-4392201.3616111539</v>
      </c>
      <c r="P204" s="108">
        <f t="shared" si="96"/>
        <v>-4142205.1338202842</v>
      </c>
      <c r="Q204" s="108">
        <f t="shared" si="96"/>
        <v>-3787137.5686674602</v>
      </c>
      <c r="R204" s="108">
        <f t="shared" si="96"/>
        <v>-6213033.4260835052</v>
      </c>
      <c r="S204" s="108">
        <f t="shared" si="96"/>
        <v>-472592.8787860279</v>
      </c>
    </row>
    <row r="205" spans="1:19" s="90" customFormat="1" outlineLevel="1" x14ac:dyDescent="0.25">
      <c r="D205" s="91"/>
      <c r="E205" s="91"/>
      <c r="F205" s="91"/>
    </row>
    <row r="206" spans="1:19" s="90" customFormat="1" outlineLevel="1" x14ac:dyDescent="0.25">
      <c r="A206" s="90" t="s">
        <v>136</v>
      </c>
      <c r="D206" s="91"/>
      <c r="E206" s="91"/>
      <c r="F206" s="91"/>
      <c r="G206" s="90">
        <f>G204-F204</f>
        <v>-263888.77019247785</v>
      </c>
      <c r="H206" s="90">
        <f t="shared" ref="H206:S206" si="97">H204-G204</f>
        <v>-109771.20824701712</v>
      </c>
      <c r="I206" s="90">
        <f t="shared" si="97"/>
        <v>1743438.3591620997</v>
      </c>
      <c r="J206" s="90">
        <f t="shared" si="97"/>
        <v>-1389363.2684454545</v>
      </c>
      <c r="K206" s="90">
        <f t="shared" si="97"/>
        <v>-1398499.3962362036</v>
      </c>
      <c r="L206" s="90">
        <f t="shared" si="97"/>
        <v>962019.0427409187</v>
      </c>
      <c r="M206" s="90">
        <f t="shared" si="97"/>
        <v>-443470.69966684282</v>
      </c>
      <c r="N206" s="90">
        <f t="shared" si="97"/>
        <v>2931917.1908963993</v>
      </c>
      <c r="O206" s="90">
        <f t="shared" si="97"/>
        <v>-2424582.6116225757</v>
      </c>
      <c r="P206" s="90">
        <f t="shared" si="97"/>
        <v>249996.22779086977</v>
      </c>
      <c r="Q206" s="90">
        <f t="shared" si="97"/>
        <v>355067.56515282393</v>
      </c>
      <c r="R206" s="90">
        <f t="shared" si="97"/>
        <v>-2425895.8574160449</v>
      </c>
      <c r="S206" s="90">
        <f t="shared" si="97"/>
        <v>5740440.5472974777</v>
      </c>
    </row>
    <row r="207" spans="1:19" s="90" customFormat="1" x14ac:dyDescent="0.25">
      <c r="D207" s="91"/>
      <c r="E207" s="91"/>
      <c r="F207" s="91"/>
    </row>
    <row r="208" spans="1:19" s="28" customFormat="1" ht="18.75" customHeight="1" x14ac:dyDescent="0.3">
      <c r="A208" s="27" t="s">
        <v>20</v>
      </c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 s="90" customFormat="1" outlineLevel="1" x14ac:dyDescent="0.25">
      <c r="D209" s="91"/>
      <c r="E209" s="91"/>
      <c r="F209" s="91"/>
    </row>
    <row r="210" spans="1:19" s="90" customFormat="1" outlineLevel="1" x14ac:dyDescent="0.25">
      <c r="A210" s="101" t="s">
        <v>16</v>
      </c>
      <c r="D210" s="91"/>
      <c r="E210" s="91"/>
      <c r="F210" s="91"/>
    </row>
    <row r="211" spans="1:19" s="90" customFormat="1" outlineLevel="1" x14ac:dyDescent="0.25">
      <c r="A211" s="90" t="s">
        <v>15</v>
      </c>
      <c r="D211" s="91" t="s">
        <v>120</v>
      </c>
      <c r="E211" s="78">
        <f t="shared" ref="E211" si="98">IFERROR(AVERAGE(G211:R211),"na")</f>
        <v>801564132.68554878</v>
      </c>
      <c r="F211" s="78">
        <f>SUM(G211:R211)</f>
        <v>9618769592.2265854</v>
      </c>
      <c r="G211" s="90">
        <f>G194</f>
        <v>824308912.9318558</v>
      </c>
      <c r="H211" s="90">
        <f t="shared" ref="H211:S211" si="99">H194</f>
        <v>791636593.28274786</v>
      </c>
      <c r="I211" s="90">
        <f t="shared" si="99"/>
        <v>1098206336.2334902</v>
      </c>
      <c r="J211" s="90">
        <f t="shared" si="99"/>
        <v>846183046.42483091</v>
      </c>
      <c r="K211" s="90">
        <f t="shared" si="99"/>
        <v>597710477.95204294</v>
      </c>
      <c r="L211" s="90">
        <f t="shared" si="99"/>
        <v>762942274.00752366</v>
      </c>
      <c r="M211" s="90">
        <f t="shared" si="99"/>
        <v>679606777.0091691</v>
      </c>
      <c r="N211" s="90">
        <f t="shared" si="99"/>
        <v>1203249067.5405312</v>
      </c>
      <c r="O211" s="90">
        <f t="shared" si="99"/>
        <v>765066503.77703357</v>
      </c>
      <c r="P211" s="90">
        <f t="shared" si="99"/>
        <v>798944948.63916993</v>
      </c>
      <c r="Q211" s="90">
        <f t="shared" si="99"/>
        <v>852213278.12550008</v>
      </c>
      <c r="R211" s="90">
        <f t="shared" si="99"/>
        <v>398701376.30268788</v>
      </c>
      <c r="S211" s="90">
        <f t="shared" si="99"/>
        <v>28753493.569900256</v>
      </c>
    </row>
    <row r="212" spans="1:19" s="90" customFormat="1" outlineLevel="1" x14ac:dyDescent="0.25">
      <c r="A212" s="90" t="s">
        <v>164</v>
      </c>
      <c r="D212" s="91"/>
      <c r="E212" s="91"/>
      <c r="F212" s="91"/>
    </row>
    <row r="213" spans="1:19" s="90" customFormat="1" outlineLevel="1" x14ac:dyDescent="0.25">
      <c r="A213" s="90" t="s">
        <v>165</v>
      </c>
      <c r="B213" s="90" t="s">
        <v>3</v>
      </c>
      <c r="D213" s="91" t="s">
        <v>120</v>
      </c>
      <c r="E213" s="91" t="s">
        <v>103</v>
      </c>
      <c r="F213" s="78">
        <f t="shared" ref="F213:F218" si="100">SUM(G213:R213)</f>
        <v>2082074474.9411938</v>
      </c>
      <c r="G213" s="90">
        <f>G191</f>
        <v>155232204.50461686</v>
      </c>
      <c r="H213" s="90">
        <f t="shared" ref="H213:S213" si="101">H191</f>
        <v>156674963.12012854</v>
      </c>
      <c r="I213" s="90">
        <f t="shared" si="101"/>
        <v>158727032.44656822</v>
      </c>
      <c r="J213" s="90">
        <f t="shared" si="101"/>
        <v>161005062.16907769</v>
      </c>
      <c r="K213" s="90">
        <f t="shared" si="101"/>
        <v>164020128.2712276</v>
      </c>
      <c r="L213" s="90">
        <f t="shared" si="101"/>
        <v>166494517.13947931</v>
      </c>
      <c r="M213" s="90">
        <f t="shared" si="101"/>
        <v>169897822.45915076</v>
      </c>
      <c r="N213" s="90">
        <f t="shared" si="101"/>
        <v>173971227.47077477</v>
      </c>
      <c r="O213" s="90">
        <f t="shared" si="101"/>
        <v>179547772.49195716</v>
      </c>
      <c r="P213" s="90">
        <f t="shared" si="101"/>
        <v>185782689.88933402</v>
      </c>
      <c r="Q213" s="90">
        <f t="shared" si="101"/>
        <v>195747710.27876103</v>
      </c>
      <c r="R213" s="90">
        <f t="shared" si="101"/>
        <v>214973344.7001178</v>
      </c>
      <c r="S213" s="90">
        <f t="shared" si="101"/>
        <v>17925525.058806304</v>
      </c>
    </row>
    <row r="214" spans="1:19" s="90" customFormat="1" outlineLevel="1" x14ac:dyDescent="0.25">
      <c r="A214" s="90" t="s">
        <v>166</v>
      </c>
      <c r="B214" s="90" t="s">
        <v>137</v>
      </c>
      <c r="D214" s="91" t="s">
        <v>120</v>
      </c>
      <c r="E214" s="78">
        <f t="shared" ref="E214:E218" si="102">IFERROR(AVERAGE(G214:R214),"na")</f>
        <v>-20702197.516818363</v>
      </c>
      <c r="F214" s="78">
        <f t="shared" si="100"/>
        <v>-248426370.20182037</v>
      </c>
      <c r="G214" s="90">
        <f>-G189</f>
        <v>-20744707.162643451</v>
      </c>
      <c r="H214" s="90">
        <f t="shared" ref="H214:S214" si="103">-H189</f>
        <v>-20688027.634876665</v>
      </c>
      <c r="I214" s="90">
        <f t="shared" si="103"/>
        <v>-20688027.634876665</v>
      </c>
      <c r="J214" s="90">
        <f t="shared" si="103"/>
        <v>-20688027.634876665</v>
      </c>
      <c r="K214" s="90">
        <f t="shared" si="103"/>
        <v>-20744707.162643451</v>
      </c>
      <c r="L214" s="90">
        <f t="shared" si="103"/>
        <v>-20688027.634876665</v>
      </c>
      <c r="M214" s="90">
        <f t="shared" si="103"/>
        <v>-20688027.634876665</v>
      </c>
      <c r="N214" s="90">
        <f t="shared" si="103"/>
        <v>-20688027.634876665</v>
      </c>
      <c r="O214" s="90">
        <f t="shared" si="103"/>
        <v>-20744707.162643451</v>
      </c>
      <c r="P214" s="90">
        <f t="shared" si="103"/>
        <v>-20688027.634876665</v>
      </c>
      <c r="Q214" s="90">
        <f t="shared" si="103"/>
        <v>-20688027.634876665</v>
      </c>
      <c r="R214" s="90">
        <f t="shared" si="103"/>
        <v>-20688027.634876665</v>
      </c>
      <c r="S214" s="90">
        <f t="shared" si="103"/>
        <v>-1573629.7981796598</v>
      </c>
    </row>
    <row r="215" spans="1:19" s="90" customFormat="1" outlineLevel="1" x14ac:dyDescent="0.25">
      <c r="A215" s="90" t="s">
        <v>166</v>
      </c>
      <c r="B215" s="90" t="s">
        <v>8</v>
      </c>
      <c r="D215" s="91" t="s">
        <v>120</v>
      </c>
      <c r="E215" s="78">
        <f t="shared" si="102"/>
        <v>-240469239.80566463</v>
      </c>
      <c r="F215" s="78">
        <f t="shared" si="100"/>
        <v>-2885630877.6679754</v>
      </c>
      <c r="G215" s="90">
        <f>-G211*$E$196</f>
        <v>-247292673.87955672</v>
      </c>
      <c r="H215" s="90">
        <f t="shared" ref="H215:S215" si="104">-H211*$E$196</f>
        <v>-237490977.98482436</v>
      </c>
      <c r="I215" s="90">
        <f t="shared" si="104"/>
        <v>-329461900.87004703</v>
      </c>
      <c r="J215" s="90">
        <f t="shared" si="104"/>
        <v>-253854913.92744926</v>
      </c>
      <c r="K215" s="90">
        <f t="shared" si="104"/>
        <v>-179313143.38561288</v>
      </c>
      <c r="L215" s="90">
        <f t="shared" si="104"/>
        <v>-228882682.2022571</v>
      </c>
      <c r="M215" s="90">
        <f t="shared" si="104"/>
        <v>-203882033.10275072</v>
      </c>
      <c r="N215" s="90">
        <f t="shared" si="104"/>
        <v>-360974720.26215935</v>
      </c>
      <c r="O215" s="90">
        <f t="shared" si="104"/>
        <v>-229519951.13311008</v>
      </c>
      <c r="P215" s="90">
        <f t="shared" si="104"/>
        <v>-239683484.59175098</v>
      </c>
      <c r="Q215" s="90">
        <f t="shared" si="104"/>
        <v>-255663983.43765002</v>
      </c>
      <c r="R215" s="90">
        <f t="shared" si="104"/>
        <v>-119610412.89080636</v>
      </c>
      <c r="S215" s="90">
        <f t="shared" si="104"/>
        <v>-8626048.0709700771</v>
      </c>
    </row>
    <row r="216" spans="1:19" s="90" customFormat="1" outlineLevel="1" x14ac:dyDescent="0.25">
      <c r="A216" s="90" t="s">
        <v>166</v>
      </c>
      <c r="B216" s="90" t="s">
        <v>138</v>
      </c>
      <c r="D216" s="91" t="s">
        <v>120</v>
      </c>
      <c r="E216" s="78">
        <f t="shared" si="102"/>
        <v>184419.45217362544</v>
      </c>
      <c r="F216" s="78">
        <f t="shared" si="100"/>
        <v>2213033.4260835052</v>
      </c>
      <c r="G216" s="90">
        <f>-G206</f>
        <v>263888.77019247785</v>
      </c>
      <c r="H216" s="90">
        <f t="shared" ref="H216:S216" si="105">-H206</f>
        <v>109771.20824701712</v>
      </c>
      <c r="I216" s="90">
        <f t="shared" si="105"/>
        <v>-1743438.3591620997</v>
      </c>
      <c r="J216" s="90">
        <f t="shared" si="105"/>
        <v>1389363.2684454545</v>
      </c>
      <c r="K216" s="90">
        <f t="shared" si="105"/>
        <v>1398499.3962362036</v>
      </c>
      <c r="L216" s="90">
        <f t="shared" si="105"/>
        <v>-962019.0427409187</v>
      </c>
      <c r="M216" s="90">
        <f t="shared" si="105"/>
        <v>443470.69966684282</v>
      </c>
      <c r="N216" s="90">
        <f t="shared" si="105"/>
        <v>-2931917.1908963993</v>
      </c>
      <c r="O216" s="90">
        <f t="shared" si="105"/>
        <v>2424582.6116225757</v>
      </c>
      <c r="P216" s="90">
        <f t="shared" si="105"/>
        <v>-249996.22779086977</v>
      </c>
      <c r="Q216" s="90">
        <f t="shared" si="105"/>
        <v>-355067.56515282393</v>
      </c>
      <c r="R216" s="90">
        <f t="shared" si="105"/>
        <v>2425895.8574160449</v>
      </c>
      <c r="S216" s="90">
        <f t="shared" si="105"/>
        <v>-5740440.5472974777</v>
      </c>
    </row>
    <row r="217" spans="1:19" s="90" customFormat="1" ht="17.25" outlineLevel="1" x14ac:dyDescent="0.4">
      <c r="A217" s="90" t="s">
        <v>166</v>
      </c>
      <c r="B217" s="90" t="s">
        <v>89</v>
      </c>
      <c r="D217" s="91" t="s">
        <v>120</v>
      </c>
      <c r="E217" s="78">
        <f t="shared" si="102"/>
        <v>0</v>
      </c>
      <c r="F217" s="78">
        <f t="shared" si="100"/>
        <v>0</v>
      </c>
      <c r="G217" s="122">
        <f>-IF(G2=MAX($G$2:$S$2),$F$73,0)</f>
        <v>0</v>
      </c>
      <c r="H217" s="122">
        <f t="shared" ref="H217:S217" si="106">-IF(H2=MAX($G$2:$S$2),$F$73,0)</f>
        <v>0</v>
      </c>
      <c r="I217" s="122">
        <f t="shared" si="106"/>
        <v>0</v>
      </c>
      <c r="J217" s="122">
        <f t="shared" si="106"/>
        <v>0</v>
      </c>
      <c r="K217" s="122">
        <f t="shared" si="106"/>
        <v>0</v>
      </c>
      <c r="L217" s="122">
        <f t="shared" si="106"/>
        <v>0</v>
      </c>
      <c r="M217" s="122">
        <f t="shared" si="106"/>
        <v>0</v>
      </c>
      <c r="N217" s="122">
        <f t="shared" si="106"/>
        <v>0</v>
      </c>
      <c r="O217" s="122">
        <f t="shared" si="106"/>
        <v>0</v>
      </c>
      <c r="P217" s="122">
        <f t="shared" si="106"/>
        <v>0</v>
      </c>
      <c r="Q217" s="122">
        <f t="shared" si="106"/>
        <v>0</v>
      </c>
      <c r="R217" s="122">
        <f t="shared" si="106"/>
        <v>0</v>
      </c>
      <c r="S217" s="122">
        <f t="shared" si="106"/>
        <v>-100000000</v>
      </c>
    </row>
    <row r="218" spans="1:19" s="90" customFormat="1" outlineLevel="1" x14ac:dyDescent="0.25">
      <c r="A218" s="108"/>
      <c r="B218" s="108" t="s">
        <v>156</v>
      </c>
      <c r="C218" s="108"/>
      <c r="D218" s="109" t="s">
        <v>120</v>
      </c>
      <c r="E218" s="86">
        <f t="shared" si="102"/>
        <v>-87480811.625209823</v>
      </c>
      <c r="F218" s="86">
        <f t="shared" si="100"/>
        <v>-1049769739.5025179</v>
      </c>
      <c r="G218" s="108">
        <f>SUM(G213:G217)</f>
        <v>-112541287.76739085</v>
      </c>
      <c r="H218" s="108">
        <f t="shared" ref="H218:S218" si="107">SUM(H213:H217)</f>
        <v>-101394271.29132546</v>
      </c>
      <c r="I218" s="108">
        <f t="shared" si="107"/>
        <v>-193166334.41751757</v>
      </c>
      <c r="J218" s="108">
        <f t="shared" si="107"/>
        <v>-112148516.12480277</v>
      </c>
      <c r="K218" s="108">
        <f t="shared" si="107"/>
        <v>-34639222.880792536</v>
      </c>
      <c r="L218" s="108">
        <f t="shared" si="107"/>
        <v>-84038211.740395367</v>
      </c>
      <c r="M218" s="108">
        <f t="shared" si="107"/>
        <v>-54228767.578809783</v>
      </c>
      <c r="N218" s="108">
        <f t="shared" si="107"/>
        <v>-210623437.61715764</v>
      </c>
      <c r="O218" s="108">
        <f t="shared" si="107"/>
        <v>-68292303.192173809</v>
      </c>
      <c r="P218" s="108">
        <f t="shared" si="107"/>
        <v>-74838818.565084487</v>
      </c>
      <c r="Q218" s="108">
        <f t="shared" si="107"/>
        <v>-80959368.358918488</v>
      </c>
      <c r="R218" s="108">
        <f t="shared" si="107"/>
        <v>77100800.031850815</v>
      </c>
      <c r="S218" s="108">
        <f t="shared" si="107"/>
        <v>-98014593.357640907</v>
      </c>
    </row>
    <row r="219" spans="1:19" s="90" customFormat="1" outlineLevel="1" x14ac:dyDescent="0.25">
      <c r="D219" s="91"/>
      <c r="E219" s="91"/>
      <c r="F219" s="91"/>
    </row>
    <row r="220" spans="1:19" s="90" customFormat="1" outlineLevel="1" x14ac:dyDescent="0.25">
      <c r="A220" s="101" t="s">
        <v>16</v>
      </c>
      <c r="D220" s="91"/>
      <c r="E220" s="78">
        <f t="shared" ref="E220" si="108">IFERROR(AVERAGE(G220:R220),"na")</f>
        <v>714083321.06033874</v>
      </c>
      <c r="F220" s="78">
        <f>SUM(G220:R220)</f>
        <v>8568999852.7240648</v>
      </c>
      <c r="G220" s="101">
        <f>G211+G218</f>
        <v>711767625.16446495</v>
      </c>
      <c r="H220" s="101">
        <f t="shared" ref="H220:R220" si="109">H211+H218</f>
        <v>690242321.99142241</v>
      </c>
      <c r="I220" s="101">
        <f t="shared" si="109"/>
        <v>905040001.81597269</v>
      </c>
      <c r="J220" s="101">
        <f t="shared" si="109"/>
        <v>734034530.30002809</v>
      </c>
      <c r="K220" s="101">
        <f t="shared" si="109"/>
        <v>563071255.07125044</v>
      </c>
      <c r="L220" s="101">
        <f t="shared" si="109"/>
        <v>678904062.26712823</v>
      </c>
      <c r="M220" s="101">
        <f t="shared" si="109"/>
        <v>625378009.43035936</v>
      </c>
      <c r="N220" s="101">
        <f t="shared" si="109"/>
        <v>992625629.92337346</v>
      </c>
      <c r="O220" s="101">
        <f t="shared" si="109"/>
        <v>696774200.58485973</v>
      </c>
      <c r="P220" s="101">
        <f t="shared" si="109"/>
        <v>724106130.07408547</v>
      </c>
      <c r="Q220" s="101">
        <f t="shared" si="109"/>
        <v>771253909.76658154</v>
      </c>
      <c r="R220" s="101">
        <f t="shared" si="109"/>
        <v>475802176.3345387</v>
      </c>
      <c r="S220" s="101">
        <f>S211+S218</f>
        <v>-69261099.787740648</v>
      </c>
    </row>
    <row r="221" spans="1:19" s="90" customFormat="1" outlineLevel="1" x14ac:dyDescent="0.25">
      <c r="D221" s="91"/>
      <c r="E221" s="91"/>
      <c r="F221" s="91"/>
    </row>
    <row r="222" spans="1:19" s="90" customFormat="1" outlineLevel="1" x14ac:dyDescent="0.25">
      <c r="A222" s="90" t="s">
        <v>139</v>
      </c>
      <c r="D222" s="123">
        <f>F84</f>
        <v>0.05</v>
      </c>
      <c r="E222" s="105" t="s">
        <v>103</v>
      </c>
      <c r="F222" s="105" t="s">
        <v>103</v>
      </c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</row>
    <row r="223" spans="1:19" s="90" customFormat="1" outlineLevel="1" x14ac:dyDescent="0.25">
      <c r="D223" s="91"/>
      <c r="E223" s="91"/>
      <c r="F223" s="91"/>
    </row>
    <row r="224" spans="1:19" s="90" customFormat="1" outlineLevel="1" x14ac:dyDescent="0.25">
      <c r="A224" s="101" t="s">
        <v>22</v>
      </c>
      <c r="B224" s="101"/>
      <c r="C224" s="101"/>
      <c r="D224" s="91" t="s">
        <v>120</v>
      </c>
      <c r="E224" s="102"/>
    </row>
    <row r="225" spans="1:19" s="90" customFormat="1" outlineLevel="1" x14ac:dyDescent="0.25">
      <c r="A225" s="90" t="s">
        <v>140</v>
      </c>
      <c r="C225" s="91"/>
      <c r="D225" s="91"/>
      <c r="E225" s="125">
        <f>SUM(F225:S225)</f>
        <v>8499738752.9363241</v>
      </c>
      <c r="F225" s="101">
        <v>0</v>
      </c>
      <c r="G225" s="101">
        <f>G220</f>
        <v>711767625.16446495</v>
      </c>
      <c r="H225" s="101">
        <f t="shared" ref="H225:S225" si="110">H220</f>
        <v>690242321.99142241</v>
      </c>
      <c r="I225" s="101">
        <f t="shared" si="110"/>
        <v>905040001.81597269</v>
      </c>
      <c r="J225" s="101">
        <f t="shared" si="110"/>
        <v>734034530.30002809</v>
      </c>
      <c r="K225" s="101">
        <f t="shared" si="110"/>
        <v>563071255.07125044</v>
      </c>
      <c r="L225" s="101">
        <f t="shared" si="110"/>
        <v>678904062.26712823</v>
      </c>
      <c r="M225" s="101">
        <f t="shared" si="110"/>
        <v>625378009.43035936</v>
      </c>
      <c r="N225" s="101">
        <f t="shared" si="110"/>
        <v>992625629.92337346</v>
      </c>
      <c r="O225" s="101">
        <f t="shared" si="110"/>
        <v>696774200.58485973</v>
      </c>
      <c r="P225" s="101">
        <f t="shared" si="110"/>
        <v>724106130.07408547</v>
      </c>
      <c r="Q225" s="101">
        <f t="shared" si="110"/>
        <v>771253909.76658154</v>
      </c>
      <c r="R225" s="101">
        <f t="shared" si="110"/>
        <v>475802176.3345387</v>
      </c>
      <c r="S225" s="101">
        <f t="shared" si="110"/>
        <v>-69261099.787740648</v>
      </c>
    </row>
    <row r="226" spans="1:19" s="90" customFormat="1" outlineLevel="1" x14ac:dyDescent="0.25">
      <c r="A226" s="90" t="s">
        <v>141</v>
      </c>
      <c r="C226" s="91"/>
      <c r="D226" s="91"/>
      <c r="E226" s="126">
        <f>XIRR(F225:S225,F1:S1)</f>
        <v>2.9802322387695314E-9</v>
      </c>
    </row>
    <row r="227" spans="1:19" s="90" customFormat="1" outlineLevel="1" x14ac:dyDescent="0.25">
      <c r="C227" s="91"/>
      <c r="D227" s="91"/>
      <c r="E227" s="102"/>
    </row>
    <row r="228" spans="1:19" s="90" customFormat="1" outlineLevel="1" x14ac:dyDescent="0.25">
      <c r="A228" s="90" t="s">
        <v>142</v>
      </c>
      <c r="C228" s="127" t="s">
        <v>143</v>
      </c>
      <c r="D228" s="91"/>
      <c r="E228" s="125">
        <f>XNPV(D222,F230:S230,F1:S1)</f>
        <v>1825869770.2205379</v>
      </c>
      <c r="F228" s="90">
        <f>-F86</f>
        <v>-4500000000</v>
      </c>
      <c r="G228" s="101"/>
    </row>
    <row r="229" spans="1:19" s="90" customFormat="1" outlineLevel="1" x14ac:dyDescent="0.25">
      <c r="C229" s="127" t="s">
        <v>144</v>
      </c>
      <c r="D229" s="91"/>
      <c r="E229" s="128"/>
      <c r="F229" s="101"/>
      <c r="G229" s="101">
        <f>G225</f>
        <v>711767625.16446495</v>
      </c>
      <c r="H229" s="101">
        <f t="shared" ref="H229:S229" si="111">H225</f>
        <v>690242321.99142241</v>
      </c>
      <c r="I229" s="101">
        <f t="shared" si="111"/>
        <v>905040001.81597269</v>
      </c>
      <c r="J229" s="101">
        <f t="shared" si="111"/>
        <v>734034530.30002809</v>
      </c>
      <c r="K229" s="101">
        <f t="shared" si="111"/>
        <v>563071255.07125044</v>
      </c>
      <c r="L229" s="101">
        <f t="shared" si="111"/>
        <v>678904062.26712823</v>
      </c>
      <c r="M229" s="101">
        <f t="shared" si="111"/>
        <v>625378009.43035936</v>
      </c>
      <c r="N229" s="101">
        <f t="shared" si="111"/>
        <v>992625629.92337346</v>
      </c>
      <c r="O229" s="101">
        <f t="shared" si="111"/>
        <v>696774200.58485973</v>
      </c>
      <c r="P229" s="101">
        <f t="shared" si="111"/>
        <v>724106130.07408547</v>
      </c>
      <c r="Q229" s="101">
        <f t="shared" si="111"/>
        <v>771253909.76658154</v>
      </c>
      <c r="R229" s="101">
        <f t="shared" si="111"/>
        <v>475802176.3345387</v>
      </c>
      <c r="S229" s="101">
        <f t="shared" si="111"/>
        <v>-69261099.787740648</v>
      </c>
    </row>
    <row r="230" spans="1:19" s="90" customFormat="1" outlineLevel="1" x14ac:dyDescent="0.25">
      <c r="A230" s="108" t="s">
        <v>145</v>
      </c>
      <c r="B230" s="108"/>
      <c r="C230" s="129" t="s">
        <v>146</v>
      </c>
      <c r="D230" s="109"/>
      <c r="E230" s="130">
        <f>XIRR(F230:S230,F1:S1)</f>
        <v>0.11780250668525696</v>
      </c>
      <c r="F230" s="107">
        <f>SUM(F228:F229)</f>
        <v>-4500000000</v>
      </c>
      <c r="G230" s="107">
        <f t="shared" ref="G230:S230" si="112">SUM(G228:G229)</f>
        <v>711767625.16446495</v>
      </c>
      <c r="H230" s="107">
        <f t="shared" si="112"/>
        <v>690242321.99142241</v>
      </c>
      <c r="I230" s="107">
        <f t="shared" si="112"/>
        <v>905040001.81597269</v>
      </c>
      <c r="J230" s="107">
        <f t="shared" si="112"/>
        <v>734034530.30002809</v>
      </c>
      <c r="K230" s="107">
        <f t="shared" si="112"/>
        <v>563071255.07125044</v>
      </c>
      <c r="L230" s="107">
        <f t="shared" si="112"/>
        <v>678904062.26712823</v>
      </c>
      <c r="M230" s="107">
        <f t="shared" si="112"/>
        <v>625378009.43035936</v>
      </c>
      <c r="N230" s="107">
        <f t="shared" si="112"/>
        <v>992625629.92337346</v>
      </c>
      <c r="O230" s="107">
        <f t="shared" si="112"/>
        <v>696774200.58485973</v>
      </c>
      <c r="P230" s="107">
        <f t="shared" si="112"/>
        <v>724106130.07408547</v>
      </c>
      <c r="Q230" s="107">
        <f t="shared" si="112"/>
        <v>771253909.76658154</v>
      </c>
      <c r="R230" s="107">
        <f t="shared" si="112"/>
        <v>475802176.3345387</v>
      </c>
      <c r="S230" s="107">
        <f t="shared" si="112"/>
        <v>-69261099.787740648</v>
      </c>
    </row>
    <row r="231" spans="1:19" s="90" customFormat="1" outlineLevel="1" x14ac:dyDescent="0.25">
      <c r="D231" s="91"/>
      <c r="E231" s="91"/>
      <c r="F231" s="102" t="s">
        <v>170</v>
      </c>
    </row>
    <row r="232" spans="1:19" s="90" customFormat="1" outlineLevel="1" x14ac:dyDescent="0.25">
      <c r="A232" s="101" t="s">
        <v>147</v>
      </c>
      <c r="D232" s="91"/>
      <c r="E232" s="91"/>
      <c r="F232" s="91"/>
    </row>
    <row r="233" spans="1:19" s="90" customFormat="1" outlineLevel="1" x14ac:dyDescent="0.25">
      <c r="B233" s="90" t="s">
        <v>143</v>
      </c>
      <c r="D233" s="91"/>
      <c r="E233" s="91"/>
      <c r="F233" s="91">
        <f>F228</f>
        <v>-4500000000</v>
      </c>
      <c r="G233" s="91">
        <f t="shared" ref="G233:S233" si="113">G228</f>
        <v>0</v>
      </c>
      <c r="H233" s="91">
        <f t="shared" si="113"/>
        <v>0</v>
      </c>
      <c r="I233" s="91">
        <f t="shared" si="113"/>
        <v>0</v>
      </c>
      <c r="J233" s="91">
        <f t="shared" si="113"/>
        <v>0</v>
      </c>
      <c r="K233" s="91">
        <f t="shared" si="113"/>
        <v>0</v>
      </c>
      <c r="L233" s="91">
        <f t="shared" si="113"/>
        <v>0</v>
      </c>
      <c r="M233" s="91">
        <f t="shared" si="113"/>
        <v>0</v>
      </c>
      <c r="N233" s="91">
        <f t="shared" si="113"/>
        <v>0</v>
      </c>
      <c r="O233" s="91">
        <f t="shared" si="113"/>
        <v>0</v>
      </c>
      <c r="P233" s="91">
        <f t="shared" si="113"/>
        <v>0</v>
      </c>
      <c r="Q233" s="91">
        <f t="shared" si="113"/>
        <v>0</v>
      </c>
      <c r="R233" s="91">
        <f t="shared" si="113"/>
        <v>0</v>
      </c>
      <c r="S233" s="91">
        <f t="shared" si="113"/>
        <v>0</v>
      </c>
    </row>
    <row r="234" spans="1:19" s="90" customFormat="1" outlineLevel="1" x14ac:dyDescent="0.25">
      <c r="B234" s="90" t="s">
        <v>148</v>
      </c>
      <c r="D234" s="91"/>
      <c r="E234" s="91"/>
      <c r="F234" s="91">
        <f>F229</f>
        <v>0</v>
      </c>
      <c r="G234" s="91">
        <f t="shared" ref="G234:S234" si="114">G229</f>
        <v>711767625.16446495</v>
      </c>
      <c r="H234" s="91">
        <f t="shared" si="114"/>
        <v>690242321.99142241</v>
      </c>
      <c r="I234" s="91">
        <f t="shared" si="114"/>
        <v>905040001.81597269</v>
      </c>
      <c r="J234" s="91">
        <f t="shared" si="114"/>
        <v>734034530.30002809</v>
      </c>
      <c r="K234" s="91">
        <f t="shared" si="114"/>
        <v>563071255.07125044</v>
      </c>
      <c r="L234" s="91">
        <f t="shared" si="114"/>
        <v>678904062.26712823</v>
      </c>
      <c r="M234" s="91">
        <f t="shared" si="114"/>
        <v>625378009.43035936</v>
      </c>
      <c r="N234" s="91">
        <f t="shared" si="114"/>
        <v>992625629.92337346</v>
      </c>
      <c r="O234" s="91">
        <f t="shared" si="114"/>
        <v>696774200.58485973</v>
      </c>
      <c r="P234" s="91">
        <f t="shared" si="114"/>
        <v>724106130.07408547</v>
      </c>
      <c r="Q234" s="91">
        <f t="shared" si="114"/>
        <v>771253909.76658154</v>
      </c>
      <c r="R234" s="91">
        <f t="shared" si="114"/>
        <v>475802176.3345387</v>
      </c>
      <c r="S234" s="91">
        <f t="shared" si="114"/>
        <v>-69261099.787740648</v>
      </c>
    </row>
    <row r="235" spans="1:19" s="90" customFormat="1" outlineLevel="1" x14ac:dyDescent="0.25">
      <c r="A235" s="108"/>
      <c r="B235" s="108" t="s">
        <v>6</v>
      </c>
      <c r="C235" s="108"/>
      <c r="D235" s="109"/>
      <c r="E235" s="109"/>
      <c r="F235" s="109">
        <f>SUM(F233:F234)</f>
        <v>-4500000000</v>
      </c>
      <c r="G235" s="109">
        <f t="shared" ref="G235:S235" si="115">SUM(G233:G234)</f>
        <v>711767625.16446495</v>
      </c>
      <c r="H235" s="109">
        <f>SUM(H233:H234)</f>
        <v>690242321.99142241</v>
      </c>
      <c r="I235" s="109">
        <f t="shared" si="115"/>
        <v>905040001.81597269</v>
      </c>
      <c r="J235" s="109">
        <f t="shared" si="115"/>
        <v>734034530.30002809</v>
      </c>
      <c r="K235" s="109">
        <f t="shared" si="115"/>
        <v>563071255.07125044</v>
      </c>
      <c r="L235" s="109">
        <f t="shared" si="115"/>
        <v>678904062.26712823</v>
      </c>
      <c r="M235" s="109">
        <f t="shared" si="115"/>
        <v>625378009.43035936</v>
      </c>
      <c r="N235" s="109">
        <f t="shared" si="115"/>
        <v>992625629.92337346</v>
      </c>
      <c r="O235" s="109">
        <f t="shared" si="115"/>
        <v>696774200.58485973</v>
      </c>
      <c r="P235" s="109">
        <f t="shared" si="115"/>
        <v>724106130.07408547</v>
      </c>
      <c r="Q235" s="109">
        <f t="shared" si="115"/>
        <v>771253909.76658154</v>
      </c>
      <c r="R235" s="109">
        <f t="shared" si="115"/>
        <v>475802176.3345387</v>
      </c>
      <c r="S235" s="109">
        <f t="shared" si="115"/>
        <v>-69261099.787740648</v>
      </c>
    </row>
    <row r="236" spans="1:19" s="90" customFormat="1" outlineLevel="1" x14ac:dyDescent="0.25">
      <c r="D236" s="91"/>
      <c r="E236" s="91"/>
      <c r="F236" s="91"/>
    </row>
    <row r="237" spans="1:19" s="90" customFormat="1" outlineLevel="1" x14ac:dyDescent="0.25">
      <c r="B237" s="90" t="s">
        <v>149</v>
      </c>
      <c r="D237" s="91"/>
      <c r="E237" s="91"/>
      <c r="F237" s="91">
        <f>F235</f>
        <v>-4500000000</v>
      </c>
      <c r="G237" s="91">
        <f>F237+G235</f>
        <v>-3788232374.835535</v>
      </c>
      <c r="H237" s="91">
        <f t="shared" ref="H237:S237" si="116">G237+H235</f>
        <v>-3097990052.8441124</v>
      </c>
      <c r="I237" s="91">
        <f t="shared" si="116"/>
        <v>-2192950051.0281396</v>
      </c>
      <c r="J237" s="91">
        <f t="shared" si="116"/>
        <v>-1458915520.7281115</v>
      </c>
      <c r="K237" s="91">
        <f t="shared" si="116"/>
        <v>-895844265.65686107</v>
      </c>
      <c r="L237" s="91">
        <f t="shared" si="116"/>
        <v>-216940203.38973284</v>
      </c>
      <c r="M237" s="91">
        <f t="shared" si="116"/>
        <v>408437806.04062653</v>
      </c>
      <c r="N237" s="91">
        <f t="shared" si="116"/>
        <v>1401063435.964</v>
      </c>
      <c r="O237" s="91">
        <f t="shared" si="116"/>
        <v>2097837636.5488596</v>
      </c>
      <c r="P237" s="91">
        <f t="shared" si="116"/>
        <v>2821943766.6229448</v>
      </c>
      <c r="Q237" s="91">
        <f t="shared" si="116"/>
        <v>3593197676.3895264</v>
      </c>
      <c r="R237" s="91">
        <f t="shared" si="116"/>
        <v>4068999852.7240648</v>
      </c>
      <c r="S237" s="91">
        <f t="shared" si="116"/>
        <v>3999738752.9363241</v>
      </c>
    </row>
    <row r="238" spans="1:19" s="90" customFormat="1" outlineLevel="1" x14ac:dyDescent="0.25">
      <c r="B238" s="90" t="s">
        <v>150</v>
      </c>
      <c r="D238" s="91"/>
      <c r="E238" s="125">
        <f>MAX(F238:S238)</f>
        <v>7</v>
      </c>
      <c r="F238" s="90">
        <f>IF(F237&lt;0,1,0)</f>
        <v>1</v>
      </c>
      <c r="G238" s="90">
        <f>F238+IF(G237&lt;0,1,0)</f>
        <v>2</v>
      </c>
      <c r="H238" s="90">
        <f t="shared" ref="H238:S238" si="117">G238+IF(H237&lt;0,1,0)</f>
        <v>3</v>
      </c>
      <c r="I238" s="90">
        <f t="shared" si="117"/>
        <v>4</v>
      </c>
      <c r="J238" s="90">
        <f t="shared" si="117"/>
        <v>5</v>
      </c>
      <c r="K238" s="90">
        <f t="shared" si="117"/>
        <v>6</v>
      </c>
      <c r="L238" s="90">
        <f t="shared" si="117"/>
        <v>7</v>
      </c>
      <c r="M238" s="90">
        <f t="shared" si="117"/>
        <v>7</v>
      </c>
      <c r="N238" s="90">
        <f t="shared" si="117"/>
        <v>7</v>
      </c>
      <c r="O238" s="90">
        <f t="shared" si="117"/>
        <v>7</v>
      </c>
      <c r="P238" s="90">
        <f t="shared" si="117"/>
        <v>7</v>
      </c>
      <c r="Q238" s="90">
        <f t="shared" si="117"/>
        <v>7</v>
      </c>
      <c r="R238" s="90">
        <f t="shared" si="117"/>
        <v>7</v>
      </c>
      <c r="S238" s="90">
        <f t="shared" si="117"/>
        <v>7</v>
      </c>
    </row>
    <row r="239" spans="1:19" s="90" customFormat="1" outlineLevel="1" x14ac:dyDescent="0.25">
      <c r="D239" s="91"/>
      <c r="E239" s="91"/>
      <c r="F239" s="91"/>
      <c r="I239" s="131"/>
      <c r="J239" s="131"/>
    </row>
    <row r="240" spans="1:19" s="90" customFormat="1" x14ac:dyDescent="0.25">
      <c r="D240" s="91"/>
      <c r="E240" s="91"/>
      <c r="F240" s="91"/>
    </row>
    <row r="241" spans="1:19" s="28" customFormat="1" ht="18.75" customHeight="1" x14ac:dyDescent="0.3">
      <c r="A241" s="27" t="s">
        <v>24</v>
      </c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1:19" ht="16.5" customHeight="1" outlineLevel="1" x14ac:dyDescent="0.25"/>
    <row r="243" spans="1:19" outlineLevel="1" x14ac:dyDescent="0.25">
      <c r="G243" s="30" t="s">
        <v>151</v>
      </c>
      <c r="H243" s="132">
        <f>E225</f>
        <v>8499738752.9363241</v>
      </c>
      <c r="I243" s="59"/>
    </row>
    <row r="244" spans="1:19" outlineLevel="1" x14ac:dyDescent="0.25">
      <c r="G244" s="30" t="s">
        <v>142</v>
      </c>
      <c r="H244" s="69">
        <f>E228</f>
        <v>1825869770.2205379</v>
      </c>
      <c r="I244" s="59"/>
    </row>
    <row r="245" spans="1:19" outlineLevel="1" x14ac:dyDescent="0.25">
      <c r="G245" s="30" t="s">
        <v>152</v>
      </c>
      <c r="H245" s="133">
        <v>1896</v>
      </c>
      <c r="I245" s="40"/>
    </row>
    <row r="246" spans="1:19" outlineLevel="1" x14ac:dyDescent="0.25">
      <c r="G246" s="30" t="s">
        <v>23</v>
      </c>
      <c r="H246" s="134">
        <f>E230</f>
        <v>0.11780250668525696</v>
      </c>
      <c r="I246" s="47"/>
    </row>
    <row r="247" spans="1:19" ht="15.75" outlineLevel="1" thickBot="1" x14ac:dyDescent="0.3">
      <c r="H247" s="47"/>
    </row>
    <row r="248" spans="1:19" ht="15.75" customHeight="1" outlineLevel="1" x14ac:dyDescent="0.25">
      <c r="G248" s="144" t="s">
        <v>23</v>
      </c>
      <c r="H248" s="145"/>
      <c r="I248" s="145"/>
      <c r="J248" s="145"/>
      <c r="K248" s="145"/>
      <c r="L248" s="146"/>
    </row>
    <row r="249" spans="1:19" outlineLevel="1" x14ac:dyDescent="0.25">
      <c r="G249" s="147"/>
      <c r="H249" s="148" t="s">
        <v>153</v>
      </c>
      <c r="I249" s="148"/>
      <c r="J249" s="148"/>
      <c r="K249" s="148"/>
      <c r="L249" s="149"/>
    </row>
    <row r="250" spans="1:19" outlineLevel="1" x14ac:dyDescent="0.25">
      <c r="G250" s="150">
        <f>E230</f>
        <v>0.11780250668525696</v>
      </c>
      <c r="H250" s="135">
        <v>1800</v>
      </c>
      <c r="I250" s="136">
        <f>+H250+200</f>
        <v>2000</v>
      </c>
      <c r="J250" s="136">
        <f t="shared" ref="J250:L250" si="118">+I250+200</f>
        <v>2200</v>
      </c>
      <c r="K250" s="136">
        <f t="shared" si="118"/>
        <v>2400</v>
      </c>
      <c r="L250" s="151">
        <f t="shared" si="118"/>
        <v>2600</v>
      </c>
    </row>
    <row r="251" spans="1:19" outlineLevel="1" x14ac:dyDescent="0.25">
      <c r="G251" s="152">
        <v>12</v>
      </c>
      <c r="H251" s="137">
        <f t="dataTable" ref="H251:L259" dt2D="1" dtr="1" r1="G22" r2="G59" ca="1"/>
        <v>0.10747756361961366</v>
      </c>
      <c r="I251" s="137">
        <v>0.10747756361961366</v>
      </c>
      <c r="J251" s="137">
        <v>0.10747756361961366</v>
      </c>
      <c r="K251" s="137">
        <v>0.10747756361961366</v>
      </c>
      <c r="L251" s="153">
        <v>0.10747756361961366</v>
      </c>
    </row>
    <row r="252" spans="1:19" outlineLevel="1" x14ac:dyDescent="0.25">
      <c r="G252" s="154">
        <f>+G251-1</f>
        <v>11</v>
      </c>
      <c r="H252" s="155">
        <v>0.11182642579078675</v>
      </c>
      <c r="I252" s="155">
        <v>0.11182642579078675</v>
      </c>
      <c r="J252" s="155">
        <v>0.11182642579078675</v>
      </c>
      <c r="K252" s="155">
        <v>0.11182642579078675</v>
      </c>
      <c r="L252" s="156">
        <v>0.11182642579078675</v>
      </c>
    </row>
    <row r="253" spans="1:19" outlineLevel="1" x14ac:dyDescent="0.25">
      <c r="G253" s="154">
        <f t="shared" ref="G253:G259" si="119">+G252-1</f>
        <v>10</v>
      </c>
      <c r="H253" s="155">
        <v>0.11613360047340396</v>
      </c>
      <c r="I253" s="155">
        <v>0.11613360047340396</v>
      </c>
      <c r="J253" s="155">
        <v>0.11613360047340396</v>
      </c>
      <c r="K253" s="155">
        <v>0.11613360047340396</v>
      </c>
      <c r="L253" s="156">
        <v>0.11613360047340396</v>
      </c>
    </row>
    <row r="254" spans="1:19" outlineLevel="1" x14ac:dyDescent="0.25">
      <c r="G254" s="154">
        <f t="shared" si="119"/>
        <v>9</v>
      </c>
      <c r="H254" s="155">
        <v>0.12040095925331112</v>
      </c>
      <c r="I254" s="155">
        <v>0.12040095925331112</v>
      </c>
      <c r="J254" s="155">
        <v>0.12040095925331112</v>
      </c>
      <c r="K254" s="155">
        <v>0.12040095925331112</v>
      </c>
      <c r="L254" s="156">
        <v>0.12040095925331112</v>
      </c>
    </row>
    <row r="255" spans="1:19" outlineLevel="1" x14ac:dyDescent="0.25">
      <c r="G255" s="154">
        <f t="shared" si="119"/>
        <v>8</v>
      </c>
      <c r="H255" s="155">
        <v>0.12463021874427796</v>
      </c>
      <c r="I255" s="155">
        <v>0.12463021874427796</v>
      </c>
      <c r="J255" s="155">
        <v>0.12463021874427796</v>
      </c>
      <c r="K255" s="155">
        <v>0.12463021874427796</v>
      </c>
      <c r="L255" s="156">
        <v>0.12463021874427796</v>
      </c>
    </row>
    <row r="256" spans="1:19" outlineLevel="1" x14ac:dyDescent="0.25">
      <c r="G256" s="154">
        <f t="shared" si="119"/>
        <v>7</v>
      </c>
      <c r="H256" s="155">
        <v>0.12882304787635809</v>
      </c>
      <c r="I256" s="155">
        <v>0.12882304787635809</v>
      </c>
      <c r="J256" s="155">
        <v>0.12882304787635809</v>
      </c>
      <c r="K256" s="155">
        <v>0.12882304787635809</v>
      </c>
      <c r="L256" s="156">
        <v>0.12882304787635809</v>
      </c>
    </row>
    <row r="257" spans="7:12" outlineLevel="1" x14ac:dyDescent="0.25">
      <c r="G257" s="154">
        <f t="shared" si="119"/>
        <v>6</v>
      </c>
      <c r="H257" s="155">
        <v>0.13298097252845761</v>
      </c>
      <c r="I257" s="155">
        <v>0.13298097252845761</v>
      </c>
      <c r="J257" s="155">
        <v>0.13298097252845761</v>
      </c>
      <c r="K257" s="155">
        <v>0.13298097252845761</v>
      </c>
      <c r="L257" s="156">
        <v>0.13298097252845761</v>
      </c>
    </row>
    <row r="258" spans="7:12" outlineLevel="1" x14ac:dyDescent="0.25">
      <c r="G258" s="154">
        <f t="shared" si="119"/>
        <v>5</v>
      </c>
      <c r="H258" s="155">
        <v>0.13710544705390934</v>
      </c>
      <c r="I258" s="155">
        <v>0.13710544705390934</v>
      </c>
      <c r="J258" s="155">
        <v>0.13710544705390934</v>
      </c>
      <c r="K258" s="155">
        <v>0.13710544705390934</v>
      </c>
      <c r="L258" s="156">
        <v>0.13710544705390934</v>
      </c>
    </row>
    <row r="259" spans="7:12" ht="15.75" outlineLevel="1" thickBot="1" x14ac:dyDescent="0.3">
      <c r="G259" s="157">
        <f t="shared" si="119"/>
        <v>4</v>
      </c>
      <c r="H259" s="158">
        <v>0.14119784235954289</v>
      </c>
      <c r="I259" s="158">
        <v>0.14119784235954289</v>
      </c>
      <c r="J259" s="158">
        <v>0.14119784235954289</v>
      </c>
      <c r="K259" s="158">
        <v>0.14119784235954289</v>
      </c>
      <c r="L259" s="159">
        <v>0.14119784235954289</v>
      </c>
    </row>
    <row r="260" spans="7:12" outlineLevel="1" x14ac:dyDescent="0.25"/>
    <row r="261" spans="7:12" ht="15.75" outlineLevel="1" thickBot="1" x14ac:dyDescent="0.3"/>
    <row r="262" spans="7:12" ht="15.75" customHeight="1" outlineLevel="1" x14ac:dyDescent="0.25">
      <c r="G262" s="144" t="s">
        <v>154</v>
      </c>
      <c r="H262" s="145"/>
      <c r="I262" s="145"/>
      <c r="J262" s="145"/>
      <c r="K262" s="145"/>
      <c r="L262" s="146"/>
    </row>
    <row r="263" spans="7:12" outlineLevel="1" x14ac:dyDescent="0.25">
      <c r="G263" s="147" t="s">
        <v>153</v>
      </c>
      <c r="H263" s="148"/>
      <c r="I263" s="148"/>
      <c r="J263" s="148"/>
      <c r="K263" s="148"/>
      <c r="L263" s="149"/>
    </row>
    <row r="264" spans="7:12" outlineLevel="1" x14ac:dyDescent="0.25">
      <c r="G264" s="160">
        <f>E228/1000000</f>
        <v>1825.8697702205379</v>
      </c>
      <c r="H264" s="135">
        <v>1800</v>
      </c>
      <c r="I264" s="136">
        <f>+H264+200</f>
        <v>2000</v>
      </c>
      <c r="J264" s="136">
        <f t="shared" ref="J264:L264" si="120">+I264+200</f>
        <v>2200</v>
      </c>
      <c r="K264" s="136">
        <f t="shared" si="120"/>
        <v>2400</v>
      </c>
      <c r="L264" s="151">
        <f t="shared" si="120"/>
        <v>2600</v>
      </c>
    </row>
    <row r="265" spans="7:12" outlineLevel="1" x14ac:dyDescent="0.25">
      <c r="G265" s="161">
        <v>0.09</v>
      </c>
      <c r="H265" s="138">
        <f t="dataTable" ref="H265:L273" dt2D="1" dtr="1" r1="G22" r2="F84"/>
        <v>635.12322474265125</v>
      </c>
      <c r="I265" s="52">
        <v>635.12322474265125</v>
      </c>
      <c r="J265" s="52">
        <v>635.12322474265125</v>
      </c>
      <c r="K265" s="52">
        <v>635.12322474265125</v>
      </c>
      <c r="L265" s="162">
        <v>635.12322474265125</v>
      </c>
    </row>
    <row r="266" spans="7:12" outlineLevel="1" x14ac:dyDescent="0.25">
      <c r="G266" s="163">
        <f>G265-0.01</f>
        <v>0.08</v>
      </c>
      <c r="H266" s="164">
        <v>898.39866997531828</v>
      </c>
      <c r="I266" s="164">
        <v>898.39866997531828</v>
      </c>
      <c r="J266" s="164">
        <v>898.39866997531828</v>
      </c>
      <c r="K266" s="164">
        <v>898.39866997531828</v>
      </c>
      <c r="L266" s="165">
        <v>898.39866997531828</v>
      </c>
    </row>
    <row r="267" spans="7:12" outlineLevel="1" x14ac:dyDescent="0.25">
      <c r="G267" s="163">
        <f t="shared" ref="G267:G273" si="121">G266-0.01</f>
        <v>7.0000000000000007E-2</v>
      </c>
      <c r="H267" s="164">
        <v>1183.1004229675843</v>
      </c>
      <c r="I267" s="164">
        <v>1183.1004229675843</v>
      </c>
      <c r="J267" s="164">
        <v>1183.1004229675843</v>
      </c>
      <c r="K267" s="164">
        <v>1183.1004229675843</v>
      </c>
      <c r="L267" s="165">
        <v>1183.1004229675843</v>
      </c>
    </row>
    <row r="268" spans="7:12" outlineLevel="1" x14ac:dyDescent="0.25">
      <c r="G268" s="163">
        <f t="shared" si="121"/>
        <v>6.0000000000000005E-2</v>
      </c>
      <c r="H268" s="164">
        <v>1491.4337627170751</v>
      </c>
      <c r="I268" s="164">
        <v>1491.4337627170751</v>
      </c>
      <c r="J268" s="164">
        <v>1491.4337627170751</v>
      </c>
      <c r="K268" s="164">
        <v>1491.4337627170751</v>
      </c>
      <c r="L268" s="165">
        <v>1491.4337627170751</v>
      </c>
    </row>
    <row r="269" spans="7:12" outlineLevel="1" x14ac:dyDescent="0.25">
      <c r="G269" s="163">
        <f t="shared" si="121"/>
        <v>0.05</v>
      </c>
      <c r="H269" s="164">
        <v>1825.8697702205379</v>
      </c>
      <c r="I269" s="164">
        <v>1825.8697702205379</v>
      </c>
      <c r="J269" s="164">
        <v>1825.8697702205379</v>
      </c>
      <c r="K269" s="164">
        <v>1825.8697702205379</v>
      </c>
      <c r="L269" s="165">
        <v>1825.8697702205379</v>
      </c>
    </row>
    <row r="270" spans="7:12" outlineLevel="1" x14ac:dyDescent="0.25">
      <c r="G270" s="163">
        <f t="shared" si="121"/>
        <v>0.04</v>
      </c>
      <c r="H270" s="164">
        <v>2189.1815348718537</v>
      </c>
      <c r="I270" s="164">
        <v>2189.1815348718537</v>
      </c>
      <c r="J270" s="164">
        <v>2189.1815348718537</v>
      </c>
      <c r="K270" s="164">
        <v>2189.1815348718537</v>
      </c>
      <c r="L270" s="165">
        <v>2189.1815348718537</v>
      </c>
    </row>
    <row r="271" spans="7:12" outlineLevel="1" x14ac:dyDescent="0.25">
      <c r="G271" s="163">
        <f t="shared" si="121"/>
        <v>0.03</v>
      </c>
      <c r="H271" s="164">
        <v>2584.4858249821791</v>
      </c>
      <c r="I271" s="164">
        <v>2584.4858249821791</v>
      </c>
      <c r="J271" s="164">
        <v>2584.4858249821791</v>
      </c>
      <c r="K271" s="164">
        <v>2584.4858249821791</v>
      </c>
      <c r="L271" s="165">
        <v>2584.4858249821791</v>
      </c>
    </row>
    <row r="272" spans="7:12" outlineLevel="1" x14ac:dyDescent="0.25">
      <c r="G272" s="163">
        <f t="shared" si="121"/>
        <v>1.9999999999999997E-2</v>
      </c>
      <c r="H272" s="164">
        <v>3015.2911245583482</v>
      </c>
      <c r="I272" s="164">
        <v>3015.2911245583482</v>
      </c>
      <c r="J272" s="164">
        <v>3015.2911245583482</v>
      </c>
      <c r="K272" s="164">
        <v>3015.2911245583482</v>
      </c>
      <c r="L272" s="165">
        <v>3015.2911245583482</v>
      </c>
    </row>
    <row r="273" spans="1:19" ht="15.75" outlineLevel="1" thickBot="1" x14ac:dyDescent="0.3">
      <c r="G273" s="166">
        <f t="shared" si="121"/>
        <v>9.9999999999999967E-3</v>
      </c>
      <c r="H273" s="167">
        <v>3485.5530999873613</v>
      </c>
      <c r="I273" s="167">
        <v>3485.5530999873613</v>
      </c>
      <c r="J273" s="167">
        <v>3485.5530999873613</v>
      </c>
      <c r="K273" s="167">
        <v>3485.5530999873613</v>
      </c>
      <c r="L273" s="168">
        <v>3485.5530999873613</v>
      </c>
    </row>
    <row r="274" spans="1:19" outlineLevel="1" x14ac:dyDescent="0.25">
      <c r="G274" s="47"/>
      <c r="H274" s="59"/>
      <c r="I274" s="59"/>
      <c r="J274" s="59"/>
      <c r="K274" s="59"/>
      <c r="L274" s="59"/>
    </row>
    <row r="276" spans="1:19" s="28" customFormat="1" ht="18.75" customHeight="1" x14ac:dyDescent="0.3">
      <c r="A276" s="27" t="s">
        <v>159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 s="62" customFormat="1" ht="24" customHeight="1" outlineLevel="2" x14ac:dyDescent="0.25">
      <c r="G277" s="139">
        <f>G2</f>
        <v>2024</v>
      </c>
      <c r="H277" s="139">
        <f t="shared" ref="H277:S277" si="122">H2</f>
        <v>2025</v>
      </c>
      <c r="I277" s="139">
        <f t="shared" si="122"/>
        <v>2026</v>
      </c>
      <c r="J277" s="139">
        <f t="shared" si="122"/>
        <v>2027</v>
      </c>
      <c r="K277" s="139">
        <f t="shared" si="122"/>
        <v>2028</v>
      </c>
      <c r="L277" s="139">
        <f t="shared" si="122"/>
        <v>2029</v>
      </c>
      <c r="M277" s="139">
        <f t="shared" si="122"/>
        <v>2030</v>
      </c>
      <c r="N277" s="139">
        <f t="shared" si="122"/>
        <v>2031</v>
      </c>
      <c r="O277" s="139">
        <f t="shared" si="122"/>
        <v>2032</v>
      </c>
      <c r="P277" s="139">
        <f t="shared" si="122"/>
        <v>2033</v>
      </c>
      <c r="Q277" s="139">
        <f t="shared" si="122"/>
        <v>2034</v>
      </c>
      <c r="R277" s="139">
        <f t="shared" si="122"/>
        <v>2035</v>
      </c>
      <c r="S277" s="139">
        <f t="shared" si="122"/>
        <v>2036</v>
      </c>
    </row>
    <row r="278" spans="1:19" s="62" customFormat="1" outlineLevel="2" x14ac:dyDescent="0.25">
      <c r="A278" s="84" t="s">
        <v>19</v>
      </c>
      <c r="B278" s="84"/>
      <c r="C278" s="84"/>
      <c r="D278" s="84"/>
      <c r="E278" s="84"/>
      <c r="F278" s="84"/>
      <c r="G278" s="140">
        <f>G220-G214</f>
        <v>732512332.32710838</v>
      </c>
      <c r="H278" s="140">
        <f t="shared" ref="H278:S278" si="123">H220-H214</f>
        <v>710930349.62629902</v>
      </c>
      <c r="I278" s="140">
        <f t="shared" si="123"/>
        <v>925728029.45084929</v>
      </c>
      <c r="J278" s="140">
        <f t="shared" si="123"/>
        <v>754722557.93490469</v>
      </c>
      <c r="K278" s="140">
        <f t="shared" si="123"/>
        <v>583815962.23389387</v>
      </c>
      <c r="L278" s="140">
        <f t="shared" si="123"/>
        <v>699592089.90200484</v>
      </c>
      <c r="M278" s="140">
        <f t="shared" si="123"/>
        <v>646066037.06523597</v>
      </c>
      <c r="N278" s="140">
        <f t="shared" si="123"/>
        <v>1013313657.5582501</v>
      </c>
      <c r="O278" s="140">
        <f t="shared" si="123"/>
        <v>717518907.74750316</v>
      </c>
      <c r="P278" s="140">
        <f t="shared" si="123"/>
        <v>744794157.70896208</v>
      </c>
      <c r="Q278" s="140">
        <f t="shared" si="123"/>
        <v>791941937.40145814</v>
      </c>
      <c r="R278" s="140">
        <f t="shared" si="123"/>
        <v>496490203.96941537</v>
      </c>
      <c r="S278" s="91">
        <f t="shared" si="123"/>
        <v>-67687469.989560992</v>
      </c>
    </row>
    <row r="279" spans="1:19" s="62" customFormat="1" outlineLevel="2" x14ac:dyDescent="0.25">
      <c r="A279" s="62" t="s">
        <v>137</v>
      </c>
      <c r="G279" s="91">
        <f>G214</f>
        <v>-20744707.162643451</v>
      </c>
      <c r="H279" s="91">
        <f t="shared" ref="H279:S279" si="124">H214</f>
        <v>-20688027.634876665</v>
      </c>
      <c r="I279" s="91">
        <f t="shared" si="124"/>
        <v>-20688027.634876665</v>
      </c>
      <c r="J279" s="91">
        <f t="shared" si="124"/>
        <v>-20688027.634876665</v>
      </c>
      <c r="K279" s="91">
        <f t="shared" si="124"/>
        <v>-20744707.162643451</v>
      </c>
      <c r="L279" s="91">
        <f t="shared" si="124"/>
        <v>-20688027.634876665</v>
      </c>
      <c r="M279" s="91">
        <f t="shared" si="124"/>
        <v>-20688027.634876665</v>
      </c>
      <c r="N279" s="91">
        <f t="shared" si="124"/>
        <v>-20688027.634876665</v>
      </c>
      <c r="O279" s="91">
        <f t="shared" si="124"/>
        <v>-20744707.162643451</v>
      </c>
      <c r="P279" s="91">
        <f t="shared" si="124"/>
        <v>-20688027.634876665</v>
      </c>
      <c r="Q279" s="91">
        <f t="shared" si="124"/>
        <v>-20688027.634876665</v>
      </c>
      <c r="R279" s="91">
        <f t="shared" si="124"/>
        <v>-20688027.634876665</v>
      </c>
      <c r="S279" s="91">
        <f t="shared" si="124"/>
        <v>-1573629.7981796598</v>
      </c>
    </row>
    <row r="280" spans="1:19" s="62" customFormat="1" outlineLevel="2" x14ac:dyDescent="0.25">
      <c r="A280" s="84" t="s">
        <v>16</v>
      </c>
      <c r="B280" s="84"/>
      <c r="C280" s="84"/>
      <c r="D280" s="84"/>
      <c r="E280" s="84"/>
      <c r="F280" s="84"/>
      <c r="G280" s="141">
        <f>SUM(G277:G279)</f>
        <v>711769649.16446495</v>
      </c>
      <c r="H280" s="141">
        <f t="shared" ref="H280:S280" si="125">SUM(H277:H279)</f>
        <v>690244346.99142241</v>
      </c>
      <c r="I280" s="141">
        <f t="shared" si="125"/>
        <v>905042027.81597269</v>
      </c>
      <c r="J280" s="141">
        <f t="shared" si="125"/>
        <v>734036557.30002809</v>
      </c>
      <c r="K280" s="141">
        <f t="shared" si="125"/>
        <v>563073283.07125044</v>
      </c>
      <c r="L280" s="141">
        <f t="shared" si="125"/>
        <v>678906091.26712823</v>
      </c>
      <c r="M280" s="141">
        <f t="shared" si="125"/>
        <v>625380039.43035936</v>
      </c>
      <c r="N280" s="141">
        <f t="shared" si="125"/>
        <v>992627660.92337346</v>
      </c>
      <c r="O280" s="141">
        <f t="shared" si="125"/>
        <v>696776232.58485973</v>
      </c>
      <c r="P280" s="141">
        <f t="shared" si="125"/>
        <v>724108163.07408547</v>
      </c>
      <c r="Q280" s="141">
        <f t="shared" si="125"/>
        <v>771255943.76658154</v>
      </c>
      <c r="R280" s="141">
        <f t="shared" si="125"/>
        <v>475804211.3345387</v>
      </c>
      <c r="S280" s="91">
        <f t="shared" si="125"/>
        <v>-69259063.787740648</v>
      </c>
    </row>
    <row r="281" spans="1:19" s="62" customFormat="1" outlineLevel="2" x14ac:dyDescent="0.25">
      <c r="A281" s="180" t="s">
        <v>15</v>
      </c>
      <c r="B281" s="180"/>
      <c r="C281" s="180"/>
      <c r="D281" s="180"/>
      <c r="E281" s="180"/>
      <c r="F281" s="180"/>
      <c r="G281" s="181">
        <f>G194</f>
        <v>824308912.9318558</v>
      </c>
      <c r="H281" s="181">
        <f t="shared" ref="H281:S281" si="126">H194</f>
        <v>791636593.28274786</v>
      </c>
      <c r="I281" s="181">
        <f t="shared" si="126"/>
        <v>1098206336.2334902</v>
      </c>
      <c r="J281" s="181">
        <f t="shared" si="126"/>
        <v>846183046.42483091</v>
      </c>
      <c r="K281" s="181">
        <f t="shared" si="126"/>
        <v>597710477.95204294</v>
      </c>
      <c r="L281" s="181">
        <f t="shared" si="126"/>
        <v>762942274.00752366</v>
      </c>
      <c r="M281" s="181">
        <f t="shared" si="126"/>
        <v>679606777.0091691</v>
      </c>
      <c r="N281" s="181">
        <f t="shared" si="126"/>
        <v>1203249067.5405312</v>
      </c>
      <c r="O281" s="181">
        <f t="shared" si="126"/>
        <v>765066503.77703357</v>
      </c>
      <c r="P281" s="181">
        <f t="shared" si="126"/>
        <v>798944948.63916993</v>
      </c>
      <c r="Q281" s="181">
        <f t="shared" si="126"/>
        <v>852213278.12550008</v>
      </c>
      <c r="R281" s="181">
        <f t="shared" si="126"/>
        <v>398701376.30268788</v>
      </c>
      <c r="S281" s="181">
        <f t="shared" si="126"/>
        <v>28753493.569900256</v>
      </c>
    </row>
    <row r="282" spans="1:19" s="62" customFormat="1" outlineLevel="2" x14ac:dyDescent="0.25">
      <c r="G282" s="14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s="62" customFormat="1" outlineLevel="2" x14ac:dyDescent="0.25">
      <c r="A283" s="62" t="s">
        <v>147</v>
      </c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</row>
    <row r="284" spans="1:19" s="62" customFormat="1" outlineLevel="2" x14ac:dyDescent="0.25">
      <c r="A284" s="62" t="s">
        <v>157</v>
      </c>
      <c r="F284" s="82">
        <f>F233</f>
        <v>-4500000000</v>
      </c>
      <c r="G284" s="82">
        <f>G237</f>
        <v>-3788232374.835535</v>
      </c>
      <c r="H284" s="82">
        <f t="shared" ref="H284:S284" si="127">H237</f>
        <v>-3097990052.8441124</v>
      </c>
      <c r="I284" s="82">
        <f t="shared" si="127"/>
        <v>-2192950051.0281396</v>
      </c>
      <c r="J284" s="82">
        <f t="shared" si="127"/>
        <v>-1458915520.7281115</v>
      </c>
      <c r="K284" s="82">
        <f t="shared" si="127"/>
        <v>-895844265.65686107</v>
      </c>
      <c r="L284" s="82">
        <f t="shared" si="127"/>
        <v>-216940203.38973284</v>
      </c>
      <c r="M284" s="82">
        <f t="shared" si="127"/>
        <v>408437806.04062653</v>
      </c>
      <c r="N284" s="82">
        <f t="shared" si="127"/>
        <v>1401063435.964</v>
      </c>
      <c r="O284" s="82">
        <f t="shared" si="127"/>
        <v>2097837636.5488596</v>
      </c>
      <c r="P284" s="82">
        <f t="shared" si="127"/>
        <v>2821943766.6229448</v>
      </c>
      <c r="Q284" s="82">
        <f t="shared" si="127"/>
        <v>3593197676.3895264</v>
      </c>
      <c r="R284" s="82">
        <f t="shared" si="127"/>
        <v>4068999852.7240648</v>
      </c>
      <c r="S284" s="82">
        <f t="shared" si="127"/>
        <v>3999738752.9363241</v>
      </c>
    </row>
    <row r="285" spans="1:19" s="62" customFormat="1" outlineLevel="2" x14ac:dyDescent="0.25">
      <c r="A285" s="84" t="s">
        <v>16</v>
      </c>
      <c r="B285" s="84"/>
      <c r="C285" s="84"/>
      <c r="D285" s="84"/>
      <c r="E285" s="84"/>
      <c r="F285" s="89">
        <f>F280</f>
        <v>0</v>
      </c>
      <c r="G285" s="89">
        <f>G280</f>
        <v>711769649.16446495</v>
      </c>
      <c r="H285" s="89">
        <f t="shared" ref="H285:S285" si="128">H280</f>
        <v>690244346.99142241</v>
      </c>
      <c r="I285" s="89">
        <f t="shared" si="128"/>
        <v>905042027.81597269</v>
      </c>
      <c r="J285" s="89">
        <f t="shared" si="128"/>
        <v>734036557.30002809</v>
      </c>
      <c r="K285" s="89">
        <f t="shared" si="128"/>
        <v>563073283.07125044</v>
      </c>
      <c r="L285" s="89">
        <f t="shared" si="128"/>
        <v>678906091.26712823</v>
      </c>
      <c r="M285" s="89">
        <f t="shared" si="128"/>
        <v>625380039.43035936</v>
      </c>
      <c r="N285" s="89">
        <f t="shared" si="128"/>
        <v>992627660.92337346</v>
      </c>
      <c r="O285" s="89">
        <f t="shared" si="128"/>
        <v>696776232.58485973</v>
      </c>
      <c r="P285" s="89">
        <f t="shared" si="128"/>
        <v>724108163.07408547</v>
      </c>
      <c r="Q285" s="89">
        <f t="shared" si="128"/>
        <v>771255943.76658154</v>
      </c>
      <c r="R285" s="89">
        <f t="shared" si="128"/>
        <v>475804211.3345387</v>
      </c>
      <c r="S285" s="89">
        <f t="shared" si="128"/>
        <v>-69259063.787740648</v>
      </c>
    </row>
    <row r="286" spans="1:19" s="62" customFormat="1" outlineLevel="2" x14ac:dyDescent="0.25"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s="62" customFormat="1" outlineLevel="2" x14ac:dyDescent="0.25">
      <c r="A287" s="62" t="s">
        <v>158</v>
      </c>
      <c r="G287" s="80">
        <f>G119</f>
        <v>628548.85406251438</v>
      </c>
      <c r="H287" s="80">
        <f t="shared" ref="H287:S287" si="129">H119</f>
        <v>600440.02862085169</v>
      </c>
      <c r="I287" s="80">
        <f t="shared" si="129"/>
        <v>717894.69529657217</v>
      </c>
      <c r="J287" s="80">
        <f t="shared" si="129"/>
        <v>612315.87138837157</v>
      </c>
      <c r="K287" s="80">
        <f t="shared" si="129"/>
        <v>509186.7671848184</v>
      </c>
      <c r="L287" s="80">
        <f t="shared" si="129"/>
        <v>579521.76426784543</v>
      </c>
      <c r="M287" s="80">
        <f t="shared" si="129"/>
        <v>545707.88369228225</v>
      </c>
      <c r="N287" s="80">
        <f t="shared" si="129"/>
        <v>768870.45952367608</v>
      </c>
      <c r="O287" s="80">
        <f t="shared" si="129"/>
        <v>586338.82691853924</v>
      </c>
      <c r="P287" s="80">
        <f t="shared" si="129"/>
        <v>602776.47160011379</v>
      </c>
      <c r="Q287" s="80">
        <f t="shared" si="129"/>
        <v>629445.4837280442</v>
      </c>
      <c r="R287" s="80">
        <f t="shared" si="129"/>
        <v>446041.16411834705</v>
      </c>
      <c r="S287" s="80">
        <f t="shared" si="129"/>
        <v>33928.01283231462</v>
      </c>
    </row>
    <row r="288" spans="1:19" s="62" customFormat="1" outlineLevel="2" x14ac:dyDescent="0.25">
      <c r="A288" s="62" t="s">
        <v>161</v>
      </c>
      <c r="G288" s="80">
        <f>G182</f>
        <v>785.29180404558724</v>
      </c>
      <c r="H288" s="80">
        <f t="shared" ref="H288:S288" si="130">H182</f>
        <v>815.0194470476597</v>
      </c>
      <c r="I288" s="80">
        <f t="shared" si="130"/>
        <v>687.15201019518258</v>
      </c>
      <c r="J288" s="80">
        <f t="shared" si="130"/>
        <v>798.07082595308987</v>
      </c>
      <c r="K288" s="80">
        <f t="shared" si="130"/>
        <v>953.90413637143229</v>
      </c>
      <c r="L288" s="80">
        <f t="shared" si="130"/>
        <v>841.06042123989789</v>
      </c>
      <c r="M288" s="80">
        <f t="shared" si="130"/>
        <v>890.35665793754299</v>
      </c>
      <c r="N288" s="80">
        <f t="shared" si="130"/>
        <v>644.89255630768412</v>
      </c>
      <c r="O288" s="80">
        <f t="shared" si="130"/>
        <v>833.49850756636283</v>
      </c>
      <c r="P288" s="80">
        <f t="shared" si="130"/>
        <v>809.8301627109372</v>
      </c>
      <c r="Q288" s="80">
        <f t="shared" si="130"/>
        <v>777.1381032920126</v>
      </c>
      <c r="R288" s="80">
        <f t="shared" si="130"/>
        <v>1079.6611009576166</v>
      </c>
      <c r="S288" s="80">
        <f t="shared" si="130"/>
        <v>1079.6611009576166</v>
      </c>
    </row>
    <row r="289" spans="1:19" s="62" customFormat="1" outlineLevel="2" x14ac:dyDescent="0.25"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</row>
    <row r="290" spans="1:19" s="62" customFormat="1" outlineLevel="2" x14ac:dyDescent="0.25">
      <c r="A290" s="62" t="s">
        <v>175</v>
      </c>
      <c r="G290" s="82">
        <f>-G94</f>
        <v>20130000</v>
      </c>
      <c r="H290" s="82">
        <f t="shared" ref="H290:S290" si="131">-H94</f>
        <v>20075000</v>
      </c>
      <c r="I290" s="82">
        <f t="shared" si="131"/>
        <v>20075000</v>
      </c>
      <c r="J290" s="82">
        <f t="shared" si="131"/>
        <v>20075000</v>
      </c>
      <c r="K290" s="82">
        <f t="shared" si="131"/>
        <v>20130000</v>
      </c>
      <c r="L290" s="82">
        <f t="shared" si="131"/>
        <v>20075000</v>
      </c>
      <c r="M290" s="82">
        <f t="shared" si="131"/>
        <v>20075000</v>
      </c>
      <c r="N290" s="82">
        <f t="shared" si="131"/>
        <v>20075000</v>
      </c>
      <c r="O290" s="82">
        <f t="shared" si="131"/>
        <v>20130000</v>
      </c>
      <c r="P290" s="82">
        <f t="shared" si="131"/>
        <v>20075000</v>
      </c>
      <c r="Q290" s="82">
        <f t="shared" si="131"/>
        <v>20075000</v>
      </c>
      <c r="R290" s="82">
        <f t="shared" si="131"/>
        <v>20075000</v>
      </c>
      <c r="S290" s="82">
        <f t="shared" si="131"/>
        <v>1527000</v>
      </c>
    </row>
    <row r="291" spans="1:19" s="62" customFormat="1" outlineLevel="2" x14ac:dyDescent="0.25">
      <c r="A291" s="62" t="s">
        <v>106</v>
      </c>
      <c r="G291" s="82">
        <f>G98</f>
        <v>40260000</v>
      </c>
      <c r="H291" s="82">
        <f t="shared" ref="H291:S291" si="132">H98</f>
        <v>40150000</v>
      </c>
      <c r="I291" s="82">
        <f t="shared" si="132"/>
        <v>40150000</v>
      </c>
      <c r="J291" s="82">
        <f t="shared" si="132"/>
        <v>40150000</v>
      </c>
      <c r="K291" s="82">
        <f t="shared" si="132"/>
        <v>40260000</v>
      </c>
      <c r="L291" s="82">
        <f t="shared" si="132"/>
        <v>40150000</v>
      </c>
      <c r="M291" s="82">
        <f t="shared" si="132"/>
        <v>40150000</v>
      </c>
      <c r="N291" s="82">
        <f t="shared" si="132"/>
        <v>40150000</v>
      </c>
      <c r="O291" s="82">
        <f t="shared" si="132"/>
        <v>40260000</v>
      </c>
      <c r="P291" s="82">
        <f t="shared" si="132"/>
        <v>40150000</v>
      </c>
      <c r="Q291" s="82">
        <f t="shared" si="132"/>
        <v>40150000</v>
      </c>
      <c r="R291" s="82">
        <f t="shared" si="132"/>
        <v>40150000</v>
      </c>
      <c r="S291" s="82">
        <f t="shared" si="132"/>
        <v>3054000</v>
      </c>
    </row>
    <row r="292" spans="1:19" s="62" customFormat="1" outlineLevel="2" x14ac:dyDescent="0.25">
      <c r="A292" s="62" t="s">
        <v>107</v>
      </c>
      <c r="G292" s="82">
        <f>SUM(G290:G291)</f>
        <v>60390000</v>
      </c>
      <c r="H292" s="82">
        <f t="shared" ref="H292:S292" si="133">SUM(H290:H291)</f>
        <v>60225000</v>
      </c>
      <c r="I292" s="82">
        <f t="shared" si="133"/>
        <v>60225000</v>
      </c>
      <c r="J292" s="82">
        <f t="shared" si="133"/>
        <v>60225000</v>
      </c>
      <c r="K292" s="82">
        <f t="shared" si="133"/>
        <v>60390000</v>
      </c>
      <c r="L292" s="82">
        <f t="shared" si="133"/>
        <v>60225000</v>
      </c>
      <c r="M292" s="82">
        <f t="shared" si="133"/>
        <v>60225000</v>
      </c>
      <c r="N292" s="82">
        <f t="shared" si="133"/>
        <v>60225000</v>
      </c>
      <c r="O292" s="82">
        <f t="shared" si="133"/>
        <v>60390000</v>
      </c>
      <c r="P292" s="82">
        <f t="shared" si="133"/>
        <v>60225000</v>
      </c>
      <c r="Q292" s="82">
        <f t="shared" si="133"/>
        <v>60225000</v>
      </c>
      <c r="R292" s="82">
        <f t="shared" si="133"/>
        <v>60225000</v>
      </c>
      <c r="S292" s="82">
        <f t="shared" si="133"/>
        <v>4581000</v>
      </c>
    </row>
    <row r="293" spans="1:19" s="62" customFormat="1" outlineLevel="2" x14ac:dyDescent="0.25"/>
    <row r="294" spans="1:19" s="62" customFormat="1" outlineLevel="2" x14ac:dyDescent="0.25"/>
    <row r="295" spans="1:19" s="62" customFormat="1" outlineLevel="2" x14ac:dyDescent="0.25"/>
    <row r="296" spans="1:19" s="62" customFormat="1" outlineLevel="2" x14ac:dyDescent="0.25"/>
    <row r="297" spans="1:19" s="62" customFormat="1" outlineLevel="2" x14ac:dyDescent="0.25"/>
    <row r="298" spans="1:19" s="62" customFormat="1" outlineLevel="2" x14ac:dyDescent="0.25"/>
    <row r="299" spans="1:19" s="62" customFormat="1" outlineLevel="2" x14ac:dyDescent="0.25"/>
    <row r="300" spans="1:19" s="62" customFormat="1" outlineLevel="2" x14ac:dyDescent="0.25"/>
    <row r="301" spans="1:19" s="62" customFormat="1" outlineLevel="2" x14ac:dyDescent="0.25"/>
    <row r="302" spans="1:19" s="62" customFormat="1" outlineLevel="2" x14ac:dyDescent="0.25"/>
    <row r="303" spans="1:19" s="62" customFormat="1" outlineLevel="2" x14ac:dyDescent="0.25"/>
    <row r="304" spans="1:19" s="62" customFormat="1" outlineLevel="2" x14ac:dyDescent="0.25"/>
    <row r="305" s="62" customFormat="1" outlineLevel="2" x14ac:dyDescent="0.25"/>
    <row r="306" s="62" customFormat="1" outlineLevel="2" x14ac:dyDescent="0.25"/>
    <row r="307" s="62" customFormat="1" outlineLevel="2" x14ac:dyDescent="0.25"/>
    <row r="308" s="62" customFormat="1" outlineLevel="2" x14ac:dyDescent="0.25"/>
    <row r="309" s="62" customFormat="1" outlineLevel="2" x14ac:dyDescent="0.25"/>
    <row r="310" s="62" customFormat="1" outlineLevel="2" x14ac:dyDescent="0.25"/>
    <row r="311" s="62" customFormat="1" outlineLevel="2" x14ac:dyDescent="0.25"/>
    <row r="312" s="62" customFormat="1" outlineLevel="2" x14ac:dyDescent="0.25"/>
    <row r="313" outlineLevel="2" x14ac:dyDescent="0.25"/>
  </sheetData>
  <conditionalFormatting sqref="A2 C2">
    <cfRule type="containsText" dxfId="3" priority="3" operator="containsText" text="OK">
      <formula>NOT(ISERROR(SEARCH("OK",A2)))</formula>
    </cfRule>
    <cfRule type="containsText" dxfId="2" priority="4" operator="containsText" text="ERROR">
      <formula>NOT(ISERROR(SEARCH("ERROR",A2)))</formula>
    </cfRule>
  </conditionalFormatting>
  <conditionalFormatting sqref="E3:S3">
    <cfRule type="containsText" dxfId="1" priority="1" operator="containsText" text="OK">
      <formula>NOT(ISERROR(SEARCH("OK",#REF!)))</formula>
    </cfRule>
    <cfRule type="containsText" dxfId="0" priority="2" operator="containsText" text="ERROR">
      <formula>NOT(ISERROR(SEARCH("ERROR",#REF!)))</formula>
    </cfRule>
  </conditionalFormatting>
  <dataValidations count="1">
    <dataValidation type="list" allowBlank="1" showInputMessage="1" showErrorMessage="1" sqref="F24" xr:uid="{00000000-0002-0000-0000-000000000000}">
      <formula1>$A$15:$A$17</formula1>
    </dataValidation>
  </dataValidations>
  <pageMargins left="0.7" right="0.7" top="0.75" bottom="0.75" header="0.3" footer="0.3"/>
  <pageSetup paperSize="17" scale="75" orientation="landscape" r:id="rId1"/>
  <rowBreaks count="1" manualBreakCount="1">
    <brk id="67" max="16383" man="1"/>
  </rowBreaks>
  <ignoredErrors>
    <ignoredError sqref="E96 E113:E114 E100 E102 E105 E117:E118 E121:E122 E125:E126" evalError="1"/>
    <ignoredError sqref="H32:S32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9FF8-2F6D-483F-A30F-68B15DA02E90}">
  <dimension ref="B1:AA51"/>
  <sheetViews>
    <sheetView showGridLines="0" showRowColHeaders="0" topLeftCell="I10" workbookViewId="0">
      <selection activeCell="AE46" sqref="AE46"/>
    </sheetView>
  </sheetViews>
  <sheetFormatPr defaultRowHeight="16.5" x14ac:dyDescent="0.3"/>
  <sheetData>
    <row r="1" spans="2:27" ht="17.25" thickBot="1" x14ac:dyDescent="0.35"/>
    <row r="2" spans="2:27" x14ac:dyDescent="0.3"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1"/>
      <c r="O2" s="169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1"/>
    </row>
    <row r="3" spans="2:27" x14ac:dyDescent="0.3">
      <c r="B3" s="172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4"/>
      <c r="O3" s="172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4"/>
    </row>
    <row r="4" spans="2:27" x14ac:dyDescent="0.3">
      <c r="B4" s="172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4"/>
      <c r="O4" s="172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4"/>
    </row>
    <row r="5" spans="2:27" x14ac:dyDescent="0.3">
      <c r="B5" s="172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4"/>
      <c r="O5" s="172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4"/>
    </row>
    <row r="6" spans="2:27" x14ac:dyDescent="0.3"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O6" s="172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4"/>
    </row>
    <row r="7" spans="2:27" x14ac:dyDescent="0.3">
      <c r="B7" s="172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O7" s="172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4"/>
    </row>
    <row r="8" spans="2:27" x14ac:dyDescent="0.3">
      <c r="B8" s="172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4"/>
      <c r="O8" s="172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4"/>
    </row>
    <row r="9" spans="2:27" x14ac:dyDescent="0.3">
      <c r="B9" s="172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4"/>
      <c r="O9" s="172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4"/>
    </row>
    <row r="10" spans="2:27" x14ac:dyDescent="0.3">
      <c r="B10" s="172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4"/>
      <c r="O10" s="172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4"/>
    </row>
    <row r="11" spans="2:27" x14ac:dyDescent="0.3">
      <c r="B11" s="172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4"/>
      <c r="O11" s="172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4"/>
    </row>
    <row r="12" spans="2:27" x14ac:dyDescent="0.3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4"/>
      <c r="O12" s="172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4"/>
    </row>
    <row r="13" spans="2:27" x14ac:dyDescent="0.3">
      <c r="B13" s="172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4"/>
      <c r="O13" s="172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4"/>
    </row>
    <row r="14" spans="2:27" x14ac:dyDescent="0.3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4"/>
      <c r="O14" s="172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4"/>
    </row>
    <row r="15" spans="2:27" x14ac:dyDescent="0.3">
      <c r="B15" s="172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4"/>
      <c r="O15" s="172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4"/>
    </row>
    <row r="16" spans="2:27" x14ac:dyDescent="0.3">
      <c r="B16" s="172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4"/>
      <c r="O16" s="172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4"/>
    </row>
    <row r="17" spans="2:27" x14ac:dyDescent="0.3">
      <c r="B17" s="172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4"/>
      <c r="O17" s="172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4"/>
    </row>
    <row r="18" spans="2:27" x14ac:dyDescent="0.3">
      <c r="B18" s="172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4"/>
      <c r="O18" s="172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4"/>
    </row>
    <row r="19" spans="2:27" x14ac:dyDescent="0.3">
      <c r="B19" s="172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4"/>
      <c r="O19" s="172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4"/>
    </row>
    <row r="20" spans="2:27" x14ac:dyDescent="0.3">
      <c r="B20" s="172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4"/>
      <c r="O20" s="172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4"/>
    </row>
    <row r="21" spans="2:27" x14ac:dyDescent="0.3">
      <c r="B21" s="172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4"/>
      <c r="O21" s="172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4"/>
    </row>
    <row r="22" spans="2:27" x14ac:dyDescent="0.3">
      <c r="B22" s="172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4"/>
      <c r="O22" s="172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4"/>
    </row>
    <row r="23" spans="2:27" x14ac:dyDescent="0.3"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4"/>
      <c r="O23" s="172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4"/>
    </row>
    <row r="24" spans="2:27" x14ac:dyDescent="0.3">
      <c r="B24" s="172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4"/>
      <c r="O24" s="172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4"/>
    </row>
    <row r="25" spans="2:27" x14ac:dyDescent="0.3">
      <c r="B25" s="172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4"/>
      <c r="O25" s="172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4"/>
    </row>
    <row r="26" spans="2:27" ht="17.25" thickBot="1" x14ac:dyDescent="0.35">
      <c r="B26" s="175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7"/>
      <c r="O26" s="175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7"/>
    </row>
    <row r="27" spans="2:27" x14ac:dyDescent="0.3">
      <c r="B27" s="169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1"/>
      <c r="O27" s="169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1"/>
    </row>
    <row r="28" spans="2:27" x14ac:dyDescent="0.3">
      <c r="B28" s="172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4"/>
      <c r="O28" s="172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4"/>
    </row>
    <row r="29" spans="2:27" x14ac:dyDescent="0.3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4"/>
      <c r="O29" s="172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4"/>
    </row>
    <row r="30" spans="2:27" x14ac:dyDescent="0.3">
      <c r="B30" s="172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4"/>
      <c r="O30" s="172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4"/>
    </row>
    <row r="31" spans="2:27" x14ac:dyDescent="0.3">
      <c r="B31" s="172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4"/>
      <c r="O31" s="172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4"/>
    </row>
    <row r="32" spans="2:27" x14ac:dyDescent="0.3">
      <c r="B32" s="172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4"/>
      <c r="O32" s="172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4"/>
    </row>
    <row r="33" spans="2:27" x14ac:dyDescent="0.3">
      <c r="B33" s="172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4"/>
      <c r="O33" s="172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4"/>
    </row>
    <row r="34" spans="2:27" x14ac:dyDescent="0.3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4"/>
      <c r="O34" s="172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4"/>
    </row>
    <row r="35" spans="2:27" x14ac:dyDescent="0.3">
      <c r="B35" s="172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4"/>
      <c r="O35" s="172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4"/>
    </row>
    <row r="36" spans="2:27" x14ac:dyDescent="0.3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4"/>
      <c r="O36" s="172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4"/>
    </row>
    <row r="37" spans="2:27" x14ac:dyDescent="0.3">
      <c r="B37" s="172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4"/>
      <c r="O37" s="172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4"/>
    </row>
    <row r="38" spans="2:27" x14ac:dyDescent="0.3">
      <c r="B38" s="172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4"/>
      <c r="O38" s="172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4"/>
    </row>
    <row r="39" spans="2:27" x14ac:dyDescent="0.3">
      <c r="B39" s="172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4"/>
      <c r="O39" s="172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4"/>
    </row>
    <row r="40" spans="2:27" x14ac:dyDescent="0.3">
      <c r="B40" s="172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4"/>
      <c r="O40" s="172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4"/>
    </row>
    <row r="41" spans="2:27" x14ac:dyDescent="0.3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4"/>
      <c r="O41" s="172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4"/>
    </row>
    <row r="42" spans="2:27" x14ac:dyDescent="0.3">
      <c r="B42" s="172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4"/>
      <c r="O42" s="172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4"/>
    </row>
    <row r="43" spans="2:27" x14ac:dyDescent="0.3"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4"/>
      <c r="O43" s="172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4"/>
    </row>
    <row r="44" spans="2:27" x14ac:dyDescent="0.3"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4"/>
      <c r="O44" s="172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4"/>
    </row>
    <row r="45" spans="2:27" x14ac:dyDescent="0.3">
      <c r="B45" s="172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4"/>
      <c r="O45" s="172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4"/>
    </row>
    <row r="46" spans="2:27" x14ac:dyDescent="0.3">
      <c r="B46" s="172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4"/>
      <c r="O46" s="172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4"/>
    </row>
    <row r="47" spans="2:27" x14ac:dyDescent="0.3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4"/>
      <c r="O47" s="172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4"/>
    </row>
    <row r="48" spans="2:27" x14ac:dyDescent="0.3">
      <c r="B48" s="172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4"/>
      <c r="O48" s="172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4"/>
    </row>
    <row r="49" spans="2:27" x14ac:dyDescent="0.3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4"/>
      <c r="O49" s="172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4"/>
    </row>
    <row r="50" spans="2:27" x14ac:dyDescent="0.3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4"/>
      <c r="O50" s="172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4"/>
    </row>
    <row r="51" spans="2:27" ht="17.25" thickBot="1" x14ac:dyDescent="0.3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7"/>
      <c r="O51" s="175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C106-3F00-4067-A58B-743224875AAF}">
  <dimension ref="A1"/>
  <sheetViews>
    <sheetView showGridLines="0" tabSelected="1" topLeftCell="A16" workbookViewId="0">
      <selection activeCell="Q16" sqref="Q16"/>
    </sheetView>
  </sheetViews>
  <sheetFormatPr defaultRowHeight="16.5" x14ac:dyDescent="0.3"/>
  <cols>
    <col min="1" max="16384" width="9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Ewueibi Asset</vt:lpstr>
      <vt:lpstr>Charts</vt:lpstr>
      <vt:lpstr>Key Terms &amp; Infor</vt:lpstr>
      <vt:lpstr>'Ewueibi Asset'!Print_Titles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Institute® (CFI)</dc:creator>
  <cp:lastModifiedBy>Eric Asiedu-Akrofi</cp:lastModifiedBy>
  <cp:lastPrinted>2016-06-09T21:00:03Z</cp:lastPrinted>
  <dcterms:created xsi:type="dcterms:W3CDTF">2016-03-28T18:22:40Z</dcterms:created>
  <dcterms:modified xsi:type="dcterms:W3CDTF">2024-07-14T17:48:59Z</dcterms:modified>
</cp:coreProperties>
</file>