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me Klaus\Desktop\Extra\Projects\Excel\"/>
    </mc:Choice>
  </mc:AlternateContent>
  <xr:revisionPtr revIDLastSave="0" documentId="13_ncr:1_{7744E1F9-61A2-4C52-B12D-BA76E18E059F}" xr6:coauthVersionLast="47" xr6:coauthVersionMax="47" xr10:uidLastSave="{00000000-0000-0000-0000-000000000000}"/>
  <bookViews>
    <workbookView xWindow="-120" yWindow="-120" windowWidth="20730" windowHeight="11760" firstSheet="1" activeTab="1" xr2:uid="{971959D3-0F0E-4313-B991-611F7A0CF2FD}"/>
  </bookViews>
  <sheets>
    <sheet name="Assumption" sheetId="1" state="hidden" r:id="rId1"/>
    <sheet name="Forecast model" sheetId="2" r:id="rId2"/>
    <sheet name="forecast" sheetId="16" state="hidden" r:id="rId3"/>
    <sheet name="ROIC" sheetId="6" r:id="rId4"/>
    <sheet name="Decomposing ROIC" sheetId="7" r:id="rId5"/>
    <sheet name="Leverage &amp; Liquidity " sheetId="8" r:id="rId6"/>
    <sheet name="WACC" sheetId="9" r:id="rId7"/>
    <sheet name="Forecasting Taxation" sheetId="11" r:id="rId8"/>
    <sheet name="Noplat &amp; Retained Earning" sheetId="12" r:id="rId9"/>
    <sheet name="Invested Capital &amp; Total Funds" sheetId="13" r:id="rId10"/>
    <sheet name="Valuation" sheetId="14" r:id="rId11"/>
    <sheet name="Robust" sheetId="18" state="hidden" r:id="rId12"/>
    <sheet name="Reorganizng of Income Statement" sheetId="3" r:id="rId13"/>
    <sheet name="Reorganizing Balance Sheet" sheetId="4" r:id="rId14"/>
    <sheet name="Reorganizing CFS" sheetId="5" r:id="rId15"/>
    <sheet name="beta data" sheetId="19" r:id="rId16"/>
    <sheet name="beta regression" sheetId="20" r:id="rId17"/>
    <sheet name="Forecast (PL,BL,CFS)" sheetId="10" state="hidden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9" l="1"/>
  <c r="B36" i="9"/>
  <c r="C174" i="2"/>
  <c r="B174" i="2" l="1"/>
  <c r="B77" i="14"/>
  <c r="B11" i="14"/>
  <c r="B27" i="14" s="1"/>
  <c r="C27" i="14"/>
  <c r="D64" i="14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B38" i="14"/>
  <c r="B43" i="14" s="1"/>
  <c r="B48" i="14"/>
  <c r="B49" i="14"/>
  <c r="B47" i="14"/>
  <c r="F29" i="14" l="1"/>
  <c r="C15" i="14"/>
  <c r="B12" i="8"/>
  <c r="D9" i="9"/>
  <c r="B7" i="14"/>
  <c r="C20" i="12"/>
  <c r="B6" i="7"/>
  <c r="B5" i="1" l="1"/>
  <c r="B6" i="1"/>
  <c r="B7" i="1"/>
  <c r="B8" i="1"/>
  <c r="B9" i="1"/>
  <c r="B10" i="1"/>
  <c r="B11" i="1"/>
  <c r="B12" i="1"/>
  <c r="B13" i="1"/>
  <c r="B14" i="1"/>
  <c r="B15" i="1"/>
  <c r="B16" i="1"/>
  <c r="D27" i="14" l="1"/>
  <c r="B32" i="14" s="1"/>
  <c r="B39" i="5"/>
  <c r="C39" i="5"/>
  <c r="B35" i="5"/>
  <c r="C35" i="5"/>
  <c r="B26" i="5"/>
  <c r="C26" i="5"/>
  <c r="C7" i="5"/>
  <c r="C17" i="5" s="1"/>
  <c r="B7" i="5"/>
  <c r="B17" i="5" s="1"/>
  <c r="B37" i="5" s="1"/>
  <c r="B39" i="4"/>
  <c r="B40" i="4" s="1"/>
  <c r="C39" i="4"/>
  <c r="B32" i="4"/>
  <c r="C32" i="4"/>
  <c r="C40" i="4" s="1"/>
  <c r="C8" i="4"/>
  <c r="C10" i="4" s="1"/>
  <c r="C11" i="4" s="1"/>
  <c r="C15" i="4" s="1"/>
  <c r="C18" i="4" s="1"/>
  <c r="C23" i="4" s="1"/>
  <c r="B8" i="4"/>
  <c r="B10" i="4" s="1"/>
  <c r="B11" i="4" s="1"/>
  <c r="B15" i="4" s="1"/>
  <c r="B18" i="4" s="1"/>
  <c r="B23" i="4" s="1"/>
  <c r="B22" i="3"/>
  <c r="C22" i="3"/>
  <c r="C10" i="3"/>
  <c r="C12" i="3" s="1"/>
  <c r="C18" i="3" s="1"/>
  <c r="B10" i="3"/>
  <c r="B12" i="3" s="1"/>
  <c r="B18" i="3" s="1"/>
  <c r="C6" i="3"/>
  <c r="B6" i="3"/>
  <c r="D3" i="19"/>
  <c r="E3" i="19"/>
  <c r="D4" i="19"/>
  <c r="E4" i="19"/>
  <c r="D5" i="19"/>
  <c r="E5" i="19"/>
  <c r="D6" i="19"/>
  <c r="E6" i="19"/>
  <c r="D7" i="19"/>
  <c r="E7" i="19"/>
  <c r="D8" i="19"/>
  <c r="E8" i="19"/>
  <c r="D9" i="19"/>
  <c r="E9" i="19"/>
  <c r="D10" i="19"/>
  <c r="E10" i="19"/>
  <c r="D11" i="19"/>
  <c r="E11" i="19"/>
  <c r="D12" i="19"/>
  <c r="E12" i="19"/>
  <c r="D13" i="19"/>
  <c r="E13" i="19"/>
  <c r="D14" i="19"/>
  <c r="E14" i="19"/>
  <c r="D15" i="19"/>
  <c r="E15" i="19"/>
  <c r="D16" i="19"/>
  <c r="E16" i="19"/>
  <c r="D17" i="19"/>
  <c r="E17" i="19"/>
  <c r="D18" i="19"/>
  <c r="E18" i="19"/>
  <c r="D19" i="19"/>
  <c r="E19" i="19"/>
  <c r="D20" i="19"/>
  <c r="E20" i="19"/>
  <c r="D21" i="19"/>
  <c r="E21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28" i="19"/>
  <c r="E28" i="19"/>
  <c r="D29" i="19"/>
  <c r="E29" i="19"/>
  <c r="D30" i="19"/>
  <c r="E30" i="19"/>
  <c r="D31" i="19"/>
  <c r="E31" i="19"/>
  <c r="D32" i="19"/>
  <c r="E32" i="19"/>
  <c r="D33" i="19"/>
  <c r="E33" i="19"/>
  <c r="D34" i="19"/>
  <c r="E34" i="19"/>
  <c r="D35" i="19"/>
  <c r="E35" i="19"/>
  <c r="D36" i="19"/>
  <c r="E36" i="19"/>
  <c r="D37" i="19"/>
  <c r="E37" i="19"/>
  <c r="D38" i="19"/>
  <c r="E38" i="19"/>
  <c r="D39" i="19"/>
  <c r="E39" i="19"/>
  <c r="D40" i="19"/>
  <c r="E40" i="19"/>
  <c r="D41" i="19"/>
  <c r="E41" i="19"/>
  <c r="D42" i="19"/>
  <c r="E42" i="19"/>
  <c r="D43" i="19"/>
  <c r="E43" i="19"/>
  <c r="D44" i="19"/>
  <c r="E44" i="19"/>
  <c r="D45" i="19"/>
  <c r="E45" i="19"/>
  <c r="D46" i="19"/>
  <c r="E46" i="19"/>
  <c r="D47" i="19"/>
  <c r="E47" i="19"/>
  <c r="D48" i="19"/>
  <c r="E48" i="19"/>
  <c r="D49" i="19"/>
  <c r="E49" i="19"/>
  <c r="D50" i="19"/>
  <c r="E50" i="19"/>
  <c r="D51" i="19"/>
  <c r="E51" i="19"/>
  <c r="D52" i="19"/>
  <c r="E52" i="19"/>
  <c r="D53" i="19"/>
  <c r="E53" i="19"/>
  <c r="D54" i="19"/>
  <c r="E54" i="19"/>
  <c r="D55" i="19"/>
  <c r="E55" i="19"/>
  <c r="D56" i="19"/>
  <c r="E56" i="19"/>
  <c r="D57" i="19"/>
  <c r="E57" i="19"/>
  <c r="D58" i="19"/>
  <c r="E58" i="19"/>
  <c r="D59" i="19"/>
  <c r="E59" i="19"/>
  <c r="D60" i="19"/>
  <c r="E60" i="19"/>
  <c r="D61" i="19"/>
  <c r="E61" i="19"/>
  <c r="D62" i="19"/>
  <c r="E62" i="19"/>
  <c r="N160" i="16"/>
  <c r="M160" i="16"/>
  <c r="N157" i="16" s="1"/>
  <c r="N158" i="16" s="1"/>
  <c r="L160" i="16"/>
  <c r="M157" i="16" s="1"/>
  <c r="M158" i="16" s="1"/>
  <c r="K160" i="16"/>
  <c r="L157" i="16" s="1"/>
  <c r="L158" i="16" s="1"/>
  <c r="J160" i="16"/>
  <c r="K157" i="16" s="1"/>
  <c r="I160" i="16"/>
  <c r="J157" i="16" s="1"/>
  <c r="J158" i="16" s="1"/>
  <c r="H160" i="16"/>
  <c r="I157" i="16" s="1"/>
  <c r="I158" i="16" s="1"/>
  <c r="G160" i="16"/>
  <c r="H157" i="16" s="1"/>
  <c r="H158" i="16" s="1"/>
  <c r="F160" i="16"/>
  <c r="G157" i="16" s="1"/>
  <c r="E160" i="16"/>
  <c r="F157" i="16" s="1"/>
  <c r="F158" i="16" s="1"/>
  <c r="D160" i="16"/>
  <c r="E157" i="16" s="1"/>
  <c r="E158" i="16" s="1"/>
  <c r="N154" i="16"/>
  <c r="M154" i="16"/>
  <c r="N151" i="16" s="1"/>
  <c r="N152" i="16" s="1"/>
  <c r="L154" i="16"/>
  <c r="M151" i="16" s="1"/>
  <c r="K154" i="16"/>
  <c r="K76" i="16" s="1"/>
  <c r="J154" i="16"/>
  <c r="K151" i="16" s="1"/>
  <c r="K152" i="16" s="1"/>
  <c r="I154" i="16"/>
  <c r="J151" i="16" s="1"/>
  <c r="J152" i="16" s="1"/>
  <c r="H154" i="16"/>
  <c r="I151" i="16" s="1"/>
  <c r="G154" i="16"/>
  <c r="G76" i="16" s="1"/>
  <c r="F154" i="16"/>
  <c r="F76" i="16" s="1"/>
  <c r="E154" i="16"/>
  <c r="E76" i="16" s="1"/>
  <c r="D154" i="16"/>
  <c r="E151" i="16" s="1"/>
  <c r="C135" i="16"/>
  <c r="C126" i="16"/>
  <c r="B126" i="16"/>
  <c r="B117" i="16"/>
  <c r="N115" i="16"/>
  <c r="N117" i="16" s="1"/>
  <c r="M115" i="16"/>
  <c r="M117" i="16" s="1"/>
  <c r="L115" i="16"/>
  <c r="L117" i="16" s="1"/>
  <c r="K115" i="16"/>
  <c r="K117" i="16" s="1"/>
  <c r="J115" i="16"/>
  <c r="J117" i="16" s="1"/>
  <c r="I115" i="16"/>
  <c r="I117" i="16" s="1"/>
  <c r="H115" i="16"/>
  <c r="H117" i="16" s="1"/>
  <c r="G115" i="16"/>
  <c r="G117" i="16" s="1"/>
  <c r="F115" i="16"/>
  <c r="F117" i="16" s="1"/>
  <c r="E115" i="16"/>
  <c r="E117" i="16" s="1"/>
  <c r="C112" i="16"/>
  <c r="C117" i="16" s="1"/>
  <c r="C107" i="16"/>
  <c r="C106" i="16"/>
  <c r="C105" i="16"/>
  <c r="C104" i="16"/>
  <c r="C103" i="16"/>
  <c r="N102" i="16"/>
  <c r="M102" i="16"/>
  <c r="L102" i="16"/>
  <c r="K102" i="16"/>
  <c r="J102" i="16"/>
  <c r="I102" i="16"/>
  <c r="H102" i="16"/>
  <c r="G102" i="16"/>
  <c r="F102" i="16"/>
  <c r="E102" i="16"/>
  <c r="C102" i="16"/>
  <c r="C101" i="16"/>
  <c r="C100" i="16"/>
  <c r="C99" i="16"/>
  <c r="C98" i="16"/>
  <c r="B98" i="16"/>
  <c r="B108" i="16" s="1"/>
  <c r="C86" i="16"/>
  <c r="C169" i="16" s="1"/>
  <c r="D166" i="16" s="1"/>
  <c r="B86" i="16"/>
  <c r="C166" i="16" s="1"/>
  <c r="N85" i="16"/>
  <c r="M85" i="16"/>
  <c r="L85" i="16"/>
  <c r="K85" i="16"/>
  <c r="J85" i="16"/>
  <c r="I85" i="16"/>
  <c r="H85" i="16"/>
  <c r="G85" i="16"/>
  <c r="F85" i="16"/>
  <c r="E85" i="16"/>
  <c r="D85" i="16"/>
  <c r="B85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C81" i="16"/>
  <c r="B81" i="16"/>
  <c r="C79" i="16"/>
  <c r="B79" i="16"/>
  <c r="B78" i="16"/>
  <c r="N77" i="16"/>
  <c r="D77" i="16"/>
  <c r="C77" i="16"/>
  <c r="B77" i="16"/>
  <c r="N76" i="16"/>
  <c r="C76" i="16"/>
  <c r="C154" i="16" s="1"/>
  <c r="B76" i="16"/>
  <c r="B154" i="16" s="1"/>
  <c r="C151" i="16" s="1"/>
  <c r="N75" i="16"/>
  <c r="M75" i="16"/>
  <c r="L75" i="16"/>
  <c r="K75" i="16"/>
  <c r="J75" i="16"/>
  <c r="I75" i="16"/>
  <c r="H75" i="16"/>
  <c r="G75" i="16"/>
  <c r="F75" i="16"/>
  <c r="E75" i="16"/>
  <c r="D75" i="16"/>
  <c r="C75" i="16"/>
  <c r="B75" i="16"/>
  <c r="B74" i="16"/>
  <c r="C70" i="16"/>
  <c r="B70" i="16"/>
  <c r="C69" i="16"/>
  <c r="D115" i="16" s="1"/>
  <c r="D117" i="16" s="1"/>
  <c r="N68" i="16"/>
  <c r="M68" i="16"/>
  <c r="L68" i="16"/>
  <c r="K68" i="16"/>
  <c r="J68" i="16"/>
  <c r="I68" i="16"/>
  <c r="H68" i="16"/>
  <c r="G68" i="16"/>
  <c r="F68" i="16"/>
  <c r="E68" i="16"/>
  <c r="D68" i="16"/>
  <c r="C68" i="16"/>
  <c r="C65" i="16"/>
  <c r="B65" i="16"/>
  <c r="B142" i="16" s="1"/>
  <c r="C140" i="16" s="1"/>
  <c r="C141" i="16" s="1"/>
  <c r="C64" i="16"/>
  <c r="B64" i="16"/>
  <c r="B147" i="16" s="1"/>
  <c r="C145" i="16" s="1"/>
  <c r="B62" i="16"/>
  <c r="C61" i="16"/>
  <c r="D102" i="16" s="1"/>
  <c r="B61" i="16"/>
  <c r="C60" i="16"/>
  <c r="C137" i="16" s="1"/>
  <c r="B60" i="16"/>
  <c r="B137" i="16" s="1"/>
  <c r="C134" i="16" s="1"/>
  <c r="C57" i="16"/>
  <c r="C58" i="16" s="1"/>
  <c r="B57" i="16"/>
  <c r="B58" i="16" s="1"/>
  <c r="C55" i="16"/>
  <c r="B55" i="16"/>
  <c r="B130" i="16" s="1"/>
  <c r="C54" i="16"/>
  <c r="B54" i="16"/>
  <c r="C53" i="16"/>
  <c r="B53" i="16"/>
  <c r="C48" i="16"/>
  <c r="B48" i="16"/>
  <c r="C31" i="16"/>
  <c r="C35" i="16" s="1"/>
  <c r="C37" i="16" s="1"/>
  <c r="C43" i="16" s="1"/>
  <c r="B31" i="16"/>
  <c r="B35" i="16" s="1"/>
  <c r="B37" i="16" s="1"/>
  <c r="B43" i="16" s="1"/>
  <c r="B47" i="16" s="1"/>
  <c r="D29" i="16"/>
  <c r="D32" i="16" s="1"/>
  <c r="C21" i="16"/>
  <c r="C160" i="16" s="1"/>
  <c r="D157" i="16" s="1"/>
  <c r="D18" i="16"/>
  <c r="D81" i="16" s="1"/>
  <c r="B88" i="14"/>
  <c r="B6" i="18"/>
  <c r="B19" i="18"/>
  <c r="B13" i="18"/>
  <c r="A91" i="14"/>
  <c r="B115" i="2"/>
  <c r="B182" i="2" s="1"/>
  <c r="B124" i="2"/>
  <c r="C105" i="2"/>
  <c r="B96" i="2"/>
  <c r="B106" i="2" s="1"/>
  <c r="B181" i="2" s="1"/>
  <c r="B28" i="9"/>
  <c r="B34" i="9"/>
  <c r="B4" i="8"/>
  <c r="C4" i="8"/>
  <c r="B67" i="14"/>
  <c r="C61" i="14"/>
  <c r="C60" i="14"/>
  <c r="C59" i="14"/>
  <c r="C58" i="14"/>
  <c r="C57" i="14"/>
  <c r="C56" i="14"/>
  <c r="C55" i="14"/>
  <c r="C54" i="14"/>
  <c r="C53" i="14"/>
  <c r="C52" i="14"/>
  <c r="B46" i="14"/>
  <c r="C39" i="14"/>
  <c r="B53" i="14" s="1"/>
  <c r="D39" i="14"/>
  <c r="B54" i="14" s="1"/>
  <c r="E39" i="14"/>
  <c r="B55" i="14" s="1"/>
  <c r="F39" i="14"/>
  <c r="B56" i="14" s="1"/>
  <c r="G39" i="14"/>
  <c r="B57" i="14" s="1"/>
  <c r="H39" i="14"/>
  <c r="B58" i="14" s="1"/>
  <c r="I39" i="14"/>
  <c r="B59" i="14" s="1"/>
  <c r="J39" i="14"/>
  <c r="B60" i="14" s="1"/>
  <c r="K39" i="14"/>
  <c r="B61" i="14" s="1"/>
  <c r="C35" i="14"/>
  <c r="D35" i="14" s="1"/>
  <c r="E35" i="14" s="1"/>
  <c r="F35" i="14" s="1"/>
  <c r="G35" i="14" s="1"/>
  <c r="H35" i="14" s="1"/>
  <c r="I35" i="14" s="1"/>
  <c r="J35" i="14" s="1"/>
  <c r="K35" i="14" s="1"/>
  <c r="D7" i="6"/>
  <c r="E7" i="6"/>
  <c r="F7" i="6"/>
  <c r="G7" i="6"/>
  <c r="H7" i="6"/>
  <c r="I7" i="6"/>
  <c r="J7" i="6"/>
  <c r="K7" i="6"/>
  <c r="L7" i="6"/>
  <c r="M7" i="6"/>
  <c r="N7" i="6"/>
  <c r="D8" i="6"/>
  <c r="B37" i="14" s="1"/>
  <c r="B39" i="14" s="1"/>
  <c r="E8" i="6"/>
  <c r="F8" i="6"/>
  <c r="G8" i="6"/>
  <c r="H8" i="6"/>
  <c r="I8" i="6"/>
  <c r="J8" i="6"/>
  <c r="K8" i="6"/>
  <c r="L8" i="6"/>
  <c r="M8" i="6"/>
  <c r="N8" i="6"/>
  <c r="L37" i="14" s="1"/>
  <c r="L39" i="14" s="1"/>
  <c r="B42" i="14" s="1"/>
  <c r="C16" i="14"/>
  <c r="C17" i="14"/>
  <c r="C18" i="14"/>
  <c r="C19" i="14"/>
  <c r="C20" i="14"/>
  <c r="C21" i="14"/>
  <c r="C22" i="14"/>
  <c r="C23" i="14"/>
  <c r="C24" i="14"/>
  <c r="B126" i="2" l="1"/>
  <c r="B184" i="2" s="1"/>
  <c r="B183" i="2"/>
  <c r="D59" i="14"/>
  <c r="D55" i="14"/>
  <c r="D61" i="14"/>
  <c r="D57" i="14"/>
  <c r="D53" i="14"/>
  <c r="B44" i="14"/>
  <c r="D58" i="14"/>
  <c r="D54" i="14"/>
  <c r="C37" i="5"/>
  <c r="D76" i="16"/>
  <c r="F77" i="16"/>
  <c r="F80" i="16" s="1"/>
  <c r="G151" i="16"/>
  <c r="G152" i="16" s="1"/>
  <c r="H76" i="16"/>
  <c r="M77" i="16"/>
  <c r="L76" i="16"/>
  <c r="E77" i="16"/>
  <c r="E80" i="16" s="1"/>
  <c r="J159" i="16"/>
  <c r="J123" i="16" s="1"/>
  <c r="I77" i="16"/>
  <c r="M76" i="16"/>
  <c r="M80" i="16" s="1"/>
  <c r="J77" i="16"/>
  <c r="B49" i="16"/>
  <c r="B52" i="14"/>
  <c r="D52" i="14" s="1"/>
  <c r="D60" i="14"/>
  <c r="D56" i="14"/>
  <c r="F151" i="16"/>
  <c r="F152" i="16" s="1"/>
  <c r="F162" i="16" s="1"/>
  <c r="F39" i="16" s="1"/>
  <c r="I76" i="16"/>
  <c r="I80" i="16" s="1"/>
  <c r="J76" i="16"/>
  <c r="L77" i="16"/>
  <c r="L80" i="16" s="1"/>
  <c r="H77" i="16"/>
  <c r="C56" i="16"/>
  <c r="C59" i="16" s="1"/>
  <c r="C63" i="16" s="1"/>
  <c r="C66" i="16" s="1"/>
  <c r="C71" i="16" s="1"/>
  <c r="D80" i="16"/>
  <c r="C108" i="16"/>
  <c r="C128" i="16" s="1"/>
  <c r="B80" i="16"/>
  <c r="N80" i="16"/>
  <c r="G77" i="16"/>
  <c r="G80" i="16" s="1"/>
  <c r="K77" i="16"/>
  <c r="K80" i="16" s="1"/>
  <c r="B56" i="16"/>
  <c r="B59" i="16" s="1"/>
  <c r="B63" i="16" s="1"/>
  <c r="B66" i="16" s="1"/>
  <c r="B71" i="16" s="1"/>
  <c r="B87" i="16"/>
  <c r="N162" i="16"/>
  <c r="N39" i="16" s="1"/>
  <c r="N120" i="16" s="1"/>
  <c r="I159" i="16"/>
  <c r="I124" i="16" s="1"/>
  <c r="F159" i="16"/>
  <c r="F123" i="16" s="1"/>
  <c r="N159" i="16"/>
  <c r="N124" i="16" s="1"/>
  <c r="D135" i="16"/>
  <c r="D96" i="16"/>
  <c r="C23" i="16"/>
  <c r="C47" i="16"/>
  <c r="C49" i="16" s="1"/>
  <c r="C167" i="16" s="1"/>
  <c r="C168" i="16" s="1"/>
  <c r="D158" i="16"/>
  <c r="E29" i="16"/>
  <c r="D151" i="16"/>
  <c r="C153" i="16"/>
  <c r="D34" i="16"/>
  <c r="D122" i="16"/>
  <c r="C22" i="16"/>
  <c r="D137" i="16"/>
  <c r="D54" i="16"/>
  <c r="D99" i="16" s="1"/>
  <c r="E18" i="16"/>
  <c r="D30" i="16"/>
  <c r="C80" i="16"/>
  <c r="C87" i="16"/>
  <c r="C130" i="16"/>
  <c r="D129" i="16"/>
  <c r="C146" i="16"/>
  <c r="C148" i="16" s="1"/>
  <c r="D134" i="16"/>
  <c r="C136" i="16"/>
  <c r="C142" i="16"/>
  <c r="D140" i="16" s="1"/>
  <c r="H151" i="16"/>
  <c r="L151" i="16"/>
  <c r="K153" i="16"/>
  <c r="K125" i="16" s="1"/>
  <c r="J162" i="16"/>
  <c r="J39" i="16" s="1"/>
  <c r="K158" i="16"/>
  <c r="K162" i="16" s="1"/>
  <c r="K39" i="16" s="1"/>
  <c r="G158" i="16"/>
  <c r="L159" i="16"/>
  <c r="E159" i="16"/>
  <c r="M159" i="16"/>
  <c r="B128" i="16"/>
  <c r="B129" i="16" s="1"/>
  <c r="J153" i="16"/>
  <c r="J125" i="16" s="1"/>
  <c r="N153" i="16"/>
  <c r="N125" i="16" s="1"/>
  <c r="H159" i="16"/>
  <c r="E152" i="16"/>
  <c r="E153" i="16" s="1"/>
  <c r="E125" i="16" s="1"/>
  <c r="I152" i="16"/>
  <c r="I162" i="16" s="1"/>
  <c r="I39" i="16" s="1"/>
  <c r="M152" i="16"/>
  <c r="M153" i="16" s="1"/>
  <c r="M125" i="16" s="1"/>
  <c r="B4" i="14"/>
  <c r="B20" i="12"/>
  <c r="C11" i="11"/>
  <c r="B11" i="11"/>
  <c r="C4" i="11"/>
  <c r="B4" i="11"/>
  <c r="B17" i="9"/>
  <c r="C32" i="9"/>
  <c r="B18" i="9"/>
  <c r="D10" i="9"/>
  <c r="G153" i="16" l="1"/>
  <c r="G125" i="16" s="1"/>
  <c r="F153" i="16"/>
  <c r="F125" i="16" s="1"/>
  <c r="G162" i="16"/>
  <c r="G39" i="16" s="1"/>
  <c r="G120" i="16" s="1"/>
  <c r="J124" i="16"/>
  <c r="C88" i="16"/>
  <c r="C90" i="16" s="1"/>
  <c r="H80" i="16"/>
  <c r="J80" i="16"/>
  <c r="N48" i="16"/>
  <c r="B88" i="16"/>
  <c r="F120" i="16"/>
  <c r="F48" i="16"/>
  <c r="D62" i="14"/>
  <c r="I153" i="16"/>
  <c r="I125" i="16" s="1"/>
  <c r="I123" i="16"/>
  <c r="C129" i="16"/>
  <c r="N123" i="16"/>
  <c r="F124" i="16"/>
  <c r="G159" i="16"/>
  <c r="G124" i="16" s="1"/>
  <c r="K159" i="16"/>
  <c r="K123" i="16" s="1"/>
  <c r="I120" i="16"/>
  <c r="I48" i="16"/>
  <c r="L152" i="16"/>
  <c r="L162" i="16" s="1"/>
  <c r="L39" i="16" s="1"/>
  <c r="D57" i="16"/>
  <c r="D53" i="16"/>
  <c r="K120" i="16"/>
  <c r="K48" i="16"/>
  <c r="E81" i="16"/>
  <c r="F18" i="16"/>
  <c r="E137" i="16"/>
  <c r="E32" i="16"/>
  <c r="F29" i="16"/>
  <c r="E54" i="16"/>
  <c r="E99" i="16" s="1"/>
  <c r="E34" i="16"/>
  <c r="E30" i="16"/>
  <c r="H124" i="16"/>
  <c r="H123" i="16"/>
  <c r="D141" i="16"/>
  <c r="D142" i="16" s="1"/>
  <c r="D152" i="16"/>
  <c r="D153" i="16" s="1"/>
  <c r="D125" i="16" s="1"/>
  <c r="M162" i="16"/>
  <c r="M39" i="16" s="1"/>
  <c r="J120" i="16"/>
  <c r="J48" i="16"/>
  <c r="H152" i="16"/>
  <c r="H162" i="16" s="1"/>
  <c r="H39" i="16" s="1"/>
  <c r="C147" i="16"/>
  <c r="D145" i="16" s="1"/>
  <c r="L124" i="16"/>
  <c r="L123" i="16"/>
  <c r="M123" i="16"/>
  <c r="M124" i="16"/>
  <c r="E123" i="16"/>
  <c r="E124" i="16"/>
  <c r="E162" i="16"/>
  <c r="E39" i="16" s="1"/>
  <c r="D31" i="16"/>
  <c r="D136" i="16"/>
  <c r="D107" i="16" s="1"/>
  <c r="E134" i="16"/>
  <c r="D60" i="16"/>
  <c r="D159" i="16"/>
  <c r="C33" i="9"/>
  <c r="G48" i="16" l="1"/>
  <c r="H153" i="16"/>
  <c r="H125" i="16" s="1"/>
  <c r="B68" i="14"/>
  <c r="D65" i="14"/>
  <c r="K124" i="16"/>
  <c r="D162" i="16"/>
  <c r="D39" i="16" s="1"/>
  <c r="D120" i="16" s="1"/>
  <c r="G123" i="16"/>
  <c r="E140" i="16"/>
  <c r="D65" i="16"/>
  <c r="L120" i="16"/>
  <c r="L48" i="16"/>
  <c r="D146" i="16"/>
  <c r="D148" i="16" s="1"/>
  <c r="D33" i="16" s="1"/>
  <c r="D97" i="16" s="1"/>
  <c r="E53" i="16"/>
  <c r="E57" i="16"/>
  <c r="F137" i="16"/>
  <c r="G29" i="16"/>
  <c r="F34" i="16"/>
  <c r="F54" i="16"/>
  <c r="F99" i="16" s="1"/>
  <c r="F30" i="16"/>
  <c r="F32" i="16"/>
  <c r="E122" i="16"/>
  <c r="L153" i="16"/>
  <c r="L125" i="16" s="1"/>
  <c r="D124" i="16"/>
  <c r="D123" i="16"/>
  <c r="E120" i="16"/>
  <c r="E48" i="16"/>
  <c r="M120" i="16"/>
  <c r="M48" i="16"/>
  <c r="E135" i="16"/>
  <c r="E136" i="16" s="1"/>
  <c r="E107" i="16" s="1"/>
  <c r="E96" i="16"/>
  <c r="D101" i="16"/>
  <c r="G18" i="16"/>
  <c r="F81" i="16"/>
  <c r="H120" i="16"/>
  <c r="H48" i="16"/>
  <c r="E31" i="16"/>
  <c r="F134" i="16"/>
  <c r="E60" i="16"/>
  <c r="D100" i="16"/>
  <c r="D58" i="16"/>
  <c r="B3" i="9"/>
  <c r="B7" i="9" s="1"/>
  <c r="B9" i="9" s="1"/>
  <c r="C7" i="6"/>
  <c r="C6" i="7"/>
  <c r="D6" i="7"/>
  <c r="D4" i="7"/>
  <c r="D3" i="7"/>
  <c r="D2" i="7"/>
  <c r="B5" i="7"/>
  <c r="D5" i="7" s="1"/>
  <c r="C5" i="7"/>
  <c r="B7" i="6"/>
  <c r="B8" i="6"/>
  <c r="C8" i="6"/>
  <c r="C110" i="2"/>
  <c r="D48" i="16" l="1"/>
  <c r="F57" i="16"/>
  <c r="F53" i="16"/>
  <c r="F31" i="16"/>
  <c r="G134" i="16"/>
  <c r="F60" i="16"/>
  <c r="D35" i="16"/>
  <c r="G137" i="16"/>
  <c r="G54" i="16"/>
  <c r="G99" i="16" s="1"/>
  <c r="G34" i="16"/>
  <c r="G30" i="16"/>
  <c r="G32" i="16"/>
  <c r="H29" i="16"/>
  <c r="E100" i="16"/>
  <c r="E58" i="16"/>
  <c r="D147" i="16"/>
  <c r="F122" i="16"/>
  <c r="G81" i="16"/>
  <c r="H18" i="16"/>
  <c r="F135" i="16"/>
  <c r="F136" i="16" s="1"/>
  <c r="F107" i="16" s="1"/>
  <c r="F96" i="16"/>
  <c r="E101" i="16"/>
  <c r="E141" i="16"/>
  <c r="E142" i="16" s="1"/>
  <c r="E84" i="2"/>
  <c r="F84" i="2"/>
  <c r="G84" i="2"/>
  <c r="H84" i="2"/>
  <c r="I84" i="2"/>
  <c r="J84" i="2"/>
  <c r="K84" i="2"/>
  <c r="L84" i="2"/>
  <c r="M84" i="2"/>
  <c r="N84" i="2"/>
  <c r="D84" i="2"/>
  <c r="C85" i="2"/>
  <c r="B47" i="2"/>
  <c r="C47" i="2"/>
  <c r="E67" i="2"/>
  <c r="F67" i="2"/>
  <c r="G67" i="2"/>
  <c r="H67" i="2"/>
  <c r="I67" i="2"/>
  <c r="J67" i="2"/>
  <c r="K67" i="2"/>
  <c r="L67" i="2"/>
  <c r="M67" i="2"/>
  <c r="N67" i="2"/>
  <c r="E74" i="2"/>
  <c r="F74" i="2"/>
  <c r="G74" i="2"/>
  <c r="H74" i="2"/>
  <c r="I74" i="2"/>
  <c r="J74" i="2"/>
  <c r="K74" i="2"/>
  <c r="L74" i="2"/>
  <c r="M74" i="2"/>
  <c r="N74" i="2"/>
  <c r="E81" i="2"/>
  <c r="F81" i="2"/>
  <c r="G81" i="2"/>
  <c r="H81" i="2"/>
  <c r="I81" i="2"/>
  <c r="J81" i="2"/>
  <c r="K81" i="2"/>
  <c r="L81" i="2"/>
  <c r="M81" i="2"/>
  <c r="N81" i="2"/>
  <c r="E82" i="2"/>
  <c r="F82" i="2"/>
  <c r="G82" i="2"/>
  <c r="H82" i="2"/>
  <c r="I82" i="2"/>
  <c r="J82" i="2"/>
  <c r="K82" i="2"/>
  <c r="L82" i="2"/>
  <c r="M82" i="2"/>
  <c r="N82" i="2"/>
  <c r="E83" i="2"/>
  <c r="F83" i="2"/>
  <c r="G83" i="2"/>
  <c r="H83" i="2"/>
  <c r="I83" i="2"/>
  <c r="J83" i="2"/>
  <c r="K83" i="2"/>
  <c r="L83" i="2"/>
  <c r="M83" i="2"/>
  <c r="N83" i="2"/>
  <c r="E100" i="2"/>
  <c r="F100" i="2"/>
  <c r="G100" i="2"/>
  <c r="H100" i="2"/>
  <c r="I100" i="2"/>
  <c r="J100" i="2"/>
  <c r="K100" i="2"/>
  <c r="L100" i="2"/>
  <c r="M100" i="2"/>
  <c r="N100" i="2"/>
  <c r="E113" i="2"/>
  <c r="E115" i="2" s="1"/>
  <c r="E182" i="2" s="1"/>
  <c r="F113" i="2"/>
  <c r="F115" i="2" s="1"/>
  <c r="F182" i="2" s="1"/>
  <c r="G113" i="2"/>
  <c r="G115" i="2" s="1"/>
  <c r="G182" i="2" s="1"/>
  <c r="H113" i="2"/>
  <c r="H115" i="2" s="1"/>
  <c r="H182" i="2" s="1"/>
  <c r="I113" i="2"/>
  <c r="I115" i="2" s="1"/>
  <c r="I182" i="2" s="1"/>
  <c r="J113" i="2"/>
  <c r="J115" i="2" s="1"/>
  <c r="J182" i="2" s="1"/>
  <c r="K113" i="2"/>
  <c r="K115" i="2" s="1"/>
  <c r="K182" i="2" s="1"/>
  <c r="L113" i="2"/>
  <c r="L115" i="2" s="1"/>
  <c r="L182" i="2" s="1"/>
  <c r="M113" i="2"/>
  <c r="M115" i="2" s="1"/>
  <c r="M182" i="2" s="1"/>
  <c r="N113" i="2"/>
  <c r="N115" i="2" s="1"/>
  <c r="N182" i="2" s="1"/>
  <c r="D67" i="2"/>
  <c r="C124" i="2"/>
  <c r="C183" i="2" s="1"/>
  <c r="D74" i="2"/>
  <c r="C76" i="2"/>
  <c r="C21" i="2" s="1"/>
  <c r="C160" i="2" s="1"/>
  <c r="D157" i="2" s="1"/>
  <c r="D158" i="2" s="1"/>
  <c r="D83" i="2"/>
  <c r="D81" i="2"/>
  <c r="D82" i="2"/>
  <c r="E160" i="2"/>
  <c r="E76" i="2" s="1"/>
  <c r="F160" i="2"/>
  <c r="G157" i="2" s="1"/>
  <c r="G160" i="2"/>
  <c r="H160" i="2"/>
  <c r="I157" i="2" s="1"/>
  <c r="I158" i="2" s="1"/>
  <c r="I160" i="2"/>
  <c r="I76" i="2" s="1"/>
  <c r="J160" i="2"/>
  <c r="J76" i="2" s="1"/>
  <c r="K160" i="2"/>
  <c r="L160" i="2"/>
  <c r="M157" i="2" s="1"/>
  <c r="M158" i="2" s="1"/>
  <c r="M160" i="2"/>
  <c r="M76" i="2" s="1"/>
  <c r="N160" i="2"/>
  <c r="N76" i="2" s="1"/>
  <c r="D160" i="2"/>
  <c r="D76" i="2" s="1"/>
  <c r="E154" i="2"/>
  <c r="E75" i="2" s="1"/>
  <c r="F154" i="2"/>
  <c r="F75" i="2" s="1"/>
  <c r="G154" i="2"/>
  <c r="H154" i="2"/>
  <c r="I151" i="2" s="1"/>
  <c r="I152" i="2" s="1"/>
  <c r="I154" i="2"/>
  <c r="I75" i="2" s="1"/>
  <c r="J154" i="2"/>
  <c r="J75" i="2" s="1"/>
  <c r="K154" i="2"/>
  <c r="L154" i="2"/>
  <c r="M151" i="2" s="1"/>
  <c r="M152" i="2" s="1"/>
  <c r="M154" i="2"/>
  <c r="M75" i="2" s="1"/>
  <c r="N154" i="2"/>
  <c r="N75" i="2" s="1"/>
  <c r="D154" i="2"/>
  <c r="D75" i="2" s="1"/>
  <c r="C135" i="2"/>
  <c r="H137" i="16" l="1"/>
  <c r="H54" i="16"/>
  <c r="H99" i="16" s="1"/>
  <c r="H30" i="16"/>
  <c r="H34" i="16"/>
  <c r="H32" i="16"/>
  <c r="I29" i="16"/>
  <c r="H81" i="16"/>
  <c r="I18" i="16"/>
  <c r="G135" i="16"/>
  <c r="G136" i="16" s="1"/>
  <c r="G107" i="16" s="1"/>
  <c r="G96" i="16"/>
  <c r="F101" i="16"/>
  <c r="F140" i="16"/>
  <c r="E65" i="16"/>
  <c r="D36" i="16"/>
  <c r="D37" i="16" s="1"/>
  <c r="G122" i="16"/>
  <c r="G57" i="16"/>
  <c r="G53" i="16"/>
  <c r="H134" i="16"/>
  <c r="G60" i="16"/>
  <c r="F100" i="16"/>
  <c r="F58" i="16"/>
  <c r="E145" i="16"/>
  <c r="D64" i="16"/>
  <c r="G31" i="16"/>
  <c r="F76" i="2"/>
  <c r="F79" i="2" s="1"/>
  <c r="H75" i="2"/>
  <c r="M79" i="2"/>
  <c r="I79" i="2"/>
  <c r="E79" i="2"/>
  <c r="N79" i="2"/>
  <c r="J79" i="2"/>
  <c r="L75" i="2"/>
  <c r="C169" i="2"/>
  <c r="B15" i="9"/>
  <c r="L151" i="2"/>
  <c r="L152" i="2" s="1"/>
  <c r="K75" i="2"/>
  <c r="G75" i="2"/>
  <c r="H151" i="2"/>
  <c r="H152" i="2" s="1"/>
  <c r="D79" i="2"/>
  <c r="L157" i="2"/>
  <c r="L158" i="2" s="1"/>
  <c r="K76" i="2"/>
  <c r="H157" i="2"/>
  <c r="H158" i="2" s="1"/>
  <c r="H162" i="2" s="1"/>
  <c r="H38" i="2" s="1"/>
  <c r="G76" i="2"/>
  <c r="L76" i="2"/>
  <c r="L79" i="2" s="1"/>
  <c r="H76" i="2"/>
  <c r="H153" i="2"/>
  <c r="H123" i="2" s="1"/>
  <c r="M162" i="2"/>
  <c r="M38" i="2" s="1"/>
  <c r="I162" i="2"/>
  <c r="I38" i="2" s="1"/>
  <c r="E157" i="2"/>
  <c r="E158" i="2" s="1"/>
  <c r="E151" i="2"/>
  <c r="E152" i="2" s="1"/>
  <c r="D159" i="2"/>
  <c r="G158" i="2"/>
  <c r="G159" i="2" s="1"/>
  <c r="M159" i="2"/>
  <c r="I159" i="2"/>
  <c r="K157" i="2"/>
  <c r="N157" i="2"/>
  <c r="N158" i="2" s="1"/>
  <c r="J157" i="2"/>
  <c r="J158" i="2" s="1"/>
  <c r="F157" i="2"/>
  <c r="F158" i="2" s="1"/>
  <c r="F159" i="2" s="1"/>
  <c r="M153" i="2"/>
  <c r="M123" i="2" s="1"/>
  <c r="I153" i="2"/>
  <c r="I123" i="2" s="1"/>
  <c r="K151" i="2"/>
  <c r="G151" i="2"/>
  <c r="N151" i="2"/>
  <c r="N152" i="2" s="1"/>
  <c r="J151" i="2"/>
  <c r="J152" i="2" s="1"/>
  <c r="F151" i="2"/>
  <c r="F152" i="2" s="1"/>
  <c r="H79" i="2" l="1"/>
  <c r="H159" i="2"/>
  <c r="H121" i="2" s="1"/>
  <c r="G100" i="16"/>
  <c r="G58" i="16"/>
  <c r="H57" i="16"/>
  <c r="H53" i="16"/>
  <c r="I137" i="16"/>
  <c r="I32" i="16"/>
  <c r="I30" i="16"/>
  <c r="I54" i="16"/>
  <c r="I99" i="16" s="1"/>
  <c r="J29" i="16"/>
  <c r="I34" i="16"/>
  <c r="I31" i="16"/>
  <c r="H31" i="16"/>
  <c r="E146" i="16"/>
  <c r="E148" i="16" s="1"/>
  <c r="E33" i="16" s="1"/>
  <c r="D95" i="16"/>
  <c r="D98" i="16" s="1"/>
  <c r="D108" i="16" s="1"/>
  <c r="D43" i="16"/>
  <c r="D47" i="16" s="1"/>
  <c r="D49" i="16" s="1"/>
  <c r="D167" i="16" s="1"/>
  <c r="H122" i="16"/>
  <c r="F141" i="16"/>
  <c r="F142" i="16" s="1"/>
  <c r="H135" i="16"/>
  <c r="H136" i="16" s="1"/>
  <c r="H107" i="16" s="1"/>
  <c r="H96" i="16"/>
  <c r="G101" i="16"/>
  <c r="I81" i="16"/>
  <c r="J18" i="16"/>
  <c r="I134" i="16"/>
  <c r="H60" i="16"/>
  <c r="L153" i="2"/>
  <c r="L123" i="2" s="1"/>
  <c r="L162" i="2"/>
  <c r="L38" i="2" s="1"/>
  <c r="L47" i="2" s="1"/>
  <c r="K79" i="2"/>
  <c r="L159" i="2"/>
  <c r="L121" i="2" s="1"/>
  <c r="H47" i="2"/>
  <c r="H118" i="2"/>
  <c r="M121" i="2"/>
  <c r="M122" i="2"/>
  <c r="I47" i="2"/>
  <c r="I118" i="2"/>
  <c r="F121" i="2"/>
  <c r="F122" i="2"/>
  <c r="I121" i="2"/>
  <c r="I122" i="2"/>
  <c r="G121" i="2"/>
  <c r="G122" i="2"/>
  <c r="M47" i="2"/>
  <c r="M118" i="2"/>
  <c r="G79" i="2"/>
  <c r="N162" i="2"/>
  <c r="N38" i="2" s="1"/>
  <c r="F162" i="2"/>
  <c r="F38" i="2" s="1"/>
  <c r="E153" i="2"/>
  <c r="E123" i="2" s="1"/>
  <c r="E162" i="2"/>
  <c r="E38" i="2" s="1"/>
  <c r="E159" i="2"/>
  <c r="D122" i="2"/>
  <c r="D121" i="2"/>
  <c r="J162" i="2"/>
  <c r="J38" i="2" s="1"/>
  <c r="K158" i="2"/>
  <c r="J159" i="2"/>
  <c r="N159" i="2"/>
  <c r="G152" i="2"/>
  <c r="G153" i="2" s="1"/>
  <c r="G123" i="2" s="1"/>
  <c r="F153" i="2"/>
  <c r="F123" i="2" s="1"/>
  <c r="K152" i="2"/>
  <c r="K153" i="2" s="1"/>
  <c r="K123" i="2" s="1"/>
  <c r="J153" i="2"/>
  <c r="J123" i="2" s="1"/>
  <c r="N153" i="2"/>
  <c r="N123" i="2" s="1"/>
  <c r="H122" i="2" l="1"/>
  <c r="D168" i="16"/>
  <c r="D121" i="16" s="1"/>
  <c r="D126" i="16" s="1"/>
  <c r="D128" i="16" s="1"/>
  <c r="D130" i="16" s="1"/>
  <c r="D55" i="16" s="1"/>
  <c r="I53" i="16"/>
  <c r="I57" i="16"/>
  <c r="H58" i="16"/>
  <c r="H100" i="16"/>
  <c r="G140" i="16"/>
  <c r="F65" i="16"/>
  <c r="J81" i="16"/>
  <c r="K18" i="16"/>
  <c r="I122" i="16"/>
  <c r="E97" i="16"/>
  <c r="E35" i="16"/>
  <c r="I96" i="16"/>
  <c r="I135" i="16"/>
  <c r="H101" i="16"/>
  <c r="E147" i="16"/>
  <c r="J137" i="16"/>
  <c r="J54" i="16"/>
  <c r="J99" i="16" s="1"/>
  <c r="K29" i="16"/>
  <c r="J34" i="16"/>
  <c r="J32" i="16"/>
  <c r="J30" i="16"/>
  <c r="I136" i="16"/>
  <c r="I107" i="16" s="1"/>
  <c r="J134" i="16"/>
  <c r="I60" i="16"/>
  <c r="L118" i="2"/>
  <c r="L122" i="2"/>
  <c r="N122" i="2"/>
  <c r="N121" i="2"/>
  <c r="E121" i="2"/>
  <c r="E122" i="2"/>
  <c r="N47" i="2"/>
  <c r="N118" i="2"/>
  <c r="J122" i="2"/>
  <c r="J121" i="2"/>
  <c r="J47" i="2"/>
  <c r="J118" i="2"/>
  <c r="E47" i="2"/>
  <c r="E118" i="2"/>
  <c r="F47" i="2"/>
  <c r="F118" i="2"/>
  <c r="K162" i="2"/>
  <c r="K38" i="2" s="1"/>
  <c r="K159" i="2"/>
  <c r="G162" i="2"/>
  <c r="G38" i="2" s="1"/>
  <c r="D169" i="16" l="1"/>
  <c r="E166" i="16" s="1"/>
  <c r="J57" i="16"/>
  <c r="J53" i="16"/>
  <c r="E36" i="16"/>
  <c r="E37" i="16" s="1"/>
  <c r="J122" i="16"/>
  <c r="K81" i="16"/>
  <c r="L18" i="16"/>
  <c r="J31" i="16"/>
  <c r="J96" i="16"/>
  <c r="J135" i="16"/>
  <c r="J136" i="16" s="1"/>
  <c r="J107" i="16" s="1"/>
  <c r="K134" i="16"/>
  <c r="J60" i="16"/>
  <c r="I100" i="16"/>
  <c r="I58" i="16"/>
  <c r="K137" i="16"/>
  <c r="K54" i="16"/>
  <c r="K99" i="16" s="1"/>
  <c r="K34" i="16"/>
  <c r="K30" i="16"/>
  <c r="K31" i="16" s="1"/>
  <c r="L29" i="16"/>
  <c r="K32" i="16"/>
  <c r="F145" i="16"/>
  <c r="E64" i="16"/>
  <c r="G141" i="16"/>
  <c r="G142" i="16" s="1"/>
  <c r="I101" i="16"/>
  <c r="E129" i="16"/>
  <c r="D56" i="16"/>
  <c r="D59" i="16" s="1"/>
  <c r="D63" i="16" s="1"/>
  <c r="D66" i="16" s="1"/>
  <c r="D71" i="16" s="1"/>
  <c r="G47" i="2"/>
  <c r="G118" i="2"/>
  <c r="K47" i="2"/>
  <c r="K118" i="2"/>
  <c r="K121" i="2"/>
  <c r="K122" i="2"/>
  <c r="C22" i="2"/>
  <c r="C96" i="2"/>
  <c r="D28" i="2"/>
  <c r="D174" i="2" s="1"/>
  <c r="D18" i="2"/>
  <c r="C6" i="1"/>
  <c r="D6" i="1"/>
  <c r="C7" i="1"/>
  <c r="D7" i="1"/>
  <c r="C8" i="1"/>
  <c r="D8" i="1"/>
  <c r="C5" i="1"/>
  <c r="D5" i="1"/>
  <c r="C4" i="1"/>
  <c r="D4" i="1"/>
  <c r="C115" i="2"/>
  <c r="C182" i="2" s="1"/>
  <c r="C104" i="2"/>
  <c r="C103" i="2"/>
  <c r="C102" i="2"/>
  <c r="C101" i="2"/>
  <c r="C100" i="2"/>
  <c r="C99" i="2"/>
  <c r="C98" i="2"/>
  <c r="C97" i="2"/>
  <c r="B85" i="2"/>
  <c r="C166" i="2" s="1"/>
  <c r="B84" i="2"/>
  <c r="C83" i="2"/>
  <c r="B83" i="2"/>
  <c r="C82" i="2"/>
  <c r="B82" i="2"/>
  <c r="C81" i="2"/>
  <c r="B81" i="2"/>
  <c r="C80" i="2"/>
  <c r="B80" i="2"/>
  <c r="C78" i="2"/>
  <c r="B78" i="2"/>
  <c r="B77" i="2"/>
  <c r="B76" i="2"/>
  <c r="B21" i="2" s="1"/>
  <c r="B22" i="2" s="1"/>
  <c r="C75" i="2"/>
  <c r="C154" i="2" s="1"/>
  <c r="B75" i="2"/>
  <c r="B154" i="2" s="1"/>
  <c r="C151" i="2" s="1"/>
  <c r="C74" i="2"/>
  <c r="B74" i="2"/>
  <c r="B73" i="2"/>
  <c r="C69" i="2"/>
  <c r="B69" i="2"/>
  <c r="C68" i="2"/>
  <c r="D113" i="2" s="1"/>
  <c r="D115" i="2" s="1"/>
  <c r="D182" i="2" s="1"/>
  <c r="C67" i="2"/>
  <c r="C64" i="2"/>
  <c r="B64" i="2"/>
  <c r="B142" i="2" s="1"/>
  <c r="C140" i="2" s="1"/>
  <c r="C63" i="2"/>
  <c r="B63" i="2"/>
  <c r="B147" i="2" s="1"/>
  <c r="C145" i="2" s="1"/>
  <c r="B61" i="2"/>
  <c r="C60" i="2"/>
  <c r="D100" i="2" s="1"/>
  <c r="B60" i="2"/>
  <c r="C59" i="2"/>
  <c r="C137" i="2" s="1"/>
  <c r="B59" i="2"/>
  <c r="B137" i="2" s="1"/>
  <c r="C134" i="2" s="1"/>
  <c r="C56" i="2"/>
  <c r="C57" i="2" s="1"/>
  <c r="B56" i="2"/>
  <c r="B57" i="2" s="1"/>
  <c r="C54" i="2"/>
  <c r="C128" i="2" s="1"/>
  <c r="B54" i="2"/>
  <c r="B128" i="2" s="1"/>
  <c r="B127" i="2" s="1"/>
  <c r="C53" i="2"/>
  <c r="B53" i="2"/>
  <c r="C52" i="2"/>
  <c r="B52" i="2"/>
  <c r="C30" i="2"/>
  <c r="C34" i="2" s="1"/>
  <c r="B30" i="2"/>
  <c r="B34" i="2" s="1"/>
  <c r="B36" i="2" s="1"/>
  <c r="B175" i="2" s="1"/>
  <c r="B176" i="2" s="1"/>
  <c r="D86" i="16" l="1"/>
  <c r="D87" i="16" s="1"/>
  <c r="D88" i="16" s="1"/>
  <c r="D90" i="16" s="1"/>
  <c r="H140" i="16"/>
  <c r="G65" i="16"/>
  <c r="E95" i="16"/>
  <c r="E98" i="16" s="1"/>
  <c r="E108" i="16" s="1"/>
  <c r="E43" i="16"/>
  <c r="E47" i="16" s="1"/>
  <c r="E49" i="16" s="1"/>
  <c r="E167" i="16" s="1"/>
  <c r="E168" i="16" s="1"/>
  <c r="E121" i="16" s="1"/>
  <c r="E126" i="16" s="1"/>
  <c r="L134" i="16"/>
  <c r="K60" i="16"/>
  <c r="K122" i="16"/>
  <c r="L137" i="16"/>
  <c r="L54" i="16"/>
  <c r="L99" i="16" s="1"/>
  <c r="L30" i="16"/>
  <c r="L32" i="16"/>
  <c r="L34" i="16"/>
  <c r="M29" i="16"/>
  <c r="L81" i="16"/>
  <c r="M18" i="16"/>
  <c r="F146" i="16"/>
  <c r="F148" i="16" s="1"/>
  <c r="F33" i="16" s="1"/>
  <c r="K57" i="16"/>
  <c r="K53" i="16"/>
  <c r="J101" i="16"/>
  <c r="K135" i="16"/>
  <c r="K136" i="16" s="1"/>
  <c r="K107" i="16" s="1"/>
  <c r="K96" i="16"/>
  <c r="J100" i="16"/>
  <c r="J58" i="16"/>
  <c r="C106" i="2"/>
  <c r="C181" i="2" s="1"/>
  <c r="C36" i="2"/>
  <c r="B16" i="9"/>
  <c r="D127" i="2"/>
  <c r="B79" i="2"/>
  <c r="E18" i="2"/>
  <c r="D80" i="2"/>
  <c r="D137" i="2"/>
  <c r="D59" i="2" s="1"/>
  <c r="D29" i="2"/>
  <c r="C55" i="2"/>
  <c r="C58" i="2" s="1"/>
  <c r="D166" i="2"/>
  <c r="C141" i="2"/>
  <c r="C142" i="2" s="1"/>
  <c r="D140" i="2" s="1"/>
  <c r="D141" i="2" s="1"/>
  <c r="D142" i="2" s="1"/>
  <c r="D151" i="2"/>
  <c r="C153" i="2"/>
  <c r="D134" i="2"/>
  <c r="C136" i="2"/>
  <c r="C146" i="2"/>
  <c r="B55" i="2"/>
  <c r="B58" i="2" s="1"/>
  <c r="B62" i="2" s="1"/>
  <c r="B65" i="2" s="1"/>
  <c r="B70" i="2" s="1"/>
  <c r="E28" i="2"/>
  <c r="E174" i="2" s="1"/>
  <c r="D53" i="2"/>
  <c r="D97" i="2" s="1"/>
  <c r="D33" i="2"/>
  <c r="C79" i="2"/>
  <c r="C86" i="2"/>
  <c r="D31" i="2"/>
  <c r="B86" i="2"/>
  <c r="B42" i="2"/>
  <c r="C42" i="2" l="1"/>
  <c r="C46" i="2" s="1"/>
  <c r="C48" i="2" s="1"/>
  <c r="C175" i="2"/>
  <c r="C176" i="2" s="1"/>
  <c r="E128" i="16"/>
  <c r="E130" i="16" s="1"/>
  <c r="E55" i="16" s="1"/>
  <c r="C23" i="2"/>
  <c r="B46" i="2"/>
  <c r="B48" i="2" s="1"/>
  <c r="B177" i="2" s="1"/>
  <c r="B178" i="2" s="1"/>
  <c r="B23" i="2"/>
  <c r="F97" i="16"/>
  <c r="F35" i="16"/>
  <c r="K101" i="16"/>
  <c r="M81" i="16"/>
  <c r="N18" i="16"/>
  <c r="N81" i="16" s="1"/>
  <c r="L135" i="16"/>
  <c r="L136" i="16" s="1"/>
  <c r="L107" i="16" s="1"/>
  <c r="L96" i="16"/>
  <c r="M134" i="16"/>
  <c r="L60" i="16"/>
  <c r="F129" i="16"/>
  <c r="E56" i="16"/>
  <c r="E59" i="16" s="1"/>
  <c r="E63" i="16" s="1"/>
  <c r="E66" i="16" s="1"/>
  <c r="E71" i="16" s="1"/>
  <c r="K100" i="16"/>
  <c r="K58" i="16"/>
  <c r="L122" i="16"/>
  <c r="L57" i="16"/>
  <c r="L53" i="16"/>
  <c r="E169" i="16"/>
  <c r="F147" i="16"/>
  <c r="M137" i="16"/>
  <c r="M32" i="16"/>
  <c r="N29" i="16"/>
  <c r="M34" i="16"/>
  <c r="M54" i="16"/>
  <c r="M99" i="16" s="1"/>
  <c r="M30" i="16"/>
  <c r="L31" i="16"/>
  <c r="H141" i="16"/>
  <c r="H142" i="16" s="1"/>
  <c r="C62" i="2"/>
  <c r="C65" i="2" s="1"/>
  <c r="C70" i="2" s="1"/>
  <c r="B14" i="9"/>
  <c r="B19" i="9" s="1"/>
  <c r="D120" i="2"/>
  <c r="E53" i="2"/>
  <c r="E97" i="2" s="1"/>
  <c r="E137" i="2"/>
  <c r="E59" i="2" s="1"/>
  <c r="F18" i="2"/>
  <c r="E80" i="2"/>
  <c r="E120" i="2" s="1"/>
  <c r="D135" i="2"/>
  <c r="D136" i="2" s="1"/>
  <c r="D105" i="2" s="1"/>
  <c r="D94" i="2"/>
  <c r="E134" i="2"/>
  <c r="D152" i="2"/>
  <c r="D162" i="2" s="1"/>
  <c r="D38" i="2" s="1"/>
  <c r="E140" i="2"/>
  <c r="E141" i="2" s="1"/>
  <c r="E142" i="2" s="1"/>
  <c r="D64" i="2"/>
  <c r="C148" i="2"/>
  <c r="C147" i="2"/>
  <c r="D145" i="2" s="1"/>
  <c r="D146" i="2" s="1"/>
  <c r="B87" i="2"/>
  <c r="D56" i="2"/>
  <c r="D52" i="2"/>
  <c r="D30" i="2"/>
  <c r="F28" i="2"/>
  <c r="F174" i="2" s="1"/>
  <c r="E33" i="2"/>
  <c r="E31" i="2"/>
  <c r="E29" i="2"/>
  <c r="C87" i="2"/>
  <c r="C16" i="1"/>
  <c r="D16" i="1"/>
  <c r="C15" i="1"/>
  <c r="D15" i="1"/>
  <c r="C13" i="1"/>
  <c r="D13" i="1"/>
  <c r="C14" i="1"/>
  <c r="D14" i="1"/>
  <c r="C11" i="1"/>
  <c r="D11" i="1"/>
  <c r="C10" i="1"/>
  <c r="D10" i="1"/>
  <c r="C167" i="2" l="1"/>
  <c r="C168" i="2" s="1"/>
  <c r="C177" i="2"/>
  <c r="C178" i="2" s="1"/>
  <c r="C89" i="2"/>
  <c r="I140" i="16"/>
  <c r="H65" i="16"/>
  <c r="F166" i="16"/>
  <c r="E86" i="16"/>
  <c r="E87" i="16" s="1"/>
  <c r="E88" i="16" s="1"/>
  <c r="E90" i="16" s="1"/>
  <c r="M135" i="16"/>
  <c r="M96" i="16"/>
  <c r="L101" i="16"/>
  <c r="N137" i="16"/>
  <c r="N32" i="16"/>
  <c r="N34" i="16"/>
  <c r="N54" i="16"/>
  <c r="N99" i="16" s="1"/>
  <c r="N30" i="16"/>
  <c r="N31" i="16" s="1"/>
  <c r="M136" i="16"/>
  <c r="M107" i="16" s="1"/>
  <c r="N134" i="16"/>
  <c r="M60" i="16"/>
  <c r="L100" i="16"/>
  <c r="L58" i="16"/>
  <c r="N122" i="16"/>
  <c r="F36" i="16"/>
  <c r="F37" i="16" s="1"/>
  <c r="M53" i="16"/>
  <c r="M57" i="16"/>
  <c r="M31" i="16"/>
  <c r="F64" i="16"/>
  <c r="G145" i="16"/>
  <c r="M122" i="16"/>
  <c r="F134" i="2"/>
  <c r="D12" i="1"/>
  <c r="C12" i="1"/>
  <c r="E135" i="2"/>
  <c r="E136" i="2" s="1"/>
  <c r="E105" i="2" s="1"/>
  <c r="E94" i="2"/>
  <c r="F137" i="2"/>
  <c r="F53" i="2"/>
  <c r="F97" i="2" s="1"/>
  <c r="D118" i="2"/>
  <c r="D47" i="2"/>
  <c r="E30" i="2"/>
  <c r="E52" i="2"/>
  <c r="E99" i="2" s="1"/>
  <c r="E56" i="2"/>
  <c r="F140" i="2"/>
  <c r="F141" i="2" s="1"/>
  <c r="F142" i="2" s="1"/>
  <c r="E64" i="2"/>
  <c r="G18" i="2"/>
  <c r="F80" i="2"/>
  <c r="F120" i="2" s="1"/>
  <c r="D153" i="2"/>
  <c r="D123" i="2" s="1"/>
  <c r="D57" i="2"/>
  <c r="D98" i="2"/>
  <c r="D99" i="2"/>
  <c r="D147" i="2"/>
  <c r="D148" i="2"/>
  <c r="D32" i="2" s="1"/>
  <c r="F29" i="2"/>
  <c r="G28" i="2"/>
  <c r="G174" i="2" s="1"/>
  <c r="F31" i="2"/>
  <c r="F33" i="2"/>
  <c r="F95" i="16" l="1"/>
  <c r="F98" i="16" s="1"/>
  <c r="F108" i="16" s="1"/>
  <c r="F43" i="16"/>
  <c r="F47" i="16" s="1"/>
  <c r="F49" i="16" s="1"/>
  <c r="F167" i="16" s="1"/>
  <c r="F168" i="16" s="1"/>
  <c r="F121" i="16" s="1"/>
  <c r="F126" i="16" s="1"/>
  <c r="M101" i="16"/>
  <c r="G146" i="16"/>
  <c r="G148" i="16" s="1"/>
  <c r="G33" i="16" s="1"/>
  <c r="N57" i="16"/>
  <c r="N53" i="16"/>
  <c r="N135" i="16"/>
  <c r="N136" i="16" s="1"/>
  <c r="N107" i="16" s="1"/>
  <c r="N96" i="16"/>
  <c r="M58" i="16"/>
  <c r="M100" i="16"/>
  <c r="N60" i="16"/>
  <c r="I141" i="16"/>
  <c r="I142" i="16" s="1"/>
  <c r="C9" i="1"/>
  <c r="D9" i="1"/>
  <c r="F135" i="2"/>
  <c r="F136" i="2" s="1"/>
  <c r="F105" i="2" s="1"/>
  <c r="F94" i="2"/>
  <c r="H18" i="2"/>
  <c r="G80" i="2"/>
  <c r="G120" i="2" s="1"/>
  <c r="G140" i="2"/>
  <c r="G141" i="2" s="1"/>
  <c r="G142" i="2" s="1"/>
  <c r="F64" i="2"/>
  <c r="G134" i="2"/>
  <c r="F59" i="2"/>
  <c r="G137" i="2"/>
  <c r="G53" i="2"/>
  <c r="G97" i="2" s="1"/>
  <c r="E57" i="2"/>
  <c r="E98" i="2"/>
  <c r="F30" i="2"/>
  <c r="F52" i="2"/>
  <c r="F99" i="2" s="1"/>
  <c r="F56" i="2"/>
  <c r="E145" i="2"/>
  <c r="E146" i="2" s="1"/>
  <c r="E148" i="2" s="1"/>
  <c r="E32" i="2" s="1"/>
  <c r="D63" i="2"/>
  <c r="D34" i="2"/>
  <c r="D95" i="2"/>
  <c r="G33" i="2"/>
  <c r="H28" i="2"/>
  <c r="H174" i="2" s="1"/>
  <c r="G29" i="2"/>
  <c r="G31" i="2"/>
  <c r="F169" i="16" l="1"/>
  <c r="G166" i="16" s="1"/>
  <c r="J140" i="16"/>
  <c r="I65" i="16"/>
  <c r="G147" i="16"/>
  <c r="G97" i="16"/>
  <c r="G35" i="16"/>
  <c r="N101" i="16"/>
  <c r="F128" i="16"/>
  <c r="F130" i="16" s="1"/>
  <c r="F55" i="16" s="1"/>
  <c r="N100" i="16"/>
  <c r="N58" i="16"/>
  <c r="D35" i="2"/>
  <c r="D36" i="2" s="1"/>
  <c r="D175" i="2" s="1"/>
  <c r="D176" i="2" s="1"/>
  <c r="G30" i="2"/>
  <c r="G52" i="2"/>
  <c r="G99" i="2" s="1"/>
  <c r="G56" i="2"/>
  <c r="F57" i="2"/>
  <c r="F98" i="2"/>
  <c r="G135" i="2"/>
  <c r="G136" i="2" s="1"/>
  <c r="G105" i="2" s="1"/>
  <c r="G94" i="2"/>
  <c r="H137" i="2"/>
  <c r="H53" i="2"/>
  <c r="H97" i="2" s="1"/>
  <c r="E34" i="2"/>
  <c r="E35" i="2" s="1"/>
  <c r="E36" i="2" s="1"/>
  <c r="E175" i="2" s="1"/>
  <c r="E176" i="2" s="1"/>
  <c r="E95" i="2"/>
  <c r="H134" i="2"/>
  <c r="G59" i="2"/>
  <c r="H140" i="2"/>
  <c r="H141" i="2" s="1"/>
  <c r="H142" i="2" s="1"/>
  <c r="G64" i="2"/>
  <c r="I18" i="2"/>
  <c r="H80" i="2"/>
  <c r="H120" i="2" s="1"/>
  <c r="E147" i="2"/>
  <c r="H31" i="2"/>
  <c r="I28" i="2"/>
  <c r="I174" i="2" s="1"/>
  <c r="H29" i="2"/>
  <c r="H33" i="2"/>
  <c r="F86" i="16" l="1"/>
  <c r="F87" i="16" s="1"/>
  <c r="F88" i="16" s="1"/>
  <c r="H145" i="16"/>
  <c r="G64" i="16"/>
  <c r="G129" i="16"/>
  <c r="F56" i="16"/>
  <c r="F59" i="16" s="1"/>
  <c r="F63" i="16" s="1"/>
  <c r="F66" i="16" s="1"/>
  <c r="F71" i="16" s="1"/>
  <c r="F90" i="16" s="1"/>
  <c r="G36" i="16"/>
  <c r="G37" i="16" s="1"/>
  <c r="J141" i="16"/>
  <c r="J142" i="16" s="1"/>
  <c r="D42" i="2"/>
  <c r="D46" i="2" s="1"/>
  <c r="D48" i="2" s="1"/>
  <c r="D93" i="2"/>
  <c r="D96" i="2" s="1"/>
  <c r="I137" i="2"/>
  <c r="I59" i="2" s="1"/>
  <c r="I53" i="2"/>
  <c r="I97" i="2" s="1"/>
  <c r="F145" i="2"/>
  <c r="F146" i="2" s="1"/>
  <c r="F148" i="2" s="1"/>
  <c r="F32" i="2" s="1"/>
  <c r="E63" i="2"/>
  <c r="J18" i="2"/>
  <c r="I80" i="2"/>
  <c r="I120" i="2" s="1"/>
  <c r="I140" i="2"/>
  <c r="H64" i="2"/>
  <c r="G57" i="2"/>
  <c r="G98" i="2"/>
  <c r="H30" i="2"/>
  <c r="H52" i="2"/>
  <c r="H99" i="2" s="1"/>
  <c r="H56" i="2"/>
  <c r="H135" i="2"/>
  <c r="H136" i="2" s="1"/>
  <c r="H105" i="2" s="1"/>
  <c r="H94" i="2"/>
  <c r="E42" i="2"/>
  <c r="E93" i="2"/>
  <c r="E96" i="2" s="1"/>
  <c r="I134" i="2"/>
  <c r="H59" i="2"/>
  <c r="I33" i="2"/>
  <c r="J28" i="2"/>
  <c r="J174" i="2" s="1"/>
  <c r="I31" i="2"/>
  <c r="I29" i="2"/>
  <c r="D167" i="2" l="1"/>
  <c r="D168" i="2" s="1"/>
  <c r="D169" i="2" s="1"/>
  <c r="D85" i="2" s="1"/>
  <c r="D86" i="2" s="1"/>
  <c r="D177" i="2"/>
  <c r="D178" i="2" s="1"/>
  <c r="G95" i="16"/>
  <c r="G98" i="16" s="1"/>
  <c r="G108" i="16" s="1"/>
  <c r="G43" i="16"/>
  <c r="G47" i="16" s="1"/>
  <c r="G49" i="16" s="1"/>
  <c r="G167" i="16" s="1"/>
  <c r="H146" i="16"/>
  <c r="H148" i="16" s="1"/>
  <c r="H33" i="16" s="1"/>
  <c r="K140" i="16"/>
  <c r="J65" i="16"/>
  <c r="J134" i="2"/>
  <c r="I30" i="2"/>
  <c r="I52" i="2"/>
  <c r="I99" i="2" s="1"/>
  <c r="I56" i="2"/>
  <c r="J137" i="2"/>
  <c r="J53" i="2"/>
  <c r="J97" i="2" s="1"/>
  <c r="F34" i="2"/>
  <c r="F35" i="2" s="1"/>
  <c r="F36" i="2" s="1"/>
  <c r="F175" i="2" s="1"/>
  <c r="F176" i="2" s="1"/>
  <c r="F95" i="2"/>
  <c r="E46" i="2"/>
  <c r="E48" i="2" s="1"/>
  <c r="I135" i="2"/>
  <c r="I136" i="2" s="1"/>
  <c r="I105" i="2" s="1"/>
  <c r="I94" i="2"/>
  <c r="H98" i="2"/>
  <c r="H57" i="2"/>
  <c r="I141" i="2"/>
  <c r="I142" i="2" s="1"/>
  <c r="K18" i="2"/>
  <c r="J80" i="2"/>
  <c r="J120" i="2" s="1"/>
  <c r="F147" i="2"/>
  <c r="J31" i="2"/>
  <c r="J29" i="2"/>
  <c r="K28" i="2"/>
  <c r="K174" i="2" s="1"/>
  <c r="J33" i="2"/>
  <c r="D119" i="2" l="1"/>
  <c r="D124" i="2" s="1"/>
  <c r="D183" i="2" s="1"/>
  <c r="E167" i="2"/>
  <c r="E168" i="2" s="1"/>
  <c r="E119" i="2" s="1"/>
  <c r="E124" i="2" s="1"/>
  <c r="E183" i="2" s="1"/>
  <c r="E177" i="2"/>
  <c r="E178" i="2" s="1"/>
  <c r="H97" i="16"/>
  <c r="H35" i="16"/>
  <c r="H147" i="16"/>
  <c r="G168" i="16"/>
  <c r="G121" i="16" s="1"/>
  <c r="G126" i="16" s="1"/>
  <c r="G128" i="16" s="1"/>
  <c r="G130" i="16" s="1"/>
  <c r="G55" i="16" s="1"/>
  <c r="K141" i="16"/>
  <c r="K142" i="16" s="1"/>
  <c r="J140" i="2"/>
  <c r="J141" i="2" s="1"/>
  <c r="J142" i="2" s="1"/>
  <c r="I64" i="2"/>
  <c r="J30" i="2"/>
  <c r="J52" i="2"/>
  <c r="J99" i="2" s="1"/>
  <c r="J56" i="2"/>
  <c r="G145" i="2"/>
  <c r="G146" i="2" s="1"/>
  <c r="G148" i="2" s="1"/>
  <c r="G32" i="2" s="1"/>
  <c r="F63" i="2"/>
  <c r="L18" i="2"/>
  <c r="K80" i="2"/>
  <c r="K120" i="2" s="1"/>
  <c r="F42" i="2"/>
  <c r="F93" i="2"/>
  <c r="F96" i="2" s="1"/>
  <c r="K134" i="2"/>
  <c r="J59" i="2"/>
  <c r="K137" i="2"/>
  <c r="K53" i="2"/>
  <c r="K97" i="2" s="1"/>
  <c r="J135" i="2"/>
  <c r="J136" i="2" s="1"/>
  <c r="J105" i="2" s="1"/>
  <c r="J94" i="2"/>
  <c r="I57" i="2"/>
  <c r="I98" i="2"/>
  <c r="E166" i="2"/>
  <c r="K31" i="2"/>
  <c r="K33" i="2"/>
  <c r="L28" i="2"/>
  <c r="L174" i="2" s="1"/>
  <c r="K29" i="2"/>
  <c r="E169" i="2" l="1"/>
  <c r="G169" i="16"/>
  <c r="H166" i="16" s="1"/>
  <c r="L140" i="16"/>
  <c r="K65" i="16"/>
  <c r="H129" i="16"/>
  <c r="G56" i="16"/>
  <c r="G59" i="16" s="1"/>
  <c r="G63" i="16" s="1"/>
  <c r="G66" i="16" s="1"/>
  <c r="G71" i="16" s="1"/>
  <c r="H36" i="16"/>
  <c r="H37" i="16" s="1"/>
  <c r="I145" i="16"/>
  <c r="H64" i="16"/>
  <c r="G147" i="2"/>
  <c r="H145" i="2" s="1"/>
  <c r="H146" i="2" s="1"/>
  <c r="H148" i="2" s="1"/>
  <c r="H32" i="2" s="1"/>
  <c r="L137" i="2"/>
  <c r="L59" i="2" s="1"/>
  <c r="L53" i="2"/>
  <c r="L97" i="2" s="1"/>
  <c r="K135" i="2"/>
  <c r="K136" i="2" s="1"/>
  <c r="K105" i="2" s="1"/>
  <c r="K94" i="2"/>
  <c r="G34" i="2"/>
  <c r="G35" i="2" s="1"/>
  <c r="G36" i="2" s="1"/>
  <c r="G175" i="2" s="1"/>
  <c r="G176" i="2" s="1"/>
  <c r="G95" i="2"/>
  <c r="L134" i="2"/>
  <c r="K59" i="2"/>
  <c r="F46" i="2"/>
  <c r="F48" i="2" s="1"/>
  <c r="M18" i="2"/>
  <c r="L80" i="2"/>
  <c r="L120" i="2" s="1"/>
  <c r="K30" i="2"/>
  <c r="K52" i="2"/>
  <c r="K99" i="2" s="1"/>
  <c r="K56" i="2"/>
  <c r="J57" i="2"/>
  <c r="J98" i="2"/>
  <c r="K140" i="2"/>
  <c r="K141" i="2" s="1"/>
  <c r="K142" i="2" s="1"/>
  <c r="J64" i="2"/>
  <c r="F166" i="2"/>
  <c r="E85" i="2"/>
  <c r="E86" i="2" s="1"/>
  <c r="E87" i="2" s="1"/>
  <c r="L29" i="2"/>
  <c r="L31" i="2"/>
  <c r="L33" i="2"/>
  <c r="M28" i="2"/>
  <c r="M174" i="2" s="1"/>
  <c r="F167" i="2" l="1"/>
  <c r="F168" i="2" s="1"/>
  <c r="F119" i="2" s="1"/>
  <c r="F124" i="2" s="1"/>
  <c r="F183" i="2" s="1"/>
  <c r="F177" i="2"/>
  <c r="F178" i="2" s="1"/>
  <c r="G86" i="16"/>
  <c r="G87" i="16" s="1"/>
  <c r="G88" i="16" s="1"/>
  <c r="G90" i="16" s="1"/>
  <c r="H95" i="16"/>
  <c r="H98" i="16" s="1"/>
  <c r="H108" i="16" s="1"/>
  <c r="H43" i="16"/>
  <c r="H47" i="16" s="1"/>
  <c r="H49" i="16" s="1"/>
  <c r="H167" i="16" s="1"/>
  <c r="H168" i="16" s="1"/>
  <c r="H121" i="16" s="1"/>
  <c r="H126" i="16" s="1"/>
  <c r="H128" i="16" s="1"/>
  <c r="H130" i="16" s="1"/>
  <c r="H55" i="16" s="1"/>
  <c r="L141" i="16"/>
  <c r="L142" i="16" s="1"/>
  <c r="I146" i="16"/>
  <c r="I148" i="16" s="1"/>
  <c r="I33" i="16" s="1"/>
  <c r="G63" i="2"/>
  <c r="M134" i="2"/>
  <c r="L30" i="2"/>
  <c r="L52" i="2"/>
  <c r="L99" i="2" s="1"/>
  <c r="L56" i="2"/>
  <c r="H34" i="2"/>
  <c r="H35" i="2" s="1"/>
  <c r="H36" i="2" s="1"/>
  <c r="H175" i="2" s="1"/>
  <c r="H176" i="2" s="1"/>
  <c r="H95" i="2"/>
  <c r="K57" i="2"/>
  <c r="K98" i="2"/>
  <c r="M137" i="2"/>
  <c r="M59" i="2" s="1"/>
  <c r="M53" i="2"/>
  <c r="M97" i="2" s="1"/>
  <c r="L135" i="2"/>
  <c r="L136" i="2" s="1"/>
  <c r="L105" i="2" s="1"/>
  <c r="L94" i="2"/>
  <c r="H147" i="2"/>
  <c r="F169" i="2"/>
  <c r="F85" i="2" s="1"/>
  <c r="F86" i="2" s="1"/>
  <c r="F87" i="2" s="1"/>
  <c r="L140" i="2"/>
  <c r="L141" i="2" s="1"/>
  <c r="L142" i="2" s="1"/>
  <c r="K64" i="2"/>
  <c r="N18" i="2"/>
  <c r="N80" i="2" s="1"/>
  <c r="M80" i="2"/>
  <c r="M120" i="2" s="1"/>
  <c r="G42" i="2"/>
  <c r="G93" i="2"/>
  <c r="G96" i="2" s="1"/>
  <c r="N28" i="2"/>
  <c r="N174" i="2" s="1"/>
  <c r="M29" i="2"/>
  <c r="M33" i="2"/>
  <c r="M31" i="2"/>
  <c r="H169" i="16" l="1"/>
  <c r="I129" i="16"/>
  <c r="H56" i="16"/>
  <c r="H59" i="16" s="1"/>
  <c r="H63" i="16" s="1"/>
  <c r="H66" i="16" s="1"/>
  <c r="H71" i="16" s="1"/>
  <c r="M140" i="16"/>
  <c r="L65" i="16"/>
  <c r="I97" i="16"/>
  <c r="I35" i="16"/>
  <c r="I147" i="16"/>
  <c r="N134" i="2"/>
  <c r="G166" i="2"/>
  <c r="M135" i="2"/>
  <c r="M136" i="2" s="1"/>
  <c r="M105" i="2" s="1"/>
  <c r="M94" i="2"/>
  <c r="M30" i="2"/>
  <c r="M52" i="2"/>
  <c r="M99" i="2" s="1"/>
  <c r="M56" i="2"/>
  <c r="M140" i="2"/>
  <c r="M141" i="2" s="1"/>
  <c r="M142" i="2" s="1"/>
  <c r="L64" i="2"/>
  <c r="I145" i="2"/>
  <c r="H63" i="2"/>
  <c r="H42" i="2"/>
  <c r="H93" i="2"/>
  <c r="H96" i="2" s="1"/>
  <c r="N137" i="2"/>
  <c r="N59" i="2" s="1"/>
  <c r="N53" i="2"/>
  <c r="N97" i="2" s="1"/>
  <c r="G46" i="2"/>
  <c r="G48" i="2" s="1"/>
  <c r="N120" i="2"/>
  <c r="L98" i="2"/>
  <c r="L57" i="2"/>
  <c r="N31" i="2"/>
  <c r="N33" i="2"/>
  <c r="N29" i="2"/>
  <c r="G167" i="2" l="1"/>
  <c r="G168" i="2" s="1"/>
  <c r="G119" i="2" s="1"/>
  <c r="G124" i="2" s="1"/>
  <c r="G183" i="2" s="1"/>
  <c r="G177" i="2"/>
  <c r="G178" i="2" s="1"/>
  <c r="I166" i="16"/>
  <c r="H86" i="16"/>
  <c r="H87" i="16" s="1"/>
  <c r="H88" i="16" s="1"/>
  <c r="H90" i="16" s="1"/>
  <c r="J145" i="16"/>
  <c r="I64" i="16"/>
  <c r="M141" i="16"/>
  <c r="M142" i="16" s="1"/>
  <c r="I36" i="16"/>
  <c r="I37" i="16" s="1"/>
  <c r="N30" i="2"/>
  <c r="N52" i="2"/>
  <c r="N99" i="2" s="1"/>
  <c r="N56" i="2"/>
  <c r="N135" i="2"/>
  <c r="N136" i="2" s="1"/>
  <c r="N105" i="2" s="1"/>
  <c r="N94" i="2"/>
  <c r="H46" i="2"/>
  <c r="H48" i="2" s="1"/>
  <c r="I146" i="2"/>
  <c r="I148" i="2" s="1"/>
  <c r="I32" i="2" s="1"/>
  <c r="N140" i="2"/>
  <c r="N141" i="2" s="1"/>
  <c r="N142" i="2" s="1"/>
  <c r="N64" i="2" s="1"/>
  <c r="M64" i="2"/>
  <c r="M57" i="2"/>
  <c r="M98" i="2"/>
  <c r="H167" i="2" l="1"/>
  <c r="H168" i="2" s="1"/>
  <c r="H119" i="2" s="1"/>
  <c r="H124" i="2" s="1"/>
  <c r="H183" i="2" s="1"/>
  <c r="H177" i="2"/>
  <c r="H178" i="2" s="1"/>
  <c r="I95" i="16"/>
  <c r="I98" i="16" s="1"/>
  <c r="I108" i="16" s="1"/>
  <c r="I43" i="16"/>
  <c r="I47" i="16" s="1"/>
  <c r="I49" i="16" s="1"/>
  <c r="I167" i="16" s="1"/>
  <c r="I168" i="16" s="1"/>
  <c r="I121" i="16" s="1"/>
  <c r="I126" i="16" s="1"/>
  <c r="N140" i="16"/>
  <c r="M65" i="16"/>
  <c r="J146" i="16"/>
  <c r="J148" i="16" s="1"/>
  <c r="J33" i="16" s="1"/>
  <c r="G169" i="2"/>
  <c r="H166" i="2" s="1"/>
  <c r="I147" i="2"/>
  <c r="J145" i="2" s="1"/>
  <c r="N57" i="2"/>
  <c r="N98" i="2"/>
  <c r="I34" i="2"/>
  <c r="I35" i="2" s="1"/>
  <c r="I36" i="2" s="1"/>
  <c r="I175" i="2" s="1"/>
  <c r="I176" i="2" s="1"/>
  <c r="I95" i="2"/>
  <c r="H169" i="2" l="1"/>
  <c r="H85" i="2" s="1"/>
  <c r="H86" i="2" s="1"/>
  <c r="H87" i="2" s="1"/>
  <c r="G85" i="2"/>
  <c r="G86" i="2" s="1"/>
  <c r="G87" i="2" s="1"/>
  <c r="J147" i="16"/>
  <c r="K145" i="16" s="1"/>
  <c r="I169" i="16"/>
  <c r="J166" i="16"/>
  <c r="I86" i="16"/>
  <c r="I87" i="16" s="1"/>
  <c r="I88" i="16" s="1"/>
  <c r="N141" i="16"/>
  <c r="N142" i="16" s="1"/>
  <c r="N65" i="16" s="1"/>
  <c r="J97" i="16"/>
  <c r="J35" i="16"/>
  <c r="I128" i="16"/>
  <c r="I130" i="16" s="1"/>
  <c r="I55" i="16" s="1"/>
  <c r="I63" i="2"/>
  <c r="I42" i="2"/>
  <c r="I93" i="2"/>
  <c r="I96" i="2" s="1"/>
  <c r="J146" i="2"/>
  <c r="J148" i="2" s="1"/>
  <c r="J32" i="2" s="1"/>
  <c r="I166" i="2" l="1"/>
  <c r="J64" i="16"/>
  <c r="J129" i="16"/>
  <c r="I56" i="16"/>
  <c r="I59" i="16" s="1"/>
  <c r="I63" i="16" s="1"/>
  <c r="I66" i="16" s="1"/>
  <c r="I71" i="16" s="1"/>
  <c r="I90" i="16" s="1"/>
  <c r="K146" i="16"/>
  <c r="K148" i="16" s="1"/>
  <c r="K33" i="16" s="1"/>
  <c r="J36" i="16"/>
  <c r="J37" i="16" s="1"/>
  <c r="J34" i="2"/>
  <c r="J35" i="2" s="1"/>
  <c r="J36" i="2" s="1"/>
  <c r="J175" i="2" s="1"/>
  <c r="J176" i="2" s="1"/>
  <c r="J95" i="2"/>
  <c r="J147" i="2"/>
  <c r="I46" i="2"/>
  <c r="I48" i="2" s="1"/>
  <c r="I167" i="2" l="1"/>
  <c r="I168" i="2" s="1"/>
  <c r="I119" i="2" s="1"/>
  <c r="I124" i="2" s="1"/>
  <c r="I183" i="2" s="1"/>
  <c r="I177" i="2"/>
  <c r="I178" i="2" s="1"/>
  <c r="J95" i="16"/>
  <c r="J98" i="16" s="1"/>
  <c r="J108" i="16" s="1"/>
  <c r="J43" i="16"/>
  <c r="J47" i="16" s="1"/>
  <c r="J49" i="16" s="1"/>
  <c r="J167" i="16" s="1"/>
  <c r="K147" i="16"/>
  <c r="K97" i="16"/>
  <c r="K35" i="16"/>
  <c r="K145" i="2"/>
  <c r="J63" i="2"/>
  <c r="J42" i="2"/>
  <c r="J93" i="2"/>
  <c r="J96" i="2" s="1"/>
  <c r="L145" i="16" l="1"/>
  <c r="K64" i="16"/>
  <c r="J168" i="16"/>
  <c r="J121" i="16" s="1"/>
  <c r="J126" i="16" s="1"/>
  <c r="J128" i="16" s="1"/>
  <c r="J130" i="16" s="1"/>
  <c r="J55" i="16" s="1"/>
  <c r="J169" i="16"/>
  <c r="K36" i="16"/>
  <c r="K37" i="16" s="1"/>
  <c r="I169" i="2"/>
  <c r="I85" i="2" s="1"/>
  <c r="I86" i="2" s="1"/>
  <c r="I87" i="2" s="1"/>
  <c r="J46" i="2"/>
  <c r="J48" i="2" s="1"/>
  <c r="K146" i="2"/>
  <c r="K148" i="2" s="1"/>
  <c r="K32" i="2" s="1"/>
  <c r="D87" i="2"/>
  <c r="J167" i="2" l="1"/>
  <c r="J168" i="2" s="1"/>
  <c r="J119" i="2" s="1"/>
  <c r="J124" i="2" s="1"/>
  <c r="J183" i="2" s="1"/>
  <c r="J177" i="2"/>
  <c r="J178" i="2" s="1"/>
  <c r="J166" i="2"/>
  <c r="K95" i="16"/>
  <c r="K98" i="16" s="1"/>
  <c r="K108" i="16" s="1"/>
  <c r="K43" i="16"/>
  <c r="K47" i="16" s="1"/>
  <c r="K49" i="16" s="1"/>
  <c r="K167" i="16" s="1"/>
  <c r="K168" i="16" s="1"/>
  <c r="K121" i="16" s="1"/>
  <c r="K126" i="16" s="1"/>
  <c r="K128" i="16" s="1"/>
  <c r="L146" i="16"/>
  <c r="L148" i="16" s="1"/>
  <c r="L33" i="16" s="1"/>
  <c r="K166" i="16"/>
  <c r="J86" i="16"/>
  <c r="J87" i="16" s="1"/>
  <c r="J88" i="16" s="1"/>
  <c r="K129" i="16"/>
  <c r="J56" i="16"/>
  <c r="J59" i="16" s="1"/>
  <c r="J63" i="16" s="1"/>
  <c r="J66" i="16" s="1"/>
  <c r="J71" i="16" s="1"/>
  <c r="K147" i="2"/>
  <c r="L145" i="2" s="1"/>
  <c r="K34" i="2"/>
  <c r="K35" i="2" s="1"/>
  <c r="K36" i="2" s="1"/>
  <c r="K175" i="2" s="1"/>
  <c r="K176" i="2" s="1"/>
  <c r="K95" i="2"/>
  <c r="J169" i="2" l="1"/>
  <c r="K166" i="2" s="1"/>
  <c r="K169" i="16"/>
  <c r="L166" i="16" s="1"/>
  <c r="L97" i="16"/>
  <c r="L35" i="16"/>
  <c r="L147" i="16"/>
  <c r="K130" i="16"/>
  <c r="K55" i="16" s="1"/>
  <c r="J90" i="16"/>
  <c r="K86" i="16"/>
  <c r="K87" i="16" s="1"/>
  <c r="K88" i="16" s="1"/>
  <c r="K63" i="2"/>
  <c r="L146" i="2"/>
  <c r="L148" i="2" s="1"/>
  <c r="L32" i="2" s="1"/>
  <c r="K42" i="2"/>
  <c r="K93" i="2"/>
  <c r="K96" i="2" s="1"/>
  <c r="J85" i="2" l="1"/>
  <c r="J86" i="2" s="1"/>
  <c r="J87" i="2" s="1"/>
  <c r="M145" i="16"/>
  <c r="L64" i="16"/>
  <c r="L36" i="16"/>
  <c r="L37" i="16" s="1"/>
  <c r="L129" i="16"/>
  <c r="K56" i="16"/>
  <c r="K59" i="16" s="1"/>
  <c r="K63" i="16" s="1"/>
  <c r="K66" i="16" s="1"/>
  <c r="K71" i="16" s="1"/>
  <c r="K90" i="16" s="1"/>
  <c r="L147" i="2"/>
  <c r="L63" i="2" s="1"/>
  <c r="K46" i="2"/>
  <c r="K48" i="2" s="1"/>
  <c r="L34" i="2"/>
  <c r="L35" i="2" s="1"/>
  <c r="L36" i="2" s="1"/>
  <c r="L175" i="2" s="1"/>
  <c r="L176" i="2" s="1"/>
  <c r="L95" i="2"/>
  <c r="K167" i="2" l="1"/>
  <c r="K168" i="2" s="1"/>
  <c r="K119" i="2" s="1"/>
  <c r="K124" i="2" s="1"/>
  <c r="K183" i="2" s="1"/>
  <c r="K177" i="2"/>
  <c r="K178" i="2" s="1"/>
  <c r="M145" i="2"/>
  <c r="M146" i="2" s="1"/>
  <c r="M148" i="2" s="1"/>
  <c r="M32" i="2" s="1"/>
  <c r="L95" i="16"/>
  <c r="L98" i="16" s="1"/>
  <c r="L108" i="16" s="1"/>
  <c r="L43" i="16"/>
  <c r="L47" i="16" s="1"/>
  <c r="L49" i="16" s="1"/>
  <c r="L167" i="16" s="1"/>
  <c r="M146" i="16"/>
  <c r="M148" i="16" s="1"/>
  <c r="M33" i="16" s="1"/>
  <c r="L42" i="2"/>
  <c r="L93" i="2"/>
  <c r="L96" i="2" s="1"/>
  <c r="M147" i="16" l="1"/>
  <c r="M97" i="16"/>
  <c r="M35" i="16"/>
  <c r="L168" i="16"/>
  <c r="L121" i="16" s="1"/>
  <c r="L126" i="16" s="1"/>
  <c r="L128" i="16" s="1"/>
  <c r="L130" i="16" s="1"/>
  <c r="L55" i="16" s="1"/>
  <c r="M34" i="2"/>
  <c r="M35" i="2" s="1"/>
  <c r="M36" i="2" s="1"/>
  <c r="M175" i="2" s="1"/>
  <c r="M176" i="2" s="1"/>
  <c r="M95" i="2"/>
  <c r="L46" i="2"/>
  <c r="L48" i="2" s="1"/>
  <c r="M147" i="2"/>
  <c r="K169" i="2"/>
  <c r="L167" i="2" l="1"/>
  <c r="L168" i="2" s="1"/>
  <c r="L119" i="2" s="1"/>
  <c r="L124" i="2" s="1"/>
  <c r="L183" i="2" s="1"/>
  <c r="L177" i="2"/>
  <c r="L178" i="2" s="1"/>
  <c r="M36" i="16"/>
  <c r="M37" i="16" s="1"/>
  <c r="M129" i="16"/>
  <c r="L56" i="16"/>
  <c r="L59" i="16" s="1"/>
  <c r="L63" i="16" s="1"/>
  <c r="L66" i="16" s="1"/>
  <c r="L71" i="16" s="1"/>
  <c r="L169" i="16"/>
  <c r="N145" i="16"/>
  <c r="M64" i="16"/>
  <c r="N145" i="2"/>
  <c r="M63" i="2"/>
  <c r="M42" i="2"/>
  <c r="M93" i="2"/>
  <c r="M96" i="2" s="1"/>
  <c r="K85" i="2"/>
  <c r="K86" i="2" s="1"/>
  <c r="K87" i="2" s="1"/>
  <c r="L166" i="2"/>
  <c r="L169" i="2" l="1"/>
  <c r="L85" i="2" s="1"/>
  <c r="L86" i="2" s="1"/>
  <c r="L87" i="2" s="1"/>
  <c r="M95" i="16"/>
  <c r="M98" i="16" s="1"/>
  <c r="M108" i="16" s="1"/>
  <c r="M43" i="16"/>
  <c r="M47" i="16" s="1"/>
  <c r="M49" i="16" s="1"/>
  <c r="M167" i="16" s="1"/>
  <c r="M168" i="16" s="1"/>
  <c r="M121" i="16" s="1"/>
  <c r="M126" i="16" s="1"/>
  <c r="N146" i="16"/>
  <c r="N148" i="16" s="1"/>
  <c r="N33" i="16" s="1"/>
  <c r="M166" i="16"/>
  <c r="L86" i="16"/>
  <c r="L87" i="16" s="1"/>
  <c r="L88" i="16" s="1"/>
  <c r="L90" i="16" s="1"/>
  <c r="M46" i="2"/>
  <c r="M48" i="2" s="1"/>
  <c r="N146" i="2"/>
  <c r="N148" i="2" s="1"/>
  <c r="N32" i="2" s="1"/>
  <c r="M166" i="2" l="1"/>
  <c r="M167" i="2"/>
  <c r="M168" i="2" s="1"/>
  <c r="M119" i="2" s="1"/>
  <c r="M124" i="2" s="1"/>
  <c r="M183" i="2" s="1"/>
  <c r="M177" i="2"/>
  <c r="M178" i="2" s="1"/>
  <c r="N147" i="2"/>
  <c r="N63" i="2" s="1"/>
  <c r="M128" i="16"/>
  <c r="M130" i="16" s="1"/>
  <c r="M55" i="16" s="1"/>
  <c r="M56" i="16" s="1"/>
  <c r="M59" i="16" s="1"/>
  <c r="M63" i="16" s="1"/>
  <c r="M66" i="16" s="1"/>
  <c r="M71" i="16" s="1"/>
  <c r="N147" i="16"/>
  <c r="N64" i="16" s="1"/>
  <c r="N97" i="16"/>
  <c r="N35" i="16"/>
  <c r="M169" i="16"/>
  <c r="N34" i="2"/>
  <c r="N35" i="2" s="1"/>
  <c r="N36" i="2" s="1"/>
  <c r="N175" i="2" s="1"/>
  <c r="N176" i="2" s="1"/>
  <c r="N95" i="2"/>
  <c r="M169" i="2" l="1"/>
  <c r="N166" i="2" s="1"/>
  <c r="N129" i="16"/>
  <c r="N36" i="16"/>
  <c r="N37" i="16" s="1"/>
  <c r="N166" i="16"/>
  <c r="M86" i="16"/>
  <c r="M87" i="16" s="1"/>
  <c r="M88" i="16" s="1"/>
  <c r="M90" i="16" s="1"/>
  <c r="N42" i="2"/>
  <c r="N93" i="2"/>
  <c r="N96" i="2" s="1"/>
  <c r="M85" i="2" l="1"/>
  <c r="M86" i="2" s="1"/>
  <c r="M87" i="2" s="1"/>
  <c r="N95" i="16"/>
  <c r="N98" i="16" s="1"/>
  <c r="N108" i="16" s="1"/>
  <c r="N43" i="16"/>
  <c r="N47" i="16" s="1"/>
  <c r="N49" i="16" s="1"/>
  <c r="N167" i="16" s="1"/>
  <c r="N168" i="16" s="1"/>
  <c r="N121" i="16" s="1"/>
  <c r="N126" i="16" s="1"/>
  <c r="N46" i="2"/>
  <c r="N48" i="2" s="1"/>
  <c r="N167" i="2" l="1"/>
  <c r="N168" i="2" s="1"/>
  <c r="N119" i="2" s="1"/>
  <c r="N124" i="2" s="1"/>
  <c r="N183" i="2" s="1"/>
  <c r="N177" i="2"/>
  <c r="N178" i="2" s="1"/>
  <c r="N128" i="16"/>
  <c r="N130" i="16" s="1"/>
  <c r="N55" i="16" s="1"/>
  <c r="N56" i="16" s="1"/>
  <c r="N59" i="16" s="1"/>
  <c r="N63" i="16" s="1"/>
  <c r="N66" i="16" s="1"/>
  <c r="N71" i="16" s="1"/>
  <c r="N169" i="16"/>
  <c r="N86" i="16" s="1"/>
  <c r="N87" i="16" s="1"/>
  <c r="N88" i="16" s="1"/>
  <c r="D106" i="2"/>
  <c r="E106" i="2"/>
  <c r="E126" i="2" s="1"/>
  <c r="E184" i="2" s="1"/>
  <c r="F106" i="2"/>
  <c r="F126" i="2" s="1"/>
  <c r="F184" i="2" s="1"/>
  <c r="G106" i="2"/>
  <c r="G126" i="2" s="1"/>
  <c r="G184" i="2" s="1"/>
  <c r="H106" i="2"/>
  <c r="H126" i="2" s="1"/>
  <c r="H184" i="2" s="1"/>
  <c r="I106" i="2"/>
  <c r="I126" i="2" s="1"/>
  <c r="I184" i="2" s="1"/>
  <c r="J106" i="2"/>
  <c r="K106" i="2"/>
  <c r="L106" i="2"/>
  <c r="M106" i="2"/>
  <c r="N106" i="2"/>
  <c r="C126" i="2"/>
  <c r="D126" i="2"/>
  <c r="N169" i="2" l="1"/>
  <c r="N85" i="2" s="1"/>
  <c r="N86" i="2" s="1"/>
  <c r="N87" i="2" s="1"/>
  <c r="N126" i="2"/>
  <c r="N184" i="2" s="1"/>
  <c r="N181" i="2"/>
  <c r="B21" i="14"/>
  <c r="D21" i="14" s="1"/>
  <c r="J181" i="2"/>
  <c r="B17" i="14"/>
  <c r="D17" i="14" s="1"/>
  <c r="F181" i="2"/>
  <c r="B24" i="14"/>
  <c r="D24" i="14" s="1"/>
  <c r="M181" i="2"/>
  <c r="B20" i="14"/>
  <c r="D20" i="14" s="1"/>
  <c r="I181" i="2"/>
  <c r="B16" i="14"/>
  <c r="D16" i="14" s="1"/>
  <c r="E181" i="2"/>
  <c r="D128" i="2"/>
  <c r="D54" i="2" s="1"/>
  <c r="E127" i="2" s="1"/>
  <c r="E128" i="2" s="1"/>
  <c r="E54" i="2" s="1"/>
  <c r="D184" i="2"/>
  <c r="B23" i="14"/>
  <c r="D23" i="14" s="1"/>
  <c r="L181" i="2"/>
  <c r="B19" i="14"/>
  <c r="D19" i="14" s="1"/>
  <c r="H181" i="2"/>
  <c r="B15" i="14"/>
  <c r="D15" i="14" s="1"/>
  <c r="D181" i="2"/>
  <c r="C127" i="2"/>
  <c r="C184" i="2"/>
  <c r="B22" i="14"/>
  <c r="D22" i="14" s="1"/>
  <c r="K181" i="2"/>
  <c r="B18" i="14"/>
  <c r="D18" i="14" s="1"/>
  <c r="G181" i="2"/>
  <c r="N90" i="16"/>
  <c r="M126" i="2"/>
  <c r="M184" i="2" s="1"/>
  <c r="L126" i="2"/>
  <c r="L184" i="2" s="1"/>
  <c r="K126" i="2"/>
  <c r="K184" i="2" s="1"/>
  <c r="J126" i="2"/>
  <c r="J184" i="2" s="1"/>
  <c r="D55" i="2" l="1"/>
  <c r="D58" i="2" s="1"/>
  <c r="D62" i="2" s="1"/>
  <c r="D65" i="2" s="1"/>
  <c r="D70" i="2" s="1"/>
  <c r="D89" i="2" s="1"/>
  <c r="D25" i="14"/>
  <c r="B31" i="14" s="1"/>
  <c r="B33" i="14" s="1"/>
  <c r="E55" i="2"/>
  <c r="E58" i="2" s="1"/>
  <c r="E62" i="2" s="1"/>
  <c r="E65" i="2" s="1"/>
  <c r="E70" i="2" s="1"/>
  <c r="E89" i="2" s="1"/>
  <c r="F127" i="2"/>
  <c r="F128" i="2" s="1"/>
  <c r="F54" i="2" s="1"/>
  <c r="B69" i="14" l="1"/>
  <c r="B70" i="14" s="1"/>
  <c r="C69" i="14" s="1"/>
  <c r="D28" i="14"/>
  <c r="B75" i="14" s="1"/>
  <c r="B78" i="14" s="1"/>
  <c r="B82" i="14" s="1"/>
  <c r="B85" i="14" s="1"/>
  <c r="B89" i="14" s="1"/>
  <c r="C32" i="14"/>
  <c r="F55" i="2"/>
  <c r="F58" i="2" s="1"/>
  <c r="F62" i="2" s="1"/>
  <c r="F65" i="2" s="1"/>
  <c r="F70" i="2" s="1"/>
  <c r="F89" i="2" s="1"/>
  <c r="G127" i="2"/>
  <c r="G128" i="2" s="1"/>
  <c r="G54" i="2" s="1"/>
  <c r="B91" i="14" l="1"/>
  <c r="E90" i="14" s="1"/>
  <c r="C31" i="14"/>
  <c r="C33" i="14" s="1"/>
  <c r="C67" i="14"/>
  <c r="C68" i="14"/>
  <c r="G55" i="2"/>
  <c r="G58" i="2" s="1"/>
  <c r="G62" i="2" s="1"/>
  <c r="G65" i="2" s="1"/>
  <c r="G70" i="2" s="1"/>
  <c r="G89" i="2" s="1"/>
  <c r="H127" i="2"/>
  <c r="H128" i="2" s="1"/>
  <c r="H54" i="2" s="1"/>
  <c r="C70" i="14" l="1"/>
  <c r="H55" i="2"/>
  <c r="H58" i="2" s="1"/>
  <c r="H62" i="2" s="1"/>
  <c r="H65" i="2" s="1"/>
  <c r="H70" i="2" s="1"/>
  <c r="H89" i="2" s="1"/>
  <c r="I127" i="2"/>
  <c r="I128" i="2" s="1"/>
  <c r="I54" i="2" s="1"/>
  <c r="I55" i="2" l="1"/>
  <c r="I58" i="2" s="1"/>
  <c r="I62" i="2" s="1"/>
  <c r="I65" i="2" s="1"/>
  <c r="I70" i="2" s="1"/>
  <c r="I89" i="2" s="1"/>
  <c r="J127" i="2"/>
  <c r="J128" i="2" s="1"/>
  <c r="J54" i="2" s="1"/>
  <c r="J55" i="2" l="1"/>
  <c r="J58" i="2" s="1"/>
  <c r="J62" i="2" s="1"/>
  <c r="J65" i="2" s="1"/>
  <c r="J70" i="2" s="1"/>
  <c r="J89" i="2" s="1"/>
  <c r="K127" i="2"/>
  <c r="K128" i="2" s="1"/>
  <c r="K54" i="2" s="1"/>
  <c r="L127" i="2" l="1"/>
  <c r="L128" i="2" s="1"/>
  <c r="L54" i="2" s="1"/>
  <c r="K55" i="2"/>
  <c r="K58" i="2" s="1"/>
  <c r="K62" i="2" s="1"/>
  <c r="K65" i="2" s="1"/>
  <c r="K70" i="2" s="1"/>
  <c r="K89" i="2" s="1"/>
  <c r="M127" i="2" l="1"/>
  <c r="M128" i="2" s="1"/>
  <c r="M54" i="2" s="1"/>
  <c r="L55" i="2"/>
  <c r="L58" i="2" s="1"/>
  <c r="L62" i="2" s="1"/>
  <c r="L65" i="2" s="1"/>
  <c r="L70" i="2" s="1"/>
  <c r="L89" i="2" s="1"/>
  <c r="M55" i="2" l="1"/>
  <c r="M58" i="2" s="1"/>
  <c r="M62" i="2" s="1"/>
  <c r="M65" i="2" s="1"/>
  <c r="M70" i="2" s="1"/>
  <c r="M89" i="2" s="1"/>
  <c r="N127" i="2"/>
  <c r="N128" i="2" s="1"/>
  <c r="N54" i="2" s="1"/>
  <c r="N55" i="2" s="1"/>
  <c r="N58" i="2" s="1"/>
  <c r="N62" i="2" s="1"/>
  <c r="N65" i="2" s="1"/>
  <c r="N70" i="2" s="1"/>
  <c r="N89" i="2" s="1"/>
</calcChain>
</file>

<file path=xl/sharedStrings.xml><?xml version="1.0" encoding="utf-8"?>
<sst xmlns="http://schemas.openxmlformats.org/spreadsheetml/2006/main" count="792" uniqueCount="285">
  <si>
    <t>Reorganized Income Paypoint Plc</t>
  </si>
  <si>
    <t>Revenue</t>
  </si>
  <si>
    <t>Gross profit</t>
  </si>
  <si>
    <t xml:space="preserve">Depreciation </t>
  </si>
  <si>
    <t>Amortization</t>
  </si>
  <si>
    <t>Administrative expenses</t>
  </si>
  <si>
    <t>Operating Profit</t>
  </si>
  <si>
    <t>Operating Tax</t>
  </si>
  <si>
    <t>NOPLAT</t>
  </si>
  <si>
    <t>–</t>
  </si>
  <si>
    <t>Total Income to All Investors</t>
  </si>
  <si>
    <t>Cost of revenue</t>
  </si>
  <si>
    <t>Finance income</t>
  </si>
  <si>
    <t>Profit from discontinued operation, net of tax</t>
  </si>
  <si>
    <t>Exceptional item – gain on disposal of discontinued operation, net of tax</t>
  </si>
  <si>
    <t>Exceptional item – revaluation of deferred, contingent consideration liability</t>
  </si>
  <si>
    <t>Reorganized statement of financial position</t>
  </si>
  <si>
    <t>Operating Current Asset</t>
  </si>
  <si>
    <t>Operating Current Liability</t>
  </si>
  <si>
    <t>Working Capital</t>
  </si>
  <si>
    <t>-</t>
  </si>
  <si>
    <t>Invested Capital Without Goodwill</t>
  </si>
  <si>
    <t>Invested Capital With Goodwill</t>
  </si>
  <si>
    <t xml:space="preserve">Total Funds Invested </t>
  </si>
  <si>
    <t xml:space="preserve">Reconciliation Of Total Funds Invested </t>
  </si>
  <si>
    <t>Debt</t>
  </si>
  <si>
    <t>Equity</t>
  </si>
  <si>
    <t>Total Funds Invested</t>
  </si>
  <si>
    <t>Gross Cashflow</t>
  </si>
  <si>
    <t>(Increase)/Decrease in Trade receivable</t>
  </si>
  <si>
    <t>(Increase)/Decrease in Trade payable</t>
  </si>
  <si>
    <t>(Increase)/Decrease in Inventory</t>
  </si>
  <si>
    <t>(Increase)/Decrease in finance lease receivables</t>
  </si>
  <si>
    <t>(Increase)/Decrease in contract asset</t>
  </si>
  <si>
    <t>(Increase)/Decrease in contract liabilities</t>
  </si>
  <si>
    <t>(Increase)/Decrease in provision</t>
  </si>
  <si>
    <t>(Increase)/Decrease in lease liabilities</t>
  </si>
  <si>
    <t>Captial Expenditure (PPE)</t>
  </si>
  <si>
    <t>FCF from operating cashflow</t>
  </si>
  <si>
    <t>Investment income</t>
  </si>
  <si>
    <t>Purchases of intangible assets</t>
  </si>
  <si>
    <t>Acquisitions of subsidiaries net of cash acquired</t>
  </si>
  <si>
    <t>Contingent consideration cash paid</t>
  </si>
  <si>
    <t>Purchase of investment in associate</t>
  </si>
  <si>
    <t>Purchase of convertible loan note</t>
  </si>
  <si>
    <t>Proceeds from disposal of discontinued operation net of cash disposed</t>
  </si>
  <si>
    <t>Cash Flow Available to Investors</t>
  </si>
  <si>
    <t>Reconciliation Of Cash Flow Available to Investors</t>
  </si>
  <si>
    <t>After Tax Finance Cost</t>
  </si>
  <si>
    <t>Dividends paid</t>
  </si>
  <si>
    <t>Proceeds from issue of share capital</t>
  </si>
  <si>
    <t>Repayments of loans and borrowings</t>
  </si>
  <si>
    <t>Proceeds from loans and borrowings</t>
  </si>
  <si>
    <t>Payment of lease liabilities</t>
  </si>
  <si>
    <t>Reconciliation</t>
  </si>
  <si>
    <t>Net Income</t>
  </si>
  <si>
    <t>Revenue growth</t>
  </si>
  <si>
    <t>Cost of sales margin</t>
  </si>
  <si>
    <t>depreciation</t>
  </si>
  <si>
    <t>amortization</t>
  </si>
  <si>
    <t>administration expenses</t>
  </si>
  <si>
    <t>Tax</t>
  </si>
  <si>
    <t>Inventory days</t>
  </si>
  <si>
    <t>Receivable days</t>
  </si>
  <si>
    <t>Payable days</t>
  </si>
  <si>
    <t>Lease liability</t>
  </si>
  <si>
    <t>Asset turnover</t>
  </si>
  <si>
    <t>Loans</t>
  </si>
  <si>
    <r>
      <rPr>
        <sz val="12"/>
        <color rgb="FF414042"/>
        <rFont val="Times New Roman"/>
        <family val="1"/>
      </rPr>
      <t>Inventories</t>
    </r>
  </si>
  <si>
    <r>
      <rPr>
        <sz val="12"/>
        <color rgb="FF414042"/>
        <rFont val="Times New Roman"/>
        <family val="1"/>
      </rPr>
      <t>Trade and other receivables</t>
    </r>
  </si>
  <si>
    <r>
      <rPr>
        <sz val="12"/>
        <color rgb="FF414042"/>
        <rFont val="Times New Roman"/>
        <family val="1"/>
      </rPr>
      <t>Cash and cash equivalents – clients’ funds and retailer partners’ deposits</t>
    </r>
  </si>
  <si>
    <r>
      <rPr>
        <sz val="12"/>
        <color rgb="FF414042"/>
        <rFont val="Times New Roman"/>
        <family val="1"/>
      </rPr>
      <t>Trade and other payables</t>
    </r>
  </si>
  <si>
    <r>
      <rPr>
        <sz val="12"/>
        <color rgb="FF414042"/>
        <rFont val="Times New Roman"/>
        <family val="1"/>
      </rPr>
      <t>Property, plant and equipment</t>
    </r>
  </si>
  <si>
    <r>
      <rPr>
        <sz val="12"/>
        <color rgb="FF414042"/>
        <rFont val="Times New Roman"/>
        <family val="1"/>
      </rPr>
      <t>Net investment in finance lease receivables</t>
    </r>
  </si>
  <si>
    <r>
      <rPr>
        <sz val="12"/>
        <color rgb="FF414042"/>
        <rFont val="Times New Roman"/>
        <family val="1"/>
      </rPr>
      <t>Assets held for sale</t>
    </r>
  </si>
  <si>
    <r>
      <rPr>
        <sz val="12"/>
        <color rgb="FF414042"/>
        <rFont val="Times New Roman"/>
        <family val="1"/>
      </rPr>
      <t>Other intangible assets</t>
    </r>
  </si>
  <si>
    <r>
      <rPr>
        <sz val="12"/>
        <color rgb="FF414042"/>
        <rFont val="Times New Roman"/>
        <family val="1"/>
      </rPr>
      <t>Goodwill</t>
    </r>
  </si>
  <si>
    <r>
      <rPr>
        <sz val="12"/>
        <color rgb="FF414042"/>
        <rFont val="Times New Roman"/>
        <family val="1"/>
      </rPr>
      <t>Investment in associate</t>
    </r>
  </si>
  <si>
    <r>
      <rPr>
        <sz val="12"/>
        <color rgb="FF414042"/>
        <rFont val="Times New Roman"/>
        <family val="1"/>
      </rPr>
      <t>Convertible loan note</t>
    </r>
  </si>
  <si>
    <r>
      <rPr>
        <sz val="12"/>
        <color rgb="FF414042"/>
        <rFont val="Times New Roman"/>
        <family val="1"/>
      </rPr>
      <t>Current tax asset</t>
    </r>
  </si>
  <si>
    <r>
      <rPr>
        <sz val="12"/>
        <color rgb="FF414042"/>
        <rFont val="Times New Roman"/>
        <family val="1"/>
      </rPr>
      <t>Provision</t>
    </r>
  </si>
  <si>
    <r>
      <rPr>
        <sz val="12"/>
        <color rgb="FF414042"/>
        <rFont val="Times New Roman"/>
        <family val="1"/>
      </rPr>
      <t>Deferred consideration liability</t>
    </r>
  </si>
  <si>
    <r>
      <rPr>
        <sz val="12"/>
        <color rgb="FF414042"/>
        <rFont val="Times New Roman"/>
        <family val="1"/>
      </rPr>
      <t>Lease liabilities</t>
    </r>
  </si>
  <si>
    <r>
      <rPr>
        <sz val="12"/>
        <color rgb="FF414042"/>
        <rFont val="Times New Roman"/>
        <family val="1"/>
      </rPr>
      <t>Loans and borrowings</t>
    </r>
  </si>
  <si>
    <r>
      <rPr>
        <sz val="12"/>
        <color rgb="FF414042"/>
        <rFont val="Times New Roman"/>
        <family val="1"/>
      </rPr>
      <t>Liabilities directly associated with the assets held for sale</t>
    </r>
  </si>
  <si>
    <r>
      <rPr>
        <sz val="12"/>
        <color rgb="FF241C5C"/>
        <rFont val="Times New Roman"/>
        <family val="1"/>
      </rPr>
      <t>–</t>
    </r>
  </si>
  <si>
    <r>
      <rPr>
        <sz val="12"/>
        <color rgb="FF414042"/>
        <rFont val="Times New Roman"/>
        <family val="1"/>
      </rPr>
      <t>Deferred tax liability</t>
    </r>
  </si>
  <si>
    <r>
      <rPr>
        <sz val="12"/>
        <color rgb="FF414042"/>
        <rFont val="Times New Roman"/>
        <family val="1"/>
      </rPr>
      <t>Share capital</t>
    </r>
  </si>
  <si>
    <r>
      <rPr>
        <sz val="12"/>
        <color rgb="FF414042"/>
        <rFont val="Times New Roman"/>
        <family val="1"/>
      </rPr>
      <t>Share premium</t>
    </r>
  </si>
  <si>
    <r>
      <rPr>
        <sz val="12"/>
        <color rgb="FF414042"/>
        <rFont val="Times New Roman"/>
        <family val="1"/>
      </rPr>
      <t>Merger reserve</t>
    </r>
  </si>
  <si>
    <r>
      <rPr>
        <sz val="12"/>
        <color rgb="FF414042"/>
        <rFont val="Times New Roman"/>
        <family val="1"/>
      </rPr>
      <t>Share-based payment reserve</t>
    </r>
  </si>
  <si>
    <r>
      <rPr>
        <sz val="12"/>
        <color rgb="FF414042"/>
        <rFont val="Times New Roman"/>
        <family val="1"/>
      </rPr>
      <t>Translation reserve</t>
    </r>
  </si>
  <si>
    <r>
      <rPr>
        <sz val="12"/>
        <color rgb="FF414042"/>
        <rFont val="Times New Roman"/>
        <family val="1"/>
      </rPr>
      <t>Retained earnings</t>
    </r>
  </si>
  <si>
    <t>DAYS</t>
  </si>
  <si>
    <t>Inventories</t>
  </si>
  <si>
    <t>Trade and other receivables</t>
  </si>
  <si>
    <t>Trade and other payables</t>
  </si>
  <si>
    <t>Property, plant and equipment</t>
  </si>
  <si>
    <t>Net investment in finance lease receivables</t>
  </si>
  <si>
    <t>Assets held for sale</t>
  </si>
  <si>
    <t>Other intangible assets</t>
  </si>
  <si>
    <t>Goodwill</t>
  </si>
  <si>
    <t>Investment in associate</t>
  </si>
  <si>
    <t>Convertible loan note</t>
  </si>
  <si>
    <t>Current tax asset</t>
  </si>
  <si>
    <t>Provision</t>
  </si>
  <si>
    <t>Deferred consideration liability</t>
  </si>
  <si>
    <t>Lease liabilities</t>
  </si>
  <si>
    <t>Loans and borrowings</t>
  </si>
  <si>
    <t>Liabilities directly associated with the assets held for sale</t>
  </si>
  <si>
    <t>Deferred tax liability</t>
  </si>
  <si>
    <t>Share capital</t>
  </si>
  <si>
    <t>Share premium</t>
  </si>
  <si>
    <t>Merger reserve</t>
  </si>
  <si>
    <t>Share-based payment reserve</t>
  </si>
  <si>
    <t>Translation reserve</t>
  </si>
  <si>
    <t>Retained earnings</t>
  </si>
  <si>
    <t>Finance Interest</t>
  </si>
  <si>
    <t>Lease interest</t>
  </si>
  <si>
    <t>amortization - intangible asset</t>
  </si>
  <si>
    <t>amortization - goodwill</t>
  </si>
  <si>
    <t>PPE Schedule</t>
  </si>
  <si>
    <t>Goodwill Schedule</t>
  </si>
  <si>
    <t>Intangible Asset Schedule</t>
  </si>
  <si>
    <t>Lease Schedule</t>
  </si>
  <si>
    <t>Depreciation</t>
  </si>
  <si>
    <t>Additions</t>
  </si>
  <si>
    <t>Balance c/d</t>
  </si>
  <si>
    <t>Balance b/d</t>
  </si>
  <si>
    <t>Total Amortization</t>
  </si>
  <si>
    <t>Interest</t>
  </si>
  <si>
    <t>Additions/Payments</t>
  </si>
  <si>
    <t>Loan Schedule</t>
  </si>
  <si>
    <t>Finance cost</t>
  </si>
  <si>
    <t xml:space="preserve">Cash and cash equivalents </t>
  </si>
  <si>
    <t>Loan interest</t>
  </si>
  <si>
    <t>Dividend</t>
  </si>
  <si>
    <t xml:space="preserve">Retained earnings </t>
  </si>
  <si>
    <t>Profit</t>
  </si>
  <si>
    <t>Dividends</t>
  </si>
  <si>
    <t>FCF from investing cashflow</t>
  </si>
  <si>
    <t>FCF from financing cashflow</t>
  </si>
  <si>
    <t>ERROR CHECK</t>
  </si>
  <si>
    <t>Total Cash and cash equivalent</t>
  </si>
  <si>
    <t>Cash and cash equivalent b/d</t>
  </si>
  <si>
    <t>Translation reserve ( Difference)</t>
  </si>
  <si>
    <t>ROIC without Goodwill</t>
  </si>
  <si>
    <t>ROIC with Goodwill</t>
  </si>
  <si>
    <t>EBITA</t>
  </si>
  <si>
    <t>Profit Margin</t>
  </si>
  <si>
    <t>Capital Efficiency</t>
  </si>
  <si>
    <t>Invested Capital</t>
  </si>
  <si>
    <t>Growth</t>
  </si>
  <si>
    <t xml:space="preserve">Interest Coverage </t>
  </si>
  <si>
    <t>Interest Expense</t>
  </si>
  <si>
    <t>EBITA/Interest Expense</t>
  </si>
  <si>
    <t>Leverage</t>
  </si>
  <si>
    <t>ROIC</t>
  </si>
  <si>
    <t>Cost of debt after tax</t>
  </si>
  <si>
    <t xml:space="preserve">Debt </t>
  </si>
  <si>
    <t>ROE</t>
  </si>
  <si>
    <t>Eexpected Market Return</t>
  </si>
  <si>
    <t>Risk Free rate</t>
  </si>
  <si>
    <t xml:space="preserve">Market Premium </t>
  </si>
  <si>
    <t>Cost of Equity</t>
  </si>
  <si>
    <t xml:space="preserve">Risk free rate </t>
  </si>
  <si>
    <t>Market Risk Premium</t>
  </si>
  <si>
    <t>Beta</t>
  </si>
  <si>
    <t>COE</t>
  </si>
  <si>
    <t>Cost of Debt</t>
  </si>
  <si>
    <t>Z=1.2(X1)+1.4(X2)+3.3(X3)+0.6(X4)+1.0(X5)</t>
  </si>
  <si>
    <t>Z-Score</t>
  </si>
  <si>
    <t>X1 = Working Capital/Total Assets</t>
  </si>
  <si>
    <t>X2 = Retained Earnings /Total Assets</t>
  </si>
  <si>
    <t>X3 = EBIT/Total Assets</t>
  </si>
  <si>
    <t>X4 = Market value of equity /Book value of total liablities</t>
  </si>
  <si>
    <t>X5 = Sales /Total</t>
  </si>
  <si>
    <t>Z</t>
  </si>
  <si>
    <t xml:space="preserve">Cost of Debt </t>
  </si>
  <si>
    <t>Basic point over the 10-years treasury</t>
  </si>
  <si>
    <t>Cost of debt before tax</t>
  </si>
  <si>
    <t>Corporate tax</t>
  </si>
  <si>
    <t>Calculation of WACC</t>
  </si>
  <si>
    <t>Total</t>
  </si>
  <si>
    <t xml:space="preserve">WACC </t>
  </si>
  <si>
    <t>Market Value</t>
  </si>
  <si>
    <t>Proportion</t>
  </si>
  <si>
    <t>Forecast 2023</t>
  </si>
  <si>
    <t>P/L</t>
  </si>
  <si>
    <t>Operating taxes</t>
  </si>
  <si>
    <t>Non-Operating taxes</t>
  </si>
  <si>
    <t xml:space="preserve">Marginal rate </t>
  </si>
  <si>
    <t>Non-Operating expense</t>
  </si>
  <si>
    <t>Operating Tax rate</t>
  </si>
  <si>
    <t>Continning Value</t>
  </si>
  <si>
    <t>Dividend/Net Income</t>
  </si>
  <si>
    <t>Continuing Value</t>
  </si>
  <si>
    <t>RONIC</t>
  </si>
  <si>
    <t>WACC</t>
  </si>
  <si>
    <t>Year</t>
  </si>
  <si>
    <t>Free Cash Flow</t>
  </si>
  <si>
    <t>Discount Factor 5.77%</t>
  </si>
  <si>
    <t>PC of FCF</t>
  </si>
  <si>
    <t>PV of FCF</t>
  </si>
  <si>
    <t>Value of Operation</t>
  </si>
  <si>
    <t xml:space="preserve">Contribution </t>
  </si>
  <si>
    <t>DCF</t>
  </si>
  <si>
    <t>Present Value of CV</t>
  </si>
  <si>
    <t>Economic Profit</t>
  </si>
  <si>
    <t>Economic Profit in year 1</t>
  </si>
  <si>
    <t>Value of operation</t>
  </si>
  <si>
    <t xml:space="preserve">Invested Capital </t>
  </si>
  <si>
    <t>PV (economic profit)</t>
  </si>
  <si>
    <t>PV (continuing value)</t>
  </si>
  <si>
    <t>Enterprise Value</t>
  </si>
  <si>
    <t>DCF Value of Opearation</t>
  </si>
  <si>
    <t>Equity Value</t>
  </si>
  <si>
    <t>2022</t>
  </si>
  <si>
    <t>Forecast Income Paypoint Plc</t>
  </si>
  <si>
    <t>Forecast statement of financial position</t>
  </si>
  <si>
    <t>Forecast Statement Of Cash Flows</t>
  </si>
  <si>
    <t>Value per Share</t>
  </si>
  <si>
    <t>Number of Shares</t>
  </si>
  <si>
    <t>EV/EBITA</t>
  </si>
  <si>
    <t>P/E</t>
  </si>
  <si>
    <t>Model Economically Consistent</t>
  </si>
  <si>
    <t>Model Technically Robust</t>
  </si>
  <si>
    <t>Corporate Tax</t>
  </si>
  <si>
    <t xml:space="preserve">Exceptional item </t>
  </si>
  <si>
    <t>Return(LSE)</t>
  </si>
  <si>
    <t>Return(PAY)</t>
  </si>
  <si>
    <t>Adj Close (LSE)</t>
  </si>
  <si>
    <t>Adj Close (PAY)</t>
  </si>
  <si>
    <t>Date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</si>
  <si>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</si>
  <si>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</si>
  <si>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</si>
  <si>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</si>
  <si>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</si>
  <si>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</si>
  <si>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</si>
  <si>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</si>
  <si>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</si>
  <si>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</si>
  <si>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</si>
  <si>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</si>
  <si>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</si>
  <si>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</si>
  <si>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</si>
  <si>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</si>
  <si>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</si>
  <si>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</si>
  <si>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</si>
  <si>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</si>
  <si>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</si>
  <si>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</si>
  <si>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</si>
  <si>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</si>
  <si>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Assumptions</t>
  </si>
  <si>
    <t>Forecast &gt;&gt;&gt;</t>
  </si>
  <si>
    <t>History &gt;&gt;&gt;</t>
  </si>
  <si>
    <t>GBP'Million</t>
  </si>
  <si>
    <t>Suppoting Schedules</t>
  </si>
  <si>
    <t>PayPoint Plc</t>
  </si>
  <si>
    <t>Reorganizng of Income Statement</t>
  </si>
  <si>
    <t>Reorganizing Balance Sheet</t>
  </si>
  <si>
    <t>Reorganizing Statement Of Cash Flows</t>
  </si>
  <si>
    <t xml:space="preserve"> Income Paypoint Plc</t>
  </si>
  <si>
    <t xml:space="preserve"> Statement Of Cash Flows</t>
  </si>
  <si>
    <t>Charts &amp; Graphs</t>
  </si>
  <si>
    <t>Income Statement</t>
  </si>
  <si>
    <t>Net Income Margin</t>
  </si>
  <si>
    <t>Cash Flow</t>
  </si>
  <si>
    <t>Operations</t>
  </si>
  <si>
    <t>Investing</t>
  </si>
  <si>
    <t>Financing</t>
  </si>
  <si>
    <t>Change in Cash</t>
  </si>
  <si>
    <t xml:space="preserve"> Statement of Financial Position</t>
  </si>
  <si>
    <t>Invested Capital (2023)</t>
  </si>
  <si>
    <t>Share Price Senstivity</t>
  </si>
  <si>
    <t xml:space="preserve"> Growth</t>
  </si>
  <si>
    <t>NOPLAT Margin</t>
  </si>
  <si>
    <t>Increase/(Decrease) in Cash and Equivalents</t>
  </si>
  <si>
    <t>Cash Flow Statement</t>
  </si>
  <si>
    <t>Year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</si>
</sst>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_);\(0.000\)"/>
    <numFmt numFmtId="167" formatCode="0_);\(0\)"/>
    <numFmt numFmtId="168" formatCode="0.0000"/>
    <numFmt numFmtId="169" formatCode="0.00000"/>
    <numFmt numFmtId="170" formatCode="0.00_);\(0.00\)"/>
    <numFmt numFmtId="171" formatCode="0.0%"/>
    <numFmt numFmtId="172" formatCode="_-* #,##0.00_-;\(#,##0.00\)_-;_-* &quot;-&quot;_-;_-@_-"/>
  </numFmts>
  <fonts count="5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41C5C"/>
      <name val="Times New Roman"/>
      <family val="1"/>
    </font>
    <font>
      <sz val="12"/>
      <color rgb="FF414042"/>
      <name val="Times New Roman"/>
      <family val="1"/>
    </font>
    <font>
      <sz val="12"/>
      <color rgb="FF0070C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name val="Times New Roman"/>
      <family val="1"/>
    </font>
    <font>
      <sz val="11"/>
      <color theme="1" tint="4.9989318521683403E-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Bookman"/>
      <family val="1"/>
    </font>
    <font>
      <sz val="12"/>
      <color rgb="FF002060"/>
      <name val="Times New Roman"/>
      <family val="1"/>
    </font>
    <font>
      <b/>
      <sz val="12"/>
      <color rgb="FF002060"/>
      <name val="Times New Roman"/>
      <family val="1"/>
    </font>
    <font>
      <sz val="12"/>
      <color rgb="FFFFFF00"/>
      <name val="Times New Roman"/>
      <family val="1"/>
    </font>
    <font>
      <b/>
      <sz val="12"/>
      <color rgb="FFFFFF00"/>
      <name val="Times New Roman"/>
      <family val="1"/>
    </font>
    <font>
      <b/>
      <sz val="14"/>
      <color rgb="FF002060"/>
      <name val="Times New Roman"/>
      <family val="1"/>
    </font>
    <font>
      <i/>
      <sz val="12"/>
      <color rgb="FFFFFF00"/>
      <name val="Times New Roman"/>
      <family val="1"/>
    </font>
    <font>
      <b/>
      <sz val="11"/>
      <color theme="1" tint="4.9989318521683403E-2"/>
      <name val="Times New Roman"/>
      <family val="1"/>
    </font>
    <font>
      <sz val="11"/>
      <color rgb="FF002060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0"/>
      <name val="Bookman"/>
    </font>
    <font>
      <u/>
      <sz val="10"/>
      <color theme="10"/>
      <name val="Arial"/>
      <family val="2"/>
    </font>
    <font>
      <sz val="12"/>
      <color theme="0"/>
      <name val="Times New Roman"/>
      <family val="1"/>
    </font>
    <font>
      <sz val="12"/>
      <color theme="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0000FF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rgb="FF002060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8" applyNumberFormat="0" applyFont="0" applyAlignment="0" applyProtection="0"/>
    <xf numFmtId="43" fontId="3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9" fontId="4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47" fillId="0" borderId="0" applyNumberFormat="0" applyFill="0" applyBorder="0" applyAlignment="0" applyProtection="0"/>
  </cellStyleXfs>
  <cellXfs count="193">
    <xf numFmtId="0" fontId="0" fillId="0" borderId="0" xfId="0"/>
    <xf numFmtId="0" fontId="4" fillId="0" borderId="0" xfId="0" applyFont="1"/>
    <xf numFmtId="9" fontId="4" fillId="0" borderId="0" xfId="1" applyFont="1"/>
    <xf numFmtId="165" fontId="4" fillId="0" borderId="0" xfId="0" applyNumberFormat="1" applyFont="1"/>
    <xf numFmtId="166" fontId="4" fillId="0" borderId="0" xfId="0" applyNumberFormat="1" applyFont="1"/>
    <xf numFmtId="167" fontId="8" fillId="0" borderId="0" xfId="0" applyNumberFormat="1" applyFont="1"/>
    <xf numFmtId="167" fontId="4" fillId="0" borderId="0" xfId="0" applyNumberFormat="1" applyFont="1"/>
    <xf numFmtId="0" fontId="26" fillId="0" borderId="0" xfId="0" applyFont="1"/>
    <xf numFmtId="166" fontId="27" fillId="0" borderId="0" xfId="0" applyNumberFormat="1" applyFont="1"/>
    <xf numFmtId="166" fontId="28" fillId="0" borderId="0" xfId="0" applyNumberFormat="1" applyFont="1"/>
    <xf numFmtId="0" fontId="29" fillId="0" borderId="0" xfId="0" applyFont="1"/>
    <xf numFmtId="0" fontId="27" fillId="0" borderId="0" xfId="0" applyFont="1"/>
    <xf numFmtId="9" fontId="26" fillId="0" borderId="0" xfId="0" applyNumberFormat="1" applyFont="1"/>
    <xf numFmtId="0" fontId="30" fillId="0" borderId="0" xfId="0" applyFont="1" applyAlignment="1">
      <alignment horizontal="center" vertical="center"/>
    </xf>
    <xf numFmtId="166" fontId="31" fillId="0" borderId="0" xfId="0" applyNumberFormat="1" applyFont="1"/>
    <xf numFmtId="2" fontId="9" fillId="0" borderId="0" xfId="0" applyNumberFormat="1" applyFont="1"/>
    <xf numFmtId="0" fontId="36" fillId="0" borderId="0" xfId="0" applyFont="1"/>
    <xf numFmtId="9" fontId="36" fillId="0" borderId="0" xfId="1" applyFont="1"/>
    <xf numFmtId="1" fontId="36" fillId="0" borderId="0" xfId="0" applyNumberFormat="1" applyFont="1"/>
    <xf numFmtId="165" fontId="36" fillId="0" borderId="0" xfId="0" applyNumberFormat="1" applyFont="1"/>
    <xf numFmtId="0" fontId="36" fillId="33" borderId="0" xfId="0" applyFont="1" applyFill="1"/>
    <xf numFmtId="0" fontId="37" fillId="33" borderId="0" xfId="0" applyFont="1" applyFill="1"/>
    <xf numFmtId="0" fontId="9" fillId="0" borderId="0" xfId="0" applyFont="1"/>
    <xf numFmtId="0" fontId="9" fillId="33" borderId="0" xfId="0" applyFont="1" applyFill="1"/>
    <xf numFmtId="167" fontId="31" fillId="0" borderId="0" xfId="1" applyNumberFormat="1" applyFont="1"/>
    <xf numFmtId="167" fontId="31" fillId="0" borderId="0" xfId="0" applyNumberFormat="1" applyFont="1"/>
    <xf numFmtId="9" fontId="31" fillId="0" borderId="0" xfId="1" applyFont="1"/>
    <xf numFmtId="166" fontId="31" fillId="0" borderId="0" xfId="1" applyNumberFormat="1" applyFont="1"/>
    <xf numFmtId="0" fontId="31" fillId="0" borderId="0" xfId="0" applyFont="1"/>
    <xf numFmtId="166" fontId="8" fillId="0" borderId="0" xfId="0" applyNumberFormat="1" applyFont="1"/>
    <xf numFmtId="167" fontId="36" fillId="0" borderId="0" xfId="1" applyNumberFormat="1" applyFont="1"/>
    <xf numFmtId="166" fontId="36" fillId="0" borderId="0" xfId="0" applyNumberFormat="1" applyFont="1"/>
    <xf numFmtId="166" fontId="31" fillId="34" borderId="0" xfId="0" applyNumberFormat="1" applyFont="1" applyFill="1"/>
    <xf numFmtId="166" fontId="38" fillId="34" borderId="0" xfId="0" applyNumberFormat="1" applyFont="1" applyFill="1"/>
    <xf numFmtId="167" fontId="39" fillId="34" borderId="0" xfId="0" applyNumberFormat="1" applyFont="1" applyFill="1"/>
    <xf numFmtId="166" fontId="31" fillId="33" borderId="0" xfId="0" applyNumberFormat="1" applyFont="1" applyFill="1"/>
    <xf numFmtId="166" fontId="36" fillId="33" borderId="0" xfId="0" applyNumberFormat="1" applyFont="1" applyFill="1"/>
    <xf numFmtId="167" fontId="37" fillId="33" borderId="0" xfId="0" applyNumberFormat="1" applyFont="1" applyFill="1"/>
    <xf numFmtId="166" fontId="40" fillId="33" borderId="0" xfId="0" applyNumberFormat="1" applyFont="1" applyFill="1"/>
    <xf numFmtId="166" fontId="37" fillId="33" borderId="0" xfId="0" applyNumberFormat="1" applyFont="1" applyFill="1"/>
    <xf numFmtId="166" fontId="41" fillId="34" borderId="0" xfId="0" applyNumberFormat="1" applyFont="1" applyFill="1"/>
    <xf numFmtId="166" fontId="39" fillId="34" borderId="0" xfId="0" applyNumberFormat="1" applyFont="1" applyFill="1"/>
    <xf numFmtId="0" fontId="37" fillId="34" borderId="0" xfId="0" applyFont="1" applyFill="1"/>
    <xf numFmtId="166" fontId="4" fillId="34" borderId="0" xfId="0" applyNumberFormat="1" applyFont="1" applyFill="1"/>
    <xf numFmtId="0" fontId="39" fillId="34" borderId="0" xfId="0" applyFont="1" applyFill="1"/>
    <xf numFmtId="166" fontId="27" fillId="0" borderId="13" xfId="0" applyNumberFormat="1" applyFont="1" applyBorder="1"/>
    <xf numFmtId="166" fontId="28" fillId="0" borderId="13" xfId="0" applyNumberFormat="1" applyFont="1" applyBorder="1"/>
    <xf numFmtId="166" fontId="4" fillId="0" borderId="13" xfId="0" applyNumberFormat="1" applyFont="1" applyBorder="1"/>
    <xf numFmtId="166" fontId="9" fillId="0" borderId="13" xfId="0" applyNumberFormat="1" applyFont="1" applyBorder="1"/>
    <xf numFmtId="0" fontId="38" fillId="34" borderId="0" xfId="0" applyFont="1" applyFill="1"/>
    <xf numFmtId="0" fontId="27" fillId="0" borderId="13" xfId="0" applyFont="1" applyBorder="1"/>
    <xf numFmtId="0" fontId="28" fillId="0" borderId="0" xfId="0" applyFont="1"/>
    <xf numFmtId="166" fontId="7" fillId="0" borderId="13" xfId="0" applyNumberFormat="1" applyFont="1" applyBorder="1"/>
    <xf numFmtId="167" fontId="4" fillId="0" borderId="13" xfId="0" applyNumberFormat="1" applyFont="1" applyBorder="1"/>
    <xf numFmtId="0" fontId="9" fillId="0" borderId="13" xfId="0" applyFont="1" applyBorder="1"/>
    <xf numFmtId="0" fontId="4" fillId="0" borderId="13" xfId="0" applyFont="1" applyBorder="1"/>
    <xf numFmtId="166" fontId="31" fillId="0" borderId="13" xfId="0" applyNumberFormat="1" applyFont="1" applyBorder="1"/>
    <xf numFmtId="0" fontId="27" fillId="34" borderId="14" xfId="0" applyFont="1" applyFill="1" applyBorder="1"/>
    <xf numFmtId="0" fontId="27" fillId="34" borderId="13" xfId="0" applyFont="1" applyFill="1" applyBorder="1"/>
    <xf numFmtId="0" fontId="34" fillId="34" borderId="0" xfId="0" applyFont="1" applyFill="1"/>
    <xf numFmtId="166" fontId="34" fillId="0" borderId="13" xfId="0" applyNumberFormat="1" applyFont="1" applyBorder="1"/>
    <xf numFmtId="10" fontId="34" fillId="0" borderId="13" xfId="1" applyNumberFormat="1" applyFont="1" applyBorder="1"/>
    <xf numFmtId="166" fontId="33" fillId="0" borderId="16" xfId="0" applyNumberFormat="1" applyFont="1" applyBorder="1"/>
    <xf numFmtId="166" fontId="33" fillId="0" borderId="17" xfId="0" applyNumberFormat="1" applyFont="1" applyBorder="1"/>
    <xf numFmtId="166" fontId="34" fillId="0" borderId="19" xfId="0" applyNumberFormat="1" applyFont="1" applyBorder="1"/>
    <xf numFmtId="10" fontId="34" fillId="0" borderId="19" xfId="1" applyNumberFormat="1" applyFont="1" applyBorder="1"/>
    <xf numFmtId="10" fontId="34" fillId="0" borderId="21" xfId="1" applyNumberFormat="1" applyFont="1" applyBorder="1"/>
    <xf numFmtId="10" fontId="34" fillId="0" borderId="22" xfId="1" applyNumberFormat="1" applyFont="1" applyBorder="1"/>
    <xf numFmtId="166" fontId="33" fillId="0" borderId="23" xfId="0" applyNumberFormat="1" applyFont="1" applyBorder="1"/>
    <xf numFmtId="166" fontId="34" fillId="0" borderId="24" xfId="0" applyNumberFormat="1" applyFont="1" applyBorder="1"/>
    <xf numFmtId="10" fontId="34" fillId="0" borderId="24" xfId="1" applyNumberFormat="1" applyFont="1" applyBorder="1"/>
    <xf numFmtId="10" fontId="34" fillId="0" borderId="25" xfId="1" applyNumberFormat="1" applyFont="1" applyBorder="1"/>
    <xf numFmtId="166" fontId="32" fillId="0" borderId="17" xfId="0" applyNumberFormat="1" applyFont="1" applyBorder="1"/>
    <xf numFmtId="166" fontId="32" fillId="0" borderId="23" xfId="0" applyNumberFormat="1" applyFont="1" applyBorder="1"/>
    <xf numFmtId="166" fontId="42" fillId="0" borderId="26" xfId="0" applyNumberFormat="1" applyFont="1" applyBorder="1"/>
    <xf numFmtId="166" fontId="32" fillId="0" borderId="27" xfId="0" applyNumberFormat="1" applyFont="1" applyBorder="1"/>
    <xf numFmtId="166" fontId="32" fillId="0" borderId="28" xfId="0" applyNumberFormat="1" applyFont="1" applyBorder="1"/>
    <xf numFmtId="10" fontId="4" fillId="0" borderId="13" xfId="1" applyNumberFormat="1" applyFont="1" applyBorder="1"/>
    <xf numFmtId="10" fontId="9" fillId="0" borderId="13" xfId="1" applyNumberFormat="1" applyFont="1" applyBorder="1"/>
    <xf numFmtId="164" fontId="4" fillId="0" borderId="13" xfId="2" applyFont="1" applyBorder="1"/>
    <xf numFmtId="10" fontId="4" fillId="0" borderId="13" xfId="0" applyNumberFormat="1" applyFont="1" applyBorder="1"/>
    <xf numFmtId="0" fontId="4" fillId="0" borderId="15" xfId="0" applyFont="1" applyBorder="1"/>
    <xf numFmtId="10" fontId="4" fillId="0" borderId="17" xfId="0" applyNumberFormat="1" applyFont="1" applyBorder="1"/>
    <xf numFmtId="0" fontId="4" fillId="0" borderId="18" xfId="0" applyFont="1" applyBorder="1"/>
    <xf numFmtId="10" fontId="4" fillId="0" borderId="19" xfId="0" applyNumberFormat="1" applyFont="1" applyBorder="1"/>
    <xf numFmtId="0" fontId="4" fillId="0" borderId="19" xfId="0" applyFont="1" applyBorder="1"/>
    <xf numFmtId="168" fontId="34" fillId="0" borderId="19" xfId="43" applyNumberFormat="1" applyFont="1" applyBorder="1"/>
    <xf numFmtId="0" fontId="9" fillId="0" borderId="20" xfId="0" applyFont="1" applyBorder="1"/>
    <xf numFmtId="10" fontId="9" fillId="0" borderId="22" xfId="0" applyNumberFormat="1" applyFont="1" applyBorder="1"/>
    <xf numFmtId="169" fontId="4" fillId="0" borderId="19" xfId="0" applyNumberFormat="1" applyFont="1" applyBorder="1"/>
    <xf numFmtId="0" fontId="4" fillId="0" borderId="20" xfId="0" applyFont="1" applyBorder="1"/>
    <xf numFmtId="169" fontId="9" fillId="0" borderId="22" xfId="0" applyNumberFormat="1" applyFont="1" applyBorder="1"/>
    <xf numFmtId="169" fontId="4" fillId="0" borderId="0" xfId="0" applyNumberFormat="1" applyFont="1"/>
    <xf numFmtId="10" fontId="4" fillId="0" borderId="0" xfId="0" applyNumberFormat="1" applyFont="1"/>
    <xf numFmtId="9" fontId="4" fillId="0" borderId="13" xfId="0" applyNumberFormat="1" applyFont="1" applyBorder="1"/>
    <xf numFmtId="10" fontId="4" fillId="0" borderId="21" xfId="0" applyNumberFormat="1" applyFont="1" applyBorder="1"/>
    <xf numFmtId="0" fontId="4" fillId="0" borderId="21" xfId="0" applyFont="1" applyBorder="1"/>
    <xf numFmtId="0" fontId="4" fillId="0" borderId="22" xfId="0" applyFont="1" applyBorder="1"/>
    <xf numFmtId="9" fontId="27" fillId="0" borderId="13" xfId="1" applyFont="1" applyBorder="1"/>
    <xf numFmtId="166" fontId="27" fillId="0" borderId="18" xfId="0" applyNumberFormat="1" applyFont="1" applyBorder="1"/>
    <xf numFmtId="166" fontId="27" fillId="0" borderId="19" xfId="0" applyNumberFormat="1" applyFont="1" applyBorder="1"/>
    <xf numFmtId="9" fontId="27" fillId="0" borderId="19" xfId="1" applyFont="1" applyBorder="1"/>
    <xf numFmtId="166" fontId="28" fillId="0" borderId="20" xfId="0" applyNumberFormat="1" applyFont="1" applyBorder="1"/>
    <xf numFmtId="166" fontId="28" fillId="0" borderId="18" xfId="0" applyNumberFormat="1" applyFont="1" applyBorder="1"/>
    <xf numFmtId="166" fontId="28" fillId="0" borderId="19" xfId="0" applyNumberFormat="1" applyFont="1" applyBorder="1"/>
    <xf numFmtId="166" fontId="28" fillId="0" borderId="21" xfId="0" applyNumberFormat="1" applyFont="1" applyBorder="1"/>
    <xf numFmtId="166" fontId="28" fillId="0" borderId="22" xfId="0" applyNumberFormat="1" applyFont="1" applyBorder="1"/>
    <xf numFmtId="165" fontId="27" fillId="0" borderId="0" xfId="0" applyNumberFormat="1" applyFont="1"/>
    <xf numFmtId="0" fontId="28" fillId="0" borderId="21" xfId="0" applyFont="1" applyBorder="1"/>
    <xf numFmtId="0" fontId="28" fillId="0" borderId="22" xfId="0" applyFont="1" applyBorder="1"/>
    <xf numFmtId="0" fontId="27" fillId="0" borderId="18" xfId="0" applyFont="1" applyBorder="1"/>
    <xf numFmtId="9" fontId="27" fillId="0" borderId="13" xfId="0" applyNumberFormat="1" applyFont="1" applyBorder="1"/>
    <xf numFmtId="9" fontId="27" fillId="0" borderId="19" xfId="0" applyNumberFormat="1" applyFont="1" applyBorder="1"/>
    <xf numFmtId="166" fontId="4" fillId="0" borderId="19" xfId="0" applyNumberFormat="1" applyFont="1" applyBorder="1"/>
    <xf numFmtId="166" fontId="9" fillId="0" borderId="19" xfId="0" applyNumberFormat="1" applyFont="1" applyBorder="1"/>
    <xf numFmtId="166" fontId="9" fillId="0" borderId="21" xfId="0" applyNumberFormat="1" applyFont="1" applyBorder="1"/>
    <xf numFmtId="166" fontId="9" fillId="0" borderId="22" xfId="0" applyNumberFormat="1" applyFont="1" applyBorder="1"/>
    <xf numFmtId="2" fontId="9" fillId="0" borderId="13" xfId="0" applyNumberFormat="1" applyFont="1" applyBorder="1"/>
    <xf numFmtId="2" fontId="4" fillId="0" borderId="13" xfId="0" applyNumberFormat="1" applyFont="1" applyBorder="1"/>
    <xf numFmtId="167" fontId="8" fillId="0" borderId="13" xfId="0" applyNumberFormat="1" applyFont="1" applyBorder="1"/>
    <xf numFmtId="0" fontId="31" fillId="0" borderId="13" xfId="0" applyFont="1" applyBorder="1"/>
    <xf numFmtId="9" fontId="31" fillId="0" borderId="13" xfId="1" applyFont="1" applyBorder="1"/>
    <xf numFmtId="171" fontId="31" fillId="0" borderId="13" xfId="1" applyNumberFormat="1" applyFont="1" applyBorder="1"/>
    <xf numFmtId="170" fontId="31" fillId="0" borderId="0" xfId="0" applyNumberFormat="1" applyFont="1"/>
    <xf numFmtId="170" fontId="31" fillId="0" borderId="13" xfId="0" applyNumberFormat="1" applyFont="1" applyBorder="1"/>
    <xf numFmtId="170" fontId="8" fillId="0" borderId="13" xfId="0" applyNumberFormat="1" applyFont="1" applyBorder="1"/>
    <xf numFmtId="2" fontId="31" fillId="0" borderId="13" xfId="0" applyNumberFormat="1" applyFont="1" applyBorder="1"/>
    <xf numFmtId="2" fontId="8" fillId="0" borderId="13" xfId="0" applyNumberFormat="1" applyFont="1" applyBorder="1"/>
    <xf numFmtId="166" fontId="8" fillId="0" borderId="11" xfId="0" applyNumberFormat="1" applyFont="1" applyBorder="1"/>
    <xf numFmtId="0" fontId="8" fillId="0" borderId="13" xfId="0" applyFont="1" applyBorder="1"/>
    <xf numFmtId="9" fontId="8" fillId="0" borderId="13" xfId="1" applyFont="1" applyBorder="1"/>
    <xf numFmtId="0" fontId="8" fillId="0" borderId="0" xfId="0" applyFont="1"/>
    <xf numFmtId="0" fontId="43" fillId="33" borderId="0" xfId="43" applyFont="1" applyFill="1"/>
    <xf numFmtId="168" fontId="36" fillId="33" borderId="0" xfId="44" applyNumberFormat="1" applyFont="1" applyFill="1"/>
    <xf numFmtId="169" fontId="43" fillId="33" borderId="0" xfId="43" applyNumberFormat="1" applyFont="1" applyFill="1"/>
    <xf numFmtId="0" fontId="34" fillId="0" borderId="0" xfId="43" applyFont="1"/>
    <xf numFmtId="14" fontId="43" fillId="0" borderId="29" xfId="43" applyNumberFormat="1" applyFont="1" applyBorder="1"/>
    <xf numFmtId="0" fontId="43" fillId="0" borderId="29" xfId="43" applyFont="1" applyBorder="1"/>
    <xf numFmtId="168" fontId="36" fillId="0" borderId="29" xfId="44" applyNumberFormat="1" applyFont="1" applyBorder="1"/>
    <xf numFmtId="169" fontId="43" fillId="0" borderId="29" xfId="43" applyNumberFormat="1" applyFont="1" applyBorder="1"/>
    <xf numFmtId="0" fontId="34" fillId="0" borderId="30" xfId="43" applyFont="1" applyBorder="1"/>
    <xf numFmtId="10" fontId="4" fillId="0" borderId="0" xfId="45" applyNumberFormat="1" applyFont="1"/>
    <xf numFmtId="168" fontId="4" fillId="0" borderId="0" xfId="44" applyNumberFormat="1" applyFont="1"/>
    <xf numFmtId="169" fontId="34" fillId="0" borderId="0" xfId="43" applyNumberFormat="1" applyFont="1"/>
    <xf numFmtId="0" fontId="44" fillId="0" borderId="12" xfId="43" applyFont="1" applyBorder="1" applyAlignment="1">
      <alignment horizontal="centerContinuous"/>
    </xf>
    <xf numFmtId="0" fontId="34" fillId="0" borderId="10" xfId="43" applyFont="1" applyBorder="1"/>
    <xf numFmtId="0" fontId="44" fillId="0" borderId="12" xfId="43" applyFont="1" applyBorder="1" applyAlignment="1">
      <alignment horizontal="center"/>
    </xf>
    <xf numFmtId="0" fontId="45" fillId="0" borderId="0" xfId="48"/>
    <xf numFmtId="0" fontId="31" fillId="33" borderId="0" xfId="0" applyFont="1" applyFill="1"/>
    <xf numFmtId="164" fontId="31" fillId="33" borderId="0" xfId="2" applyFont="1" applyFill="1"/>
    <xf numFmtId="10" fontId="31" fillId="33" borderId="0" xfId="1" applyNumberFormat="1" applyFont="1" applyFill="1"/>
    <xf numFmtId="9" fontId="31" fillId="33" borderId="0" xfId="0" applyNumberFormat="1" applyFont="1" applyFill="1"/>
    <xf numFmtId="10" fontId="31" fillId="33" borderId="0" xfId="0" applyNumberFormat="1" applyFont="1" applyFill="1"/>
    <xf numFmtId="9" fontId="50" fillId="0" borderId="0" xfId="1" applyFont="1" applyBorder="1" applyProtection="1">
      <protection locked="0"/>
    </xf>
    <xf numFmtId="9" fontId="51" fillId="0" borderId="0" xfId="1" applyFont="1" applyBorder="1" applyAlignment="1" applyProtection="1">
      <alignment horizontal="centerContinuous"/>
      <protection locked="0"/>
    </xf>
    <xf numFmtId="172" fontId="50" fillId="36" borderId="0" xfId="2" applyNumberFormat="1" applyFont="1" applyFill="1" applyBorder="1" applyProtection="1">
      <protection locked="0"/>
    </xf>
    <xf numFmtId="172" fontId="50" fillId="35" borderId="0" xfId="2" applyNumberFormat="1" applyFont="1" applyFill="1" applyBorder="1" applyProtection="1">
      <protection locked="0"/>
    </xf>
    <xf numFmtId="171" fontId="53" fillId="0" borderId="31" xfId="2" applyNumberFormat="1" applyFont="1" applyBorder="1" applyAlignment="1" applyProtection="1">
      <alignment horizontal="center"/>
      <protection locked="0"/>
    </xf>
    <xf numFmtId="0" fontId="48" fillId="0" borderId="0" xfId="0" applyFont="1"/>
    <xf numFmtId="10" fontId="53" fillId="0" borderId="31" xfId="2" applyNumberFormat="1" applyFont="1" applyBorder="1" applyAlignment="1" applyProtection="1">
      <alignment horizontal="center"/>
      <protection locked="0"/>
    </xf>
    <xf numFmtId="0" fontId="28" fillId="33" borderId="15" xfId="0" applyFont="1" applyFill="1" applyBorder="1"/>
    <xf numFmtId="0" fontId="9" fillId="33" borderId="16" xfId="0" applyFont="1" applyFill="1" applyBorder="1"/>
    <xf numFmtId="0" fontId="9" fillId="33" borderId="17" xfId="0" applyFont="1" applyFill="1" applyBorder="1"/>
    <xf numFmtId="0" fontId="9" fillId="33" borderId="13" xfId="0" applyFont="1" applyFill="1" applyBorder="1"/>
    <xf numFmtId="0" fontId="55" fillId="0" borderId="0" xfId="0" applyFont="1"/>
    <xf numFmtId="0" fontId="56" fillId="33" borderId="0" xfId="0" applyFont="1" applyFill="1" applyAlignment="1">
      <alignment horizontal="centerContinuous"/>
    </xf>
    <xf numFmtId="0" fontId="54" fillId="33" borderId="0" xfId="0" applyFont="1" applyFill="1" applyAlignment="1">
      <alignment horizontal="centerContinuous"/>
    </xf>
    <xf numFmtId="0" fontId="37" fillId="33" borderId="0" xfId="0" applyFont="1" applyFill="1" applyAlignment="1">
      <alignment horizontal="centerContinuous"/>
    </xf>
    <xf numFmtId="0" fontId="39" fillId="34" borderId="32" xfId="0" applyFont="1" applyFill="1" applyBorder="1"/>
    <xf numFmtId="166" fontId="28" fillId="33" borderId="15" xfId="0" applyNumberFormat="1" applyFont="1" applyFill="1" applyBorder="1"/>
    <xf numFmtId="0" fontId="28" fillId="33" borderId="16" xfId="0" applyFont="1" applyFill="1" applyBorder="1"/>
    <xf numFmtId="0" fontId="28" fillId="33" borderId="17" xfId="0" applyFont="1" applyFill="1" applyBorder="1"/>
    <xf numFmtId="166" fontId="28" fillId="33" borderId="16" xfId="0" applyNumberFormat="1" applyFont="1" applyFill="1" applyBorder="1"/>
    <xf numFmtId="0" fontId="37" fillId="33" borderId="33" xfId="0" applyFont="1" applyFill="1" applyBorder="1" applyProtection="1">
      <protection locked="0"/>
    </xf>
    <xf numFmtId="0" fontId="37" fillId="33" borderId="34" xfId="0" applyFont="1" applyFill="1" applyBorder="1" applyProtection="1">
      <protection locked="0"/>
    </xf>
    <xf numFmtId="0" fontId="36" fillId="33" borderId="34" xfId="0" applyFont="1" applyFill="1" applyBorder="1" applyProtection="1">
      <protection locked="0"/>
    </xf>
    <xf numFmtId="0" fontId="36" fillId="33" borderId="35" xfId="0" applyFont="1" applyFill="1" applyBorder="1" applyProtection="1">
      <protection locked="0"/>
    </xf>
    <xf numFmtId="9" fontId="50" fillId="0" borderId="36" xfId="1" applyFont="1" applyBorder="1" applyProtection="1">
      <protection locked="0"/>
    </xf>
    <xf numFmtId="0" fontId="50" fillId="0" borderId="0" xfId="0" applyFont="1" applyBorder="1" applyAlignment="1" applyProtection="1">
      <alignment horizontal="centerContinuous"/>
      <protection locked="0"/>
    </xf>
    <xf numFmtId="0" fontId="50" fillId="0" borderId="37" xfId="0" applyFont="1" applyBorder="1" applyAlignment="1" applyProtection="1">
      <alignment horizontal="centerContinuous"/>
      <protection locked="0"/>
    </xf>
    <xf numFmtId="0" fontId="50" fillId="0" borderId="36" xfId="0" applyFont="1" applyBorder="1" applyProtection="1">
      <protection locked="0"/>
    </xf>
    <xf numFmtId="172" fontId="49" fillId="0" borderId="0" xfId="0" applyNumberFormat="1" applyFont="1" applyBorder="1" applyProtection="1">
      <protection locked="0"/>
    </xf>
    <xf numFmtId="0" fontId="51" fillId="0" borderId="38" xfId="0" applyFont="1" applyBorder="1" applyProtection="1">
      <protection locked="0"/>
    </xf>
    <xf numFmtId="172" fontId="50" fillId="0" borderId="0" xfId="2" applyNumberFormat="1" applyFont="1" applyBorder="1" applyProtection="1">
      <protection locked="0"/>
    </xf>
    <xf numFmtId="172" fontId="50" fillId="0" borderId="37" xfId="2" applyNumberFormat="1" applyFont="1" applyBorder="1" applyProtection="1">
      <protection locked="0"/>
    </xf>
    <xf numFmtId="0" fontId="50" fillId="0" borderId="38" xfId="0" applyFont="1" applyBorder="1" applyProtection="1">
      <protection locked="0"/>
    </xf>
    <xf numFmtId="0" fontId="50" fillId="0" borderId="39" xfId="0" applyFont="1" applyBorder="1" applyProtection="1">
      <protection locked="0"/>
    </xf>
    <xf numFmtId="171" fontId="53" fillId="0" borderId="40" xfId="2" applyNumberFormat="1" applyFont="1" applyBorder="1" applyAlignment="1" applyProtection="1">
      <alignment horizontal="center"/>
      <protection locked="0"/>
    </xf>
    <xf numFmtId="172" fontId="50" fillId="0" borderId="10" xfId="2" applyNumberFormat="1" applyFont="1" applyBorder="1" applyProtection="1">
      <protection locked="0"/>
    </xf>
    <xf numFmtId="172" fontId="50" fillId="0" borderId="41" xfId="2" applyNumberFormat="1" applyFont="1" applyBorder="1" applyProtection="1">
      <protection locked="0"/>
    </xf>
    <xf numFmtId="9" fontId="52" fillId="0" borderId="13" xfId="1" applyFont="1" applyBorder="1" applyProtection="1">
      <protection locked="0"/>
    </xf>
    <xf numFmtId="171" fontId="51" fillId="0" borderId="13" xfId="0" applyNumberFormat="1" applyFont="1" applyBorder="1" applyProtection="1">
      <protection locked="0"/>
    </xf>
    <xf numFmtId="171" fontId="52" fillId="0" borderId="14" xfId="2" applyNumberFormat="1" applyFont="1" applyBorder="1" applyAlignment="1" applyProtection="1">
      <alignment horizontal="center"/>
      <protection locked="0"/>
    </xf>
  </cellXfs>
  <cellStyles count="5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BCE9EBA1-BFDA-40D7-96A4-461E1C189829}"/>
    <cellStyle name="Comma 2 2" xfId="47" xr:uid="{17F2A18C-3EB6-4E99-9502-5F091206C502}"/>
    <cellStyle name="Comma 2 3" xfId="51" xr:uid="{27872D5B-206B-4972-BB5B-A4CFB3569D9C}"/>
    <cellStyle name="Comma 3" xfId="49" xr:uid="{852B44D6-2FC2-46DD-B1DD-E4B8D3F7504B}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 2" xfId="53" xr:uid="{91905714-405B-4FBA-83B7-6E3EEFFBF877}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2DEAA1F2-6494-4164-A990-A8DF4136DA6F}"/>
    <cellStyle name="Normal 2 2" xfId="52" xr:uid="{DBA30A95-89B3-452D-BC85-CBF4AE27BB6C}"/>
    <cellStyle name="Normal 3" xfId="48" xr:uid="{078EF895-CA85-4272-80B4-93BF848705F6}"/>
    <cellStyle name="Note 2" xfId="46" xr:uid="{C480D37F-8ACD-40C2-8CDD-3F22BE58B16A}"/>
    <cellStyle name="Output" xfId="12" builtinId="21" customBuiltin="1"/>
    <cellStyle name="Percent" xfId="1" builtinId="5"/>
    <cellStyle name="Percent 2" xfId="45" xr:uid="{5850BF8E-E179-4AAA-8F6E-11E23280A3B9}"/>
    <cellStyle name="Percent 3" xfId="50" xr:uid="{2A665B68-5CAC-44C1-BE35-5B809F3F4E8F}"/>
    <cellStyle name="Title" xfId="3" builtinId="15" customBuiltin="1"/>
    <cellStyle name="Total" xfId="18" builtinId="25" customBuiltin="1"/>
    <cellStyle name="Warning Text" xfId="16" builtinId="11" customBuiltin="1"/>
  </cellStyles>
  <dxfs count="16"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rgb="FFFFFF00"/>
        <name val="Times New Roman"/>
        <family val="1"/>
        <scheme val="none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color rgb="FF002060"/>
        <name val="Times New Roman"/>
        <family val="1"/>
        <scheme val="none"/>
      </font>
      <numFmt numFmtId="169" formatCode="0.00000"/>
      <border diagonalUp="0" diagonalDown="0" outline="0"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Times New Roman"/>
        <family val="1"/>
        <scheme val="none"/>
      </font>
      <numFmt numFmtId="168" formatCode="0.0000"/>
      <border diagonalUp="0" diagonalDown="0" outline="0"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strike val="0"/>
        <outline val="0"/>
        <shadow val="0"/>
        <u val="none"/>
        <vertAlign val="baseline"/>
        <color rgb="FF002060"/>
        <name val="Times New Roman"/>
        <family val="1"/>
        <scheme val="none"/>
      </font>
      <border diagonalUp="0" diagonalDown="0" outline="0"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strike val="0"/>
        <outline val="0"/>
        <shadow val="0"/>
        <u val="none"/>
        <vertAlign val="baseline"/>
        <color rgb="FF002060"/>
        <name val="Times New Roman"/>
        <family val="1"/>
        <scheme val="none"/>
      </font>
      <border diagonalUp="0" diagonalDown="0" outline="0"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strike val="0"/>
        <outline val="0"/>
        <shadow val="0"/>
        <u val="none"/>
        <vertAlign val="baseline"/>
        <color rgb="FF002060"/>
        <name val="Times New Roman"/>
        <family val="1"/>
        <scheme val="none"/>
      </font>
      <numFmt numFmtId="19" formatCode="dd/mm/yyyy"/>
      <border diagonalUp="0" diagonalDown="0" outline="0"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strike val="0"/>
        <outline val="0"/>
        <shadow val="0"/>
        <u val="none"/>
        <vertAlign val="baseline"/>
        <color rgb="FF00206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rgb="FF002060"/>
        <name val="Times New Roman"/>
        <family val="1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6" formatCode="0.000_);\(0.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6" formatCode="0.000_);\(0.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6" formatCode="0.000_);\(0.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b="1"/>
              <a:t>Income</a:t>
            </a:r>
            <a:r>
              <a:rPr lang="en-GB" b="1" baseline="0"/>
              <a:t> Statement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'Forecast model'!$A$174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'Forecast model'!$B$3:$N$3</c:f>
              <c:numCache>
                <c:formatCode>0_);\(0\)</c:formatCode>
                <c:ptCount val="1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'Forecast model'!$B$174:$N$174</c:f>
              <c:numCache>
                <c:formatCode>0.000_);\(0.000\)</c:formatCode>
                <c:ptCount val="13"/>
                <c:pt idx="0">
                  <c:v>127.747</c:v>
                </c:pt>
                <c:pt idx="1">
                  <c:v>145.14400000000001</c:v>
                </c:pt>
                <c:pt idx="2">
                  <c:v>152.40120000000002</c:v>
                </c:pt>
                <c:pt idx="3">
                  <c:v>160.02126000000001</c:v>
                </c:pt>
                <c:pt idx="4">
                  <c:v>168.02232300000003</c:v>
                </c:pt>
                <c:pt idx="5">
                  <c:v>176.42343915000004</c:v>
                </c:pt>
                <c:pt idx="6">
                  <c:v>185.24461110750005</c:v>
                </c:pt>
                <c:pt idx="7">
                  <c:v>194.50684166287505</c:v>
                </c:pt>
                <c:pt idx="8">
                  <c:v>204.23218374601882</c:v>
                </c:pt>
                <c:pt idx="9">
                  <c:v>214.44379293331977</c:v>
                </c:pt>
                <c:pt idx="10">
                  <c:v>225.16598257998578</c:v>
                </c:pt>
                <c:pt idx="11">
                  <c:v>236.42428170898509</c:v>
                </c:pt>
                <c:pt idx="12">
                  <c:v>248.24549579443436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D-42AA-921C-8E727B58E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019272"/>
        <c:axId val="524019992"/>
      </c:barChart>
      <c:lineChart>
        <c:grouping val="standard"/>
        <c:varyColors val="0"/>
        <c:ser>
          <c:idx val="1"/>
          <c:order val="1"/>
          <c:tx>
            <c:strRef>
              <c:f>'Forecast model'!$A$176</c:f>
              <c:strCache>
                <c:ptCount val="1"/>
                <c:pt idx="0">
                  <c:v>NOPLAT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model'!$B$3:$N$3</c:f>
              <c:numCache>
                <c:formatCode>0_);\(0\)</c:formatCode>
                <c:ptCount val="1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'Forecast model'!$B$176:$N$176</c:f>
              <c:numCache>
                <c:formatCode>0%</c:formatCode>
                <c:ptCount val="13"/>
                <c:pt idx="0">
                  <c:v>0.17447767853648227</c:v>
                </c:pt>
                <c:pt idx="1">
                  <c:v>0.32152896433886352</c:v>
                </c:pt>
                <c:pt idx="2">
                  <c:v>0.38293196145864683</c:v>
                </c:pt>
                <c:pt idx="3">
                  <c:v>0.38415619296655934</c:v>
                </c:pt>
                <c:pt idx="4">
                  <c:v>0.38528714969291677</c:v>
                </c:pt>
                <c:pt idx="5">
                  <c:v>0.3863319382877422</c:v>
                </c:pt>
                <c:pt idx="6">
                  <c:v>0.38729712394200938</c:v>
                </c:pt>
                <c:pt idx="7">
                  <c:v>0.38818877164166571</c:v>
                </c:pt>
                <c:pt idx="8">
                  <c:v>0.38901248427849133</c:v>
                </c:pt>
                <c:pt idx="9">
                  <c:v>0.38977343785727309</c:v>
                </c:pt>
                <c:pt idx="10">
                  <c:v>0.3904764140205283</c:v>
                </c:pt>
                <c:pt idx="11">
                  <c:v>0.39112583009515467</c:v>
                </c:pt>
                <c:pt idx="12">
                  <c:v>0.39172576684980959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D-42AA-921C-8E727B58E825}"/>
            </c:ext>
          </c:extLst>
        </c:ser>
        <c:ser>
          <c:idx val="2"/>
          <c:order val="2"/>
          <c:tx>
            <c:strRef>
              <c:f>'Forecast model'!$A$178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'Forecast model'!$B$3:$N$3</c:f>
              <c:numCache>
                <c:formatCode>0_);\(0\)</c:formatCode>
                <c:ptCount val="1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'Forecast model'!$B$178:$N$178</c:f>
              <c:numCache>
                <c:formatCode>0%</c:formatCode>
                <c:ptCount val="13"/>
                <c:pt idx="0">
                  <c:v>0.22492896114977262</c:v>
                </c:pt>
                <c:pt idx="1">
                  <c:v>0.5350479523783277</c:v>
                </c:pt>
                <c:pt idx="2">
                  <c:v>0.36585401194118899</c:v>
                </c:pt>
                <c:pt idx="3">
                  <c:v>0.36840828546976795</c:v>
                </c:pt>
                <c:pt idx="4">
                  <c:v>0.37332445352188481</c:v>
                </c:pt>
                <c:pt idx="5">
                  <c:v>0.37782966666653967</c:v>
                </c:pt>
                <c:pt idx="6">
                  <c:v>0.38189885624600778</c:v>
                </c:pt>
                <c:pt idx="7">
                  <c:v>0.37919165881499634</c:v>
                </c:pt>
                <c:pt idx="8">
                  <c:v>0.37799561142950844</c:v>
                </c:pt>
                <c:pt idx="9">
                  <c:v>0.37811537135041284</c:v>
                </c:pt>
                <c:pt idx="10">
                  <c:v>0.37937349353780431</c:v>
                </c:pt>
                <c:pt idx="11">
                  <c:v>0.38055162011160804</c:v>
                </c:pt>
                <c:pt idx="12">
                  <c:v>0.3836692259099645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D-42AA-921C-8E727B58E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024312"/>
        <c:axId val="524023952"/>
      </c:lineChart>
      <c:catAx>
        <c:axId val="524019272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rgbClr val="C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4019992"/>
        <c:crosses val="autoZero"/>
        <c:auto val="1"/>
        <c:lblAlgn val="ctr"/>
        <c:lblOffset val="100"/>
        <c:noMultiLvlLbl val="0"/>
      </c:catAx>
      <c:valAx>
        <c:axId val="524019992"/>
        <c:scaling>
          <c:orientation val="minMax"/>
        </c:scaling>
        <c:delete val="0"/>
        <c:axPos val="l"/>
        <c:numFmt formatCode="0.000_);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4019272"/>
        <c:crosses val="autoZero"/>
        <c:crossBetween val="between"/>
      </c:valAx>
      <c:valAx>
        <c:axId val="5240239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4024312"/>
        <c:crosses val="max"/>
        <c:crossBetween val="between"/>
      </c:valAx>
      <c:catAx>
        <c:axId val="524024312"/>
        <c:scaling>
          <c:orientation val="minMax"/>
        </c:scaling>
        <c:delete val="1"/>
        <c:axPos val="b"/>
        <c:numFmt formatCode="0_);\(0\)" sourceLinked="1"/>
        <c:majorTickMark val="out"/>
        <c:minorTickMark val="none"/>
        <c:tickLblPos val="nextTo"/>
        <c:crossAx val="524023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b="1"/>
              <a:t>Cash Flow</a:t>
            </a:r>
            <a:r>
              <a:rPr lang="en-GB" b="1" baseline="0"/>
              <a:t> Statement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'Forecast model'!$A$181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'Forecast model'!$B$3:$N$3</c:f>
              <c:numCache>
                <c:formatCode>0_);\(0\)</c:formatCode>
                <c:ptCount val="1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'Forecast model'!$B$181:$N$181</c:f>
              <c:numCache>
                <c:formatCode>0.000_);\(0.000\)</c:formatCode>
                <c:ptCount val="13"/>
                <c:pt idx="0">
                  <c:v>27.843000000000004</c:v>
                </c:pt>
                <c:pt idx="1">
                  <c:v>71.28</c:v>
                </c:pt>
                <c:pt idx="2">
                  <c:v>57.808104644225267</c:v>
                </c:pt>
                <c:pt idx="3">
                  <c:v>63.31100694204919</c:v>
                </c:pt>
                <c:pt idx="4">
                  <c:v>66.46655592197402</c:v>
                </c:pt>
                <c:pt idx="5">
                  <c:v>69.780182391910429</c:v>
                </c:pt>
                <c:pt idx="6">
                  <c:v>73.259781225128521</c:v>
                </c:pt>
                <c:pt idx="7">
                  <c:v>76.91364230859881</c:v>
                </c:pt>
                <c:pt idx="8">
                  <c:v>80.750470285576242</c:v>
                </c:pt>
                <c:pt idx="9">
                  <c:v>84.779405285556138</c:v>
                </c:pt>
                <c:pt idx="10">
                  <c:v>89.010044690963952</c:v>
                </c:pt>
                <c:pt idx="11">
                  <c:v>93.452465992408236</c:v>
                </c:pt>
                <c:pt idx="12">
                  <c:v>98.117250786917907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3-42E6-A6C2-0AD35195D41C}"/>
            </c:ext>
          </c:extLst>
        </c:ser>
        <c:ser>
          <c:idx val="1"/>
          <c:order val="1"/>
          <c:tx>
            <c:strRef>
              <c:f>'Forecast model'!$A$182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'Forecast model'!$B$3:$N$3</c:f>
              <c:numCache>
                <c:formatCode>0_);\(0\)</c:formatCode>
                <c:ptCount val="1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'Forecast model'!$B$182:$N$182</c:f>
              <c:numCache>
                <c:formatCode>0.000_);\(0.000\)</c:formatCode>
                <c:ptCount val="13"/>
                <c:pt idx="0">
                  <c:v>-63.733999999999995</c:v>
                </c:pt>
                <c:pt idx="1">
                  <c:v>-2.3870000000000005</c:v>
                </c:pt>
                <c:pt idx="2">
                  <c:v>0.75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3-42E6-A6C2-0AD35195D41C}"/>
            </c:ext>
          </c:extLst>
        </c:ser>
        <c:ser>
          <c:idx val="2"/>
          <c:order val="2"/>
          <c:tx>
            <c:strRef>
              <c:f>'Forecast model'!$A$183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'Forecast model'!$B$3:$N$3</c:f>
              <c:numCache>
                <c:formatCode>0_);\(0\)</c:formatCode>
                <c:ptCount val="1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'Forecast model'!$B$183:$N$183</c:f>
              <c:numCache>
                <c:formatCode>0.000_);\(0.000\)</c:formatCode>
                <c:ptCount val="13"/>
                <c:pt idx="0">
                  <c:v>-11.454000000000006</c:v>
                </c:pt>
                <c:pt idx="1">
                  <c:v>-56.719962300319487</c:v>
                </c:pt>
                <c:pt idx="2">
                  <c:v>-26.207977133395456</c:v>
                </c:pt>
                <c:pt idx="3">
                  <c:v>-27.775947410593584</c:v>
                </c:pt>
                <c:pt idx="4">
                  <c:v>-28.908052574035786</c:v>
                </c:pt>
                <c:pt idx="5">
                  <c:v>-29.987402761862715</c:v>
                </c:pt>
                <c:pt idx="6">
                  <c:v>-6.2134115323072301</c:v>
                </c:pt>
                <c:pt idx="7">
                  <c:v>-12.116611582303427</c:v>
                </c:pt>
                <c:pt idx="8">
                  <c:v>-18.149660750598027</c:v>
                </c:pt>
                <c:pt idx="9">
                  <c:v>-24.315348319631973</c:v>
                </c:pt>
                <c:pt idx="10">
                  <c:v>-25.616601631172475</c:v>
                </c:pt>
                <c:pt idx="11">
                  <c:v>-36.981493031423241</c:v>
                </c:pt>
                <c:pt idx="12">
                  <c:v>-38.563247162125791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43-42E6-A6C2-0AD35195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6294096"/>
        <c:axId val="586296256"/>
      </c:barChart>
      <c:lineChart>
        <c:grouping val="standard"/>
        <c:varyColors val="0"/>
        <c:ser>
          <c:idx val="3"/>
          <c:order val="3"/>
          <c:tx>
            <c:strRef>
              <c:f>'Forecast model'!$A$184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'Forecast model'!$B$3:$N$3</c:f>
              <c:numCache>
                <c:formatCode>0_);\(0\)</c:formatCode>
                <c:ptCount val="1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'Forecast model'!$B$184:$N$184</c:f>
              <c:numCache>
                <c:formatCode>0.000_);\(0.000\)</c:formatCode>
                <c:ptCount val="13"/>
                <c:pt idx="0">
                  <c:v>-47.344999999999999</c:v>
                </c:pt>
                <c:pt idx="1">
                  <c:v>12.173037699680513</c:v>
                </c:pt>
                <c:pt idx="2">
                  <c:v>32.350127510829807</c:v>
                </c:pt>
                <c:pt idx="3">
                  <c:v>35.535059531455602</c:v>
                </c:pt>
                <c:pt idx="4">
                  <c:v>37.558503347938235</c:v>
                </c:pt>
                <c:pt idx="5">
                  <c:v>39.792779630047718</c:v>
                </c:pt>
                <c:pt idx="6">
                  <c:v>67.046369692821287</c:v>
                </c:pt>
                <c:pt idx="7">
                  <c:v>64.79703072629539</c:v>
                </c:pt>
                <c:pt idx="8">
                  <c:v>62.600809534978211</c:v>
                </c:pt>
                <c:pt idx="9">
                  <c:v>60.464056965924165</c:v>
                </c:pt>
                <c:pt idx="10">
                  <c:v>63.39344305979148</c:v>
                </c:pt>
                <c:pt idx="11">
                  <c:v>56.470972960984994</c:v>
                </c:pt>
                <c:pt idx="12">
                  <c:v>59.554003624792117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3-42E6-A6C2-0AD35195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94096"/>
        <c:axId val="586296256"/>
      </c:lineChart>
      <c:catAx>
        <c:axId val="586294096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50" b="1" i="1" u="none" strike="noStrike" kern="1200" baseline="0">
                <a:solidFill>
                  <a:srgbClr val="C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6296256"/>
        <c:crosses val="autoZero"/>
        <c:auto val="1"/>
        <c:lblAlgn val="ctr"/>
        <c:lblOffset val="100"/>
        <c:noMultiLvlLbl val="0"/>
      </c:catAx>
      <c:valAx>
        <c:axId val="586296256"/>
        <c:scaling>
          <c:orientation val="minMax"/>
        </c:scaling>
        <c:delete val="0"/>
        <c:axPos val="l"/>
        <c:numFmt formatCode="0.000_);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629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185</xdr:row>
      <xdr:rowOff>209549</xdr:rowOff>
    </xdr:from>
    <xdr:to>
      <xdr:col>3</xdr:col>
      <xdr:colOff>0</xdr:colOff>
      <xdr:row>201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7745F4-C1A5-42CB-8111-10B0BE543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809623</xdr:colOff>
      <xdr:row>186</xdr:row>
      <xdr:rowOff>1</xdr:rowOff>
    </xdr:from>
    <xdr:to>
      <xdr:col>11</xdr:col>
      <xdr:colOff>258223</xdr:colOff>
      <xdr:row>201</xdr:row>
      <xdr:rowOff>189226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5239F0-E5D0-3D5D-C0FF-1E7C873C4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944A5-2B9D-4A20-BEB9-89F18912091E}" name="Table1" displayName="Table1" ref="A23:B28" totalsRowShown="0" headerRowDxfId="1" dataDxfId="15">
  <autoFilter ref="A23:B28" xr:uid="{0A6944A5-2B9D-4A20-BEB9-89F18912091E}"/>
  <tableColumns count="2">
    <tableColumn id="1" xr3:uid="{05D52B9E-E0A2-49BB-9BEA-E641DC402EA8}" name="Cost of Debt " dataDxfId="14"/>
    <tableColumn id="2" xr3:uid="{ACCC6DF6-6057-4BA3-8A45-877CF0376A18}" name="2022" dataDxfId="13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B813A4-6687-40A2-BD09-959C1AF0FD07}" name="Table2" displayName="Table2" ref="A14:C20" totalsRowShown="0" headerRowDxfId="0" dataDxfId="12">
  <autoFilter ref="A14:C20" xr:uid="{73B813A4-6687-40A2-BD09-959C1AF0FD07}"/>
  <tableColumns count="3">
    <tableColumn id="1" xr3:uid="{91DD2062-F484-4F6D-B61D-76C21BCF799B}" name="Retained earnings " dataDxfId="11"/>
    <tableColumn id="2" xr3:uid="{BA483A74-8B83-4923-B1AE-A3B6606ED296}" name="2022" dataDxfId="10"/>
    <tableColumn id="3" xr3:uid="{2A67781C-3CA2-4D0D-ABB7-CF000DF946B4}" name="Forecast 2023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2CFA23-D962-4048-87C5-FBD6286872CF}" name="Table3" displayName="Table3" ref="A1:E62" totalsRowShown="0" headerRowDxfId="8" dataDxfId="7" headerRowCellStyle="Normal 2">
  <autoFilter ref="A1:E62" xr:uid="{D12CFA23-D962-4048-87C5-FBD6286872CF}"/>
  <tableColumns count="5">
    <tableColumn id="1" xr3:uid="{4A770F34-D09F-42BD-BF7F-1ACC108A52B1}" name="Date" dataDxfId="6" dataCellStyle="Normal 2"/>
    <tableColumn id="2" xr3:uid="{40B84299-1D2D-4040-9B3A-F65D523CADC1}" name="Adj Close (PAY)" dataDxfId="5" dataCellStyle="Normal 2"/>
    <tableColumn id="3" xr3:uid="{5976BC85-CA47-4629-AE50-894F9BB28057}" name="Adj Close (LSE)" dataDxfId="4" dataCellStyle="Normal 2"/>
    <tableColumn id="4" xr3:uid="{E31A0E84-4099-435E-933F-5F98E10952CA}" name="Return(PAY)" dataDxfId="3" dataCellStyle="Comma 2">
      <calculatedColumnFormula>LN(B2/B1)</calculatedColumnFormula>
    </tableColumn>
    <tableColumn id="5" xr3:uid="{4D0F1F56-FCFC-4E52-AAE9-077CC20F1EDC}" name="Return(LSE)" dataDxfId="2" dataCellStyle="Normal 2">
      <calculatedColumnFormula>LN(C2/C1)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EC56-B5E7-4DB0-801B-113B8CD38632}">
  <dimension ref="A1:D7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2" sqref="C62:C63"/>
    </sheetView>
  </sheetViews>
  <sheetFormatPr defaultRowHeight="15.75"/>
  <cols>
    <col min="1" max="1" width="58.5" style="1" bestFit="1" customWidth="1"/>
    <col min="2" max="4" width="14.5" style="1" bestFit="1" customWidth="1"/>
    <col min="5" max="16384" width="9" style="1"/>
  </cols>
  <sheetData>
    <row r="1" spans="1:4">
      <c r="A1" s="21" t="s">
        <v>263</v>
      </c>
      <c r="B1" s="33" t="s">
        <v>260</v>
      </c>
      <c r="C1" s="33"/>
      <c r="D1" s="42"/>
    </row>
    <row r="2" spans="1:4">
      <c r="A2" s="21" t="s">
        <v>258</v>
      </c>
      <c r="B2" s="21">
        <v>2020</v>
      </c>
      <c r="C2" s="21">
        <v>2021</v>
      </c>
      <c r="D2" s="21">
        <v>2022</v>
      </c>
    </row>
    <row r="3" spans="1:4">
      <c r="A3" s="22" t="s">
        <v>93</v>
      </c>
      <c r="B3" s="16">
        <v>365</v>
      </c>
      <c r="C3" s="16">
        <v>365</v>
      </c>
      <c r="D3" s="16">
        <v>365</v>
      </c>
    </row>
    <row r="4" spans="1:4">
      <c r="A4" s="22" t="s">
        <v>56</v>
      </c>
      <c r="B4" s="17">
        <v>7.9451355541271251E-3</v>
      </c>
      <c r="C4" s="17">
        <f>C21/B21-1</f>
        <v>-0.40097159764978407</v>
      </c>
      <c r="D4" s="17">
        <f t="shared" ref="D4" si="0">D21/C21-1</f>
        <v>0.13618323717973801</v>
      </c>
    </row>
    <row r="5" spans="1:4">
      <c r="A5" s="22" t="s">
        <v>57</v>
      </c>
      <c r="B5" s="17">
        <f>-B22/B21</f>
        <v>0.51403236470549618</v>
      </c>
      <c r="C5" s="17">
        <f>-C22/C21</f>
        <v>0.35605532810946638</v>
      </c>
      <c r="D5" s="17">
        <f>-D22/D21</f>
        <v>0.33570109684175714</v>
      </c>
    </row>
    <row r="6" spans="1:4">
      <c r="A6" s="22" t="s">
        <v>58</v>
      </c>
      <c r="B6" s="17">
        <f>-B24/B21</f>
        <v>0</v>
      </c>
      <c r="C6" s="17">
        <f>-C24/C21</f>
        <v>3.221993471470954E-2</v>
      </c>
      <c r="D6" s="17">
        <f>-D24/D21</f>
        <v>2.9081463925480902E-2</v>
      </c>
    </row>
    <row r="7" spans="1:4">
      <c r="A7" s="22" t="s">
        <v>59</v>
      </c>
      <c r="B7" s="17">
        <f>-B25/B21</f>
        <v>0</v>
      </c>
      <c r="C7" s="17">
        <f>-C25/C21</f>
        <v>2.93079289533218E-2</v>
      </c>
      <c r="D7" s="17">
        <f>-D25/D21</f>
        <v>2.3459460949126383E-2</v>
      </c>
    </row>
    <row r="8" spans="1:4">
      <c r="A8" s="22" t="s">
        <v>60</v>
      </c>
      <c r="B8" s="17">
        <f>-B26/B21</f>
        <v>0.21874076818111482</v>
      </c>
      <c r="C8" s="17">
        <f>-C26/C21</f>
        <v>0.40793912968602003</v>
      </c>
      <c r="D8" s="17">
        <f>-D26/D21</f>
        <v>0.28333930441492583</v>
      </c>
    </row>
    <row r="9" spans="1:4">
      <c r="A9" s="22" t="s">
        <v>61</v>
      </c>
      <c r="B9" s="17">
        <f>-B28/B27</f>
        <v>0.19532182213799396</v>
      </c>
      <c r="C9" s="17">
        <f>-C28/C27</f>
        <v>0</v>
      </c>
      <c r="D9" s="17">
        <f>-D28/D27</f>
        <v>-2.0978434169673574E-2</v>
      </c>
    </row>
    <row r="10" spans="1:4">
      <c r="A10" s="22" t="s">
        <v>62</v>
      </c>
      <c r="B10" s="18">
        <f>(B44/-B22)*B3</f>
        <v>0.71254595378622709</v>
      </c>
      <c r="C10" s="18">
        <f>(C44/-C22)*C3</f>
        <v>4.212927338683083</v>
      </c>
      <c r="D10" s="18">
        <f>(D44/-D22)*D3</f>
        <v>2.4870189840944077</v>
      </c>
    </row>
    <row r="11" spans="1:4">
      <c r="A11" s="22" t="s">
        <v>63</v>
      </c>
      <c r="B11" s="18">
        <f>(B45/B21)*B3</f>
        <v>185.47724107532224</v>
      </c>
      <c r="C11" s="18">
        <f>(C45/C21)*C3</f>
        <v>198.79323976296897</v>
      </c>
      <c r="D11" s="18">
        <f>(D45/D21)*D3</f>
        <v>191.05767375847432</v>
      </c>
    </row>
    <row r="12" spans="1:4">
      <c r="A12" s="22" t="s">
        <v>64</v>
      </c>
      <c r="B12" s="18">
        <f>(B48/-B22)*B3</f>
        <v>495.1728227255727</v>
      </c>
      <c r="C12" s="18">
        <f>(C48/-C22)*C3</f>
        <v>822.5560074749917</v>
      </c>
      <c r="D12" s="18">
        <f>(D48/-D22)*D3</f>
        <v>691.9830682401232</v>
      </c>
    </row>
    <row r="13" spans="1:4">
      <c r="A13" s="22" t="s">
        <v>65</v>
      </c>
      <c r="B13" s="19">
        <f>B67</f>
        <v>0.94100000000000006</v>
      </c>
      <c r="C13" s="19">
        <f>C67</f>
        <v>0.44700000000000001</v>
      </c>
      <c r="D13" s="19">
        <f>D67</f>
        <v>0.26</v>
      </c>
    </row>
    <row r="14" spans="1:4">
      <c r="A14" s="22" t="s">
        <v>66</v>
      </c>
      <c r="B14" s="19">
        <f>B21/B51</f>
        <v>8.5852254428341386</v>
      </c>
      <c r="C14" s="19">
        <f>C21/C51</f>
        <v>5.9753496421722243</v>
      </c>
      <c r="D14" s="19">
        <f>D21/D51</f>
        <v>6.6634836103204487</v>
      </c>
    </row>
    <row r="15" spans="1:4">
      <c r="A15" s="22" t="s">
        <v>67</v>
      </c>
      <c r="B15" s="19">
        <f>B68</f>
        <v>70</v>
      </c>
      <c r="C15" s="19">
        <f>C68</f>
        <v>86.582999999999998</v>
      </c>
      <c r="D15" s="19">
        <f>D68</f>
        <v>51.533999999999999</v>
      </c>
    </row>
    <row r="16" spans="1:4">
      <c r="A16" s="22" t="s">
        <v>26</v>
      </c>
      <c r="B16" s="19">
        <f>B72</f>
        <v>0.22800000000000001</v>
      </c>
      <c r="C16" s="19">
        <f>C72</f>
        <v>0.22900000000000001</v>
      </c>
      <c r="D16" s="19">
        <f>D72</f>
        <v>0.23</v>
      </c>
    </row>
    <row r="20" spans="1:4" s="22" customFormat="1">
      <c r="A20" s="21" t="s">
        <v>0</v>
      </c>
      <c r="B20" s="23"/>
      <c r="C20" s="23"/>
      <c r="D20" s="23"/>
    </row>
    <row r="21" spans="1:4">
      <c r="A21" s="1" t="s">
        <v>1</v>
      </c>
      <c r="B21" s="1">
        <v>213.25700000000001</v>
      </c>
      <c r="C21" s="1">
        <v>127.747</v>
      </c>
      <c r="D21" s="1">
        <v>145.14400000000001</v>
      </c>
    </row>
    <row r="22" spans="1:4">
      <c r="A22" s="1" t="s">
        <v>11</v>
      </c>
      <c r="B22" s="1">
        <v>-109.621</v>
      </c>
      <c r="C22" s="1">
        <v>-45.484999999999999</v>
      </c>
      <c r="D22" s="1">
        <v>-48.725000000000001</v>
      </c>
    </row>
    <row r="23" spans="1:4" s="22" customFormat="1">
      <c r="A23" s="22" t="s">
        <v>2</v>
      </c>
      <c r="B23" s="22">
        <v>103.63600000000001</v>
      </c>
      <c r="C23" s="22">
        <v>82.262</v>
      </c>
      <c r="D23" s="22">
        <v>96.419000000000011</v>
      </c>
    </row>
    <row r="24" spans="1:4">
      <c r="A24" s="1" t="s">
        <v>3</v>
      </c>
      <c r="C24" s="1">
        <v>-4.1159999999999997</v>
      </c>
      <c r="D24" s="1">
        <v>-4.2210000000000001</v>
      </c>
    </row>
    <row r="25" spans="1:4">
      <c r="A25" s="1" t="s">
        <v>4</v>
      </c>
      <c r="C25" s="1">
        <v>-3.7440000000000002</v>
      </c>
      <c r="D25" s="1">
        <v>-3.4049999999999998</v>
      </c>
    </row>
    <row r="26" spans="1:4">
      <c r="A26" s="1" t="s">
        <v>5</v>
      </c>
      <c r="B26" s="1">
        <v>-46.648000000000003</v>
      </c>
      <c r="C26" s="1">
        <v>-52.113</v>
      </c>
      <c r="D26" s="1">
        <v>-41.125</v>
      </c>
    </row>
    <row r="27" spans="1:4" s="22" customFormat="1">
      <c r="A27" s="22" t="s">
        <v>6</v>
      </c>
      <c r="B27" s="22">
        <v>56.988000000000007</v>
      </c>
      <c r="C27" s="22">
        <v>22.289000000000001</v>
      </c>
      <c r="D27" s="22">
        <v>47.668000000000006</v>
      </c>
    </row>
    <row r="28" spans="1:4">
      <c r="A28" s="1" t="s">
        <v>7</v>
      </c>
      <c r="B28" s="1">
        <v>-11.131</v>
      </c>
      <c r="C28" s="1">
        <v>0</v>
      </c>
      <c r="D28" s="1">
        <v>1</v>
      </c>
    </row>
    <row r="29" spans="1:4" s="22" customFormat="1">
      <c r="A29" s="22" t="s">
        <v>8</v>
      </c>
      <c r="B29" s="22">
        <v>45.857000000000006</v>
      </c>
      <c r="C29" s="22">
        <v>22.289000000000001</v>
      </c>
      <c r="D29" s="22">
        <v>46.668000000000006</v>
      </c>
    </row>
    <row r="30" spans="1:4">
      <c r="A30" s="1" t="s">
        <v>12</v>
      </c>
      <c r="B30" s="1">
        <v>-0.18899999999999995</v>
      </c>
      <c r="C30" s="1">
        <v>2.1999999999999999E-2</v>
      </c>
      <c r="D30" s="1">
        <v>1.2999999999999999E-2</v>
      </c>
    </row>
    <row r="31" spans="1:4">
      <c r="A31" s="1" t="s">
        <v>13</v>
      </c>
      <c r="C31" s="1">
        <v>6.423</v>
      </c>
      <c r="D31" s="1">
        <v>0.14799999999999999</v>
      </c>
    </row>
    <row r="32" spans="1:4">
      <c r="A32" s="1" t="s">
        <v>14</v>
      </c>
      <c r="C32" s="1" t="s">
        <v>9</v>
      </c>
      <c r="D32" s="1">
        <v>29.863</v>
      </c>
    </row>
    <row r="33" spans="1:4">
      <c r="A33" s="1" t="s">
        <v>15</v>
      </c>
      <c r="C33" s="1" t="s">
        <v>9</v>
      </c>
      <c r="D33" s="1">
        <v>2.88</v>
      </c>
    </row>
    <row r="34" spans="1:4" s="22" customFormat="1">
      <c r="A34" s="22" t="s">
        <v>10</v>
      </c>
      <c r="B34" s="22">
        <v>45.668000000000006</v>
      </c>
      <c r="C34" s="22">
        <v>28.734000000000002</v>
      </c>
      <c r="D34" s="22">
        <v>79.572000000000003</v>
      </c>
    </row>
    <row r="37" spans="1:4" s="22" customFormat="1">
      <c r="A37" s="22" t="s">
        <v>54</v>
      </c>
    </row>
    <row r="38" spans="1:4">
      <c r="A38" s="1" t="s">
        <v>55</v>
      </c>
      <c r="B38" s="1">
        <v>45.479000000000006</v>
      </c>
      <c r="C38" s="1">
        <v>28.756</v>
      </c>
      <c r="D38" s="1">
        <v>79.585000000000008</v>
      </c>
    </row>
    <row r="39" spans="1:4">
      <c r="A39" s="1" t="s">
        <v>48</v>
      </c>
      <c r="B39" s="1">
        <v>0.18899999999999995</v>
      </c>
      <c r="C39" s="1">
        <v>-2.1999999999999999E-2</v>
      </c>
      <c r="D39" s="1">
        <v>-1.2999999999999999E-2</v>
      </c>
    </row>
    <row r="40" spans="1:4" s="22" customFormat="1">
      <c r="A40" s="22" t="s">
        <v>10</v>
      </c>
      <c r="B40" s="22">
        <v>45.668000000000006</v>
      </c>
      <c r="C40" s="22">
        <v>28.734000000000002</v>
      </c>
      <c r="D40" s="22">
        <v>79.572000000000003</v>
      </c>
    </row>
    <row r="43" spans="1:4" s="22" customFormat="1">
      <c r="A43" s="21" t="s">
        <v>16</v>
      </c>
      <c r="B43" s="23"/>
      <c r="C43" s="23"/>
      <c r="D43" s="23"/>
    </row>
    <row r="44" spans="1:4">
      <c r="A44" s="1" t="s">
        <v>68</v>
      </c>
      <c r="B44" s="1">
        <v>0.214</v>
      </c>
      <c r="C44" s="1">
        <v>0.52500000000000002</v>
      </c>
      <c r="D44" s="1">
        <v>0.33200000000000002</v>
      </c>
    </row>
    <row r="45" spans="1:4">
      <c r="A45" s="1" t="s">
        <v>69</v>
      </c>
      <c r="B45" s="1">
        <v>108.36799999999999</v>
      </c>
      <c r="C45" s="1">
        <v>69.575999999999993</v>
      </c>
      <c r="D45" s="1">
        <v>75.974999999999994</v>
      </c>
    </row>
    <row r="46" spans="1:4">
      <c r="A46" s="1" t="s">
        <v>70</v>
      </c>
      <c r="B46" s="1">
        <v>93.774000000000001</v>
      </c>
      <c r="C46" s="1">
        <v>38.94</v>
      </c>
      <c r="D46" s="1">
        <v>24.298999999999999</v>
      </c>
    </row>
    <row r="47" spans="1:4">
      <c r="A47" s="1" t="s">
        <v>17</v>
      </c>
      <c r="B47" s="1">
        <v>202.35599999999999</v>
      </c>
      <c r="C47" s="1">
        <v>109.041</v>
      </c>
      <c r="D47" s="1">
        <v>100.60599999999999</v>
      </c>
    </row>
    <row r="48" spans="1:4">
      <c r="A48" s="1" t="s">
        <v>71</v>
      </c>
      <c r="B48" s="1">
        <v>148.71600000000001</v>
      </c>
      <c r="C48" s="1">
        <v>102.504</v>
      </c>
      <c r="D48" s="1">
        <v>92.375</v>
      </c>
    </row>
    <row r="49" spans="1:4" s="22" customFormat="1">
      <c r="A49" s="22" t="s">
        <v>18</v>
      </c>
      <c r="B49" s="22">
        <v>148.71600000000001</v>
      </c>
      <c r="C49" s="22">
        <v>102.504</v>
      </c>
      <c r="D49" s="22">
        <v>92.375</v>
      </c>
    </row>
    <row r="50" spans="1:4" s="22" customFormat="1">
      <c r="A50" s="22" t="s">
        <v>19</v>
      </c>
      <c r="B50" s="22">
        <v>53.639999999999986</v>
      </c>
      <c r="C50" s="22">
        <v>6.5369999999999919</v>
      </c>
      <c r="D50" s="22">
        <v>8.2309999999999945</v>
      </c>
    </row>
    <row r="51" spans="1:4">
      <c r="A51" s="1" t="s">
        <v>72</v>
      </c>
      <c r="B51" s="1">
        <v>24.84</v>
      </c>
      <c r="C51" s="1">
        <v>21.379000000000001</v>
      </c>
      <c r="D51" s="1">
        <v>21.782</v>
      </c>
    </row>
    <row r="52" spans="1:4">
      <c r="A52" s="1" t="s">
        <v>73</v>
      </c>
      <c r="B52" s="1">
        <v>0</v>
      </c>
      <c r="C52" s="1">
        <v>6.5110000000000001</v>
      </c>
      <c r="D52" s="1">
        <v>4.407</v>
      </c>
    </row>
    <row r="53" spans="1:4">
      <c r="A53" s="1" t="s">
        <v>74</v>
      </c>
      <c r="B53" s="1">
        <v>0</v>
      </c>
      <c r="C53" s="1">
        <v>57.353000000000002</v>
      </c>
      <c r="D53" s="1" t="s">
        <v>20</v>
      </c>
    </row>
    <row r="54" spans="1:4" s="22" customFormat="1">
      <c r="A54" s="22" t="s">
        <v>21</v>
      </c>
      <c r="B54" s="22">
        <v>78.47999999999999</v>
      </c>
      <c r="C54" s="22">
        <v>91.78</v>
      </c>
      <c r="D54" s="22">
        <v>34.419999999999995</v>
      </c>
    </row>
    <row r="55" spans="1:4">
      <c r="A55" s="1" t="s">
        <v>75</v>
      </c>
      <c r="B55" s="1">
        <v>17.274000000000001</v>
      </c>
      <c r="C55" s="1">
        <v>35.716999999999999</v>
      </c>
      <c r="D55" s="1">
        <v>35.99</v>
      </c>
    </row>
    <row r="56" spans="1:4">
      <c r="A56" s="1" t="s">
        <v>76</v>
      </c>
      <c r="B56" s="1">
        <v>11.853</v>
      </c>
      <c r="C56" s="1">
        <v>52.085000000000001</v>
      </c>
      <c r="D56" s="1">
        <v>57.667999999999999</v>
      </c>
    </row>
    <row r="57" spans="1:4" s="22" customFormat="1">
      <c r="A57" s="22" t="s">
        <v>22</v>
      </c>
      <c r="B57" s="22">
        <v>107.60699999999999</v>
      </c>
      <c r="C57" s="22">
        <v>179.58199999999999</v>
      </c>
      <c r="D57" s="22">
        <v>128.078</v>
      </c>
    </row>
    <row r="59" spans="1:4">
      <c r="A59" s="1" t="s">
        <v>77</v>
      </c>
      <c r="C59" s="1" t="s">
        <v>20</v>
      </c>
      <c r="D59" s="1">
        <v>6.7389999999999999</v>
      </c>
    </row>
    <row r="60" spans="1:4">
      <c r="A60" s="1" t="s">
        <v>78</v>
      </c>
      <c r="C60" s="1" t="s">
        <v>20</v>
      </c>
      <c r="D60" s="1">
        <v>0.75</v>
      </c>
    </row>
    <row r="61" spans="1:4">
      <c r="A61" s="1" t="s">
        <v>79</v>
      </c>
      <c r="B61" s="1">
        <v>1.1555</v>
      </c>
      <c r="C61" s="1">
        <v>2.8319999999999999</v>
      </c>
      <c r="D61" s="1">
        <v>4.1909999999999998</v>
      </c>
    </row>
    <row r="62" spans="1:4" s="22" customFormat="1">
      <c r="A62" s="22" t="s">
        <v>23</v>
      </c>
      <c r="B62" s="22">
        <v>108.76249999999999</v>
      </c>
      <c r="C62" s="22">
        <v>182.41399999999999</v>
      </c>
      <c r="D62" s="22">
        <v>139.75800000000001</v>
      </c>
    </row>
    <row r="64" spans="1:4" s="22" customFormat="1">
      <c r="A64" s="22" t="s">
        <v>24</v>
      </c>
    </row>
    <row r="65" spans="1:4">
      <c r="A65" s="1" t="s">
        <v>80</v>
      </c>
      <c r="C65" s="1">
        <v>12.5</v>
      </c>
      <c r="D65" s="1" t="s">
        <v>9</v>
      </c>
    </row>
    <row r="66" spans="1:4">
      <c r="A66" s="1" t="s">
        <v>81</v>
      </c>
      <c r="C66" s="1">
        <v>5.7469999999999999</v>
      </c>
      <c r="D66" s="1">
        <v>1</v>
      </c>
    </row>
    <row r="67" spans="1:4">
      <c r="A67" s="1" t="s">
        <v>82</v>
      </c>
      <c r="B67" s="1">
        <v>0.94100000000000006</v>
      </c>
      <c r="C67" s="1">
        <v>0.44700000000000001</v>
      </c>
      <c r="D67" s="1">
        <v>0.26</v>
      </c>
    </row>
    <row r="68" spans="1:4">
      <c r="A68" s="1" t="s">
        <v>83</v>
      </c>
      <c r="B68" s="1">
        <v>70</v>
      </c>
      <c r="C68" s="1">
        <v>86.582999999999998</v>
      </c>
      <c r="D68" s="1">
        <v>51.533999999999999</v>
      </c>
    </row>
    <row r="69" spans="1:4">
      <c r="A69" s="1" t="s">
        <v>84</v>
      </c>
      <c r="C69" s="1">
        <v>40.866</v>
      </c>
      <c r="D69" s="1" t="s">
        <v>85</v>
      </c>
    </row>
    <row r="70" spans="1:4">
      <c r="A70" s="1" t="s">
        <v>86</v>
      </c>
      <c r="C70" s="1">
        <v>2.9710000000000001</v>
      </c>
      <c r="D70" s="1">
        <v>3.706</v>
      </c>
    </row>
    <row r="71" spans="1:4" s="22" customFormat="1">
      <c r="A71" s="22" t="s">
        <v>25</v>
      </c>
      <c r="B71" s="22">
        <v>70.941000000000003</v>
      </c>
      <c r="C71" s="22">
        <v>149.114</v>
      </c>
      <c r="D71" s="22">
        <v>56.5</v>
      </c>
    </row>
    <row r="72" spans="1:4">
      <c r="A72" s="1" t="s">
        <v>87</v>
      </c>
      <c r="B72" s="1">
        <v>0.22800000000000001</v>
      </c>
      <c r="C72" s="1">
        <v>0.22900000000000001</v>
      </c>
      <c r="D72" s="1">
        <v>0.23</v>
      </c>
    </row>
    <row r="73" spans="1:4">
      <c r="A73" s="1" t="s">
        <v>88</v>
      </c>
      <c r="B73" s="1">
        <v>4.4850000000000003</v>
      </c>
      <c r="C73" s="1">
        <v>4.9749999999999996</v>
      </c>
      <c r="D73" s="1">
        <v>1</v>
      </c>
    </row>
    <row r="74" spans="1:4">
      <c r="A74" s="1" t="s">
        <v>89</v>
      </c>
      <c r="C74" s="1">
        <v>0.999</v>
      </c>
      <c r="D74" s="1">
        <v>0.999</v>
      </c>
    </row>
    <row r="75" spans="1:4">
      <c r="A75" s="1" t="s">
        <v>90</v>
      </c>
      <c r="B75" s="1">
        <v>1.875</v>
      </c>
      <c r="C75" s="1">
        <v>2.0049999999999999</v>
      </c>
      <c r="D75" s="1">
        <v>1.57</v>
      </c>
    </row>
    <row r="76" spans="1:4">
      <c r="A76" s="1" t="s">
        <v>91</v>
      </c>
      <c r="B76" s="1">
        <v>-0.73299999999999998</v>
      </c>
      <c r="C76" s="1">
        <v>-1.645</v>
      </c>
      <c r="D76" s="1" t="s">
        <v>85</v>
      </c>
    </row>
    <row r="77" spans="1:4">
      <c r="A77" s="1" t="s">
        <v>92</v>
      </c>
      <c r="B77" s="1">
        <v>32.33</v>
      </c>
      <c r="C77" s="1">
        <v>26.736999999999998</v>
      </c>
      <c r="D77" s="1">
        <v>79.459000000000003</v>
      </c>
    </row>
    <row r="78" spans="1:4">
      <c r="A78" s="1" t="s">
        <v>26</v>
      </c>
      <c r="B78" s="1">
        <v>38.185000000000002</v>
      </c>
      <c r="C78" s="1">
        <v>33.299999999999997</v>
      </c>
      <c r="D78" s="1">
        <v>83.25800000000001</v>
      </c>
    </row>
    <row r="79" spans="1:4" s="22" customFormat="1">
      <c r="A79" s="22" t="s">
        <v>27</v>
      </c>
      <c r="B79" s="22">
        <v>109.126</v>
      </c>
      <c r="C79" s="22">
        <v>182.41399999999999</v>
      </c>
      <c r="D79" s="22">
        <v>139.75800000000001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8EEE-11B7-4DDF-A690-4D1853616DFC}">
  <dimension ref="A1:Z221"/>
  <sheetViews>
    <sheetView tabSelected="1" workbookViewId="0">
      <pane ySplit="3" topLeftCell="A4" activePane="bottomLeft" state="frozen"/>
      <selection pane="bottomLeft" activeCell="A226" sqref="A226"/>
    </sheetView>
  </sheetViews>
  <sheetFormatPr defaultRowHeight="15.75" outlineLevelRow="1"/>
  <cols>
    <col min="1" max="1" width="57.75" style="14" customWidth="1"/>
    <col min="2" max="2" width="9" style="14" bestFit="1" customWidth="1"/>
    <col min="3" max="3" width="11" style="14" bestFit="1" customWidth="1"/>
    <col min="4" max="14" width="10.625" style="14" customWidth="1"/>
    <col min="15" max="16384" width="9" style="14"/>
  </cols>
  <sheetData>
    <row r="1" spans="1:26">
      <c r="A1" s="44" t="s">
        <v>263</v>
      </c>
      <c r="B1" s="33" t="s">
        <v>260</v>
      </c>
      <c r="C1" s="33"/>
      <c r="D1" s="33" t="s">
        <v>259</v>
      </c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26">
      <c r="A2" s="32"/>
      <c r="B2" s="33" t="s">
        <v>261</v>
      </c>
      <c r="C2" s="33" t="s">
        <v>261</v>
      </c>
      <c r="D2" s="33" t="s">
        <v>261</v>
      </c>
      <c r="E2" s="33" t="s">
        <v>261</v>
      </c>
      <c r="F2" s="33" t="s">
        <v>261</v>
      </c>
      <c r="G2" s="33" t="s">
        <v>261</v>
      </c>
      <c r="H2" s="33" t="s">
        <v>261</v>
      </c>
      <c r="I2" s="33" t="s">
        <v>261</v>
      </c>
      <c r="J2" s="33" t="s">
        <v>261</v>
      </c>
      <c r="K2" s="33" t="s">
        <v>261</v>
      </c>
      <c r="L2" s="33" t="s">
        <v>261</v>
      </c>
      <c r="M2" s="33" t="s">
        <v>261</v>
      </c>
      <c r="N2" s="33" t="s">
        <v>261</v>
      </c>
    </row>
    <row r="3" spans="1:26">
      <c r="A3" s="32"/>
      <c r="B3" s="34">
        <v>2021</v>
      </c>
      <c r="C3" s="34">
        <v>2022</v>
      </c>
      <c r="D3" s="34">
        <v>2023</v>
      </c>
      <c r="E3" s="34">
        <v>2024</v>
      </c>
      <c r="F3" s="34">
        <v>2025</v>
      </c>
      <c r="G3" s="34">
        <v>2026</v>
      </c>
      <c r="H3" s="34">
        <v>2027</v>
      </c>
      <c r="I3" s="34">
        <v>2028</v>
      </c>
      <c r="J3" s="34">
        <v>2029</v>
      </c>
      <c r="K3" s="34">
        <v>2030</v>
      </c>
      <c r="L3" s="34">
        <v>2031</v>
      </c>
      <c r="M3" s="34">
        <v>2032</v>
      </c>
      <c r="N3" s="34">
        <v>2033</v>
      </c>
    </row>
    <row r="4" spans="1:26">
      <c r="A4" s="39" t="s">
        <v>258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26" outlineLevel="1">
      <c r="A5" s="25" t="s">
        <v>93</v>
      </c>
      <c r="B5" s="30">
        <v>365</v>
      </c>
      <c r="C5" s="30">
        <v>365</v>
      </c>
      <c r="D5" s="24">
        <v>365</v>
      </c>
      <c r="E5" s="24">
        <v>365</v>
      </c>
      <c r="F5" s="24">
        <v>365</v>
      </c>
      <c r="G5" s="24">
        <v>365</v>
      </c>
      <c r="H5" s="24">
        <v>365</v>
      </c>
      <c r="I5" s="24">
        <v>365</v>
      </c>
      <c r="J5" s="24">
        <v>365</v>
      </c>
      <c r="K5" s="24">
        <v>365</v>
      </c>
      <c r="L5" s="24">
        <v>365</v>
      </c>
      <c r="M5" s="24">
        <v>365</v>
      </c>
      <c r="N5" s="24">
        <v>365</v>
      </c>
      <c r="O5" s="5"/>
      <c r="P5" s="5"/>
      <c r="Q5" s="5"/>
      <c r="R5" s="5"/>
      <c r="S5" s="5"/>
      <c r="T5" s="5"/>
    </row>
    <row r="6" spans="1:26" s="25" customFormat="1" outlineLevel="1">
      <c r="A6" s="14" t="s">
        <v>56</v>
      </c>
      <c r="B6" s="17">
        <v>-0.40097159764978407</v>
      </c>
      <c r="C6" s="17">
        <v>0.13618323717973801</v>
      </c>
      <c r="D6" s="26">
        <f>Valuation!C1</f>
        <v>0.05</v>
      </c>
      <c r="E6" s="26">
        <f>D6</f>
        <v>0.05</v>
      </c>
      <c r="F6" s="26">
        <f t="shared" ref="F6:N6" si="0">E6</f>
        <v>0.05</v>
      </c>
      <c r="G6" s="26">
        <f t="shared" si="0"/>
        <v>0.05</v>
      </c>
      <c r="H6" s="26">
        <f t="shared" si="0"/>
        <v>0.05</v>
      </c>
      <c r="I6" s="26">
        <f t="shared" si="0"/>
        <v>0.05</v>
      </c>
      <c r="J6" s="26">
        <f t="shared" si="0"/>
        <v>0.05</v>
      </c>
      <c r="K6" s="26">
        <f t="shared" si="0"/>
        <v>0.05</v>
      </c>
      <c r="L6" s="26">
        <f t="shared" si="0"/>
        <v>0.05</v>
      </c>
      <c r="M6" s="26">
        <f t="shared" si="0"/>
        <v>0.05</v>
      </c>
      <c r="N6" s="26">
        <f t="shared" si="0"/>
        <v>0.05</v>
      </c>
    </row>
    <row r="7" spans="1:26" outlineLevel="1">
      <c r="A7" s="14" t="s">
        <v>57</v>
      </c>
      <c r="B7" s="17">
        <v>0.35605532810946638</v>
      </c>
      <c r="C7" s="17">
        <v>0.33570109684175714</v>
      </c>
      <c r="D7" s="26">
        <v>0.3</v>
      </c>
      <c r="E7" s="26">
        <v>0.3</v>
      </c>
      <c r="F7" s="26">
        <v>0.3</v>
      </c>
      <c r="G7" s="26">
        <v>0.3</v>
      </c>
      <c r="H7" s="26">
        <v>0.3</v>
      </c>
      <c r="I7" s="26">
        <v>0.3</v>
      </c>
      <c r="J7" s="26">
        <v>0.3</v>
      </c>
      <c r="K7" s="26">
        <v>0.3</v>
      </c>
      <c r="L7" s="26">
        <v>0.3</v>
      </c>
      <c r="M7" s="26">
        <v>0.3</v>
      </c>
      <c r="N7" s="26">
        <v>0.3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outlineLevel="1">
      <c r="A8" s="14" t="s">
        <v>58</v>
      </c>
      <c r="B8" s="17">
        <v>3.221993471470954E-2</v>
      </c>
      <c r="C8" s="17">
        <v>2.9081463925480902E-2</v>
      </c>
      <c r="D8" s="26">
        <v>0.03</v>
      </c>
      <c r="E8" s="26">
        <v>0.03</v>
      </c>
      <c r="F8" s="26">
        <v>0.03</v>
      </c>
      <c r="G8" s="26">
        <v>0.03</v>
      </c>
      <c r="H8" s="26">
        <v>0.03</v>
      </c>
      <c r="I8" s="26">
        <v>0.03</v>
      </c>
      <c r="J8" s="26">
        <v>0.03</v>
      </c>
      <c r="K8" s="26">
        <v>0.03</v>
      </c>
      <c r="L8" s="26">
        <v>0.03</v>
      </c>
      <c r="M8" s="26">
        <v>0.03</v>
      </c>
      <c r="N8" s="26">
        <v>0.03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outlineLevel="1">
      <c r="A9" s="14" t="s">
        <v>119</v>
      </c>
      <c r="B9" s="17">
        <v>2.93079289533218E-2</v>
      </c>
      <c r="C9" s="17">
        <v>2.3459460949126383E-2</v>
      </c>
      <c r="D9" s="26">
        <v>0.03</v>
      </c>
      <c r="E9" s="26">
        <v>0.03</v>
      </c>
      <c r="F9" s="26">
        <v>0.03</v>
      </c>
      <c r="G9" s="26">
        <v>0.03</v>
      </c>
      <c r="H9" s="26">
        <v>0.03</v>
      </c>
      <c r="I9" s="26">
        <v>0.03</v>
      </c>
      <c r="J9" s="26">
        <v>0.03</v>
      </c>
      <c r="K9" s="26">
        <v>0.03</v>
      </c>
      <c r="L9" s="26">
        <v>0.03</v>
      </c>
      <c r="M9" s="26">
        <v>0.03</v>
      </c>
      <c r="N9" s="26">
        <v>0.03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outlineLevel="1">
      <c r="A10" s="14" t="s">
        <v>120</v>
      </c>
      <c r="B10" s="17"/>
      <c r="C10" s="17">
        <v>0.02</v>
      </c>
      <c r="D10" s="26">
        <v>0.03</v>
      </c>
      <c r="E10" s="26">
        <v>0.03</v>
      </c>
      <c r="F10" s="26">
        <v>0.03</v>
      </c>
      <c r="G10" s="26">
        <v>0.03</v>
      </c>
      <c r="H10" s="26">
        <v>0.03</v>
      </c>
      <c r="I10" s="26">
        <v>0.03</v>
      </c>
      <c r="J10" s="26">
        <v>0.03</v>
      </c>
      <c r="K10" s="26">
        <v>0.03</v>
      </c>
      <c r="L10" s="26">
        <v>0.03</v>
      </c>
      <c r="M10" s="26">
        <v>0.03</v>
      </c>
      <c r="N10" s="26">
        <v>0.03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outlineLevel="1">
      <c r="A11" s="14" t="s">
        <v>60</v>
      </c>
      <c r="B11" s="17">
        <v>0.40793912968602003</v>
      </c>
      <c r="C11" s="17">
        <v>0.28333930441492583</v>
      </c>
      <c r="D11" s="26">
        <v>0.25</v>
      </c>
      <c r="E11" s="26">
        <v>0.25</v>
      </c>
      <c r="F11" s="26">
        <v>0.25</v>
      </c>
      <c r="G11" s="26">
        <v>0.25</v>
      </c>
      <c r="H11" s="26">
        <v>0.25</v>
      </c>
      <c r="I11" s="26">
        <v>0.25</v>
      </c>
      <c r="J11" s="26">
        <v>0.25</v>
      </c>
      <c r="K11" s="26">
        <v>0.25</v>
      </c>
      <c r="L11" s="26">
        <v>0.25</v>
      </c>
      <c r="M11" s="26">
        <v>0.25</v>
      </c>
      <c r="N11" s="26">
        <v>0.25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outlineLevel="1">
      <c r="A12" s="14" t="s">
        <v>61</v>
      </c>
      <c r="B12" s="17">
        <v>0</v>
      </c>
      <c r="C12" s="17">
        <v>-2.0978434169673574E-2</v>
      </c>
      <c r="D12" s="26">
        <v>0.05</v>
      </c>
      <c r="E12" s="26">
        <v>0.05</v>
      </c>
      <c r="F12" s="26">
        <v>0.05</v>
      </c>
      <c r="G12" s="26">
        <v>0.05</v>
      </c>
      <c r="H12" s="26">
        <v>0.05</v>
      </c>
      <c r="I12" s="26">
        <v>0.05</v>
      </c>
      <c r="J12" s="26">
        <v>0.05</v>
      </c>
      <c r="K12" s="26">
        <v>0.05</v>
      </c>
      <c r="L12" s="26">
        <v>0.05</v>
      </c>
      <c r="M12" s="26">
        <v>0.05</v>
      </c>
      <c r="N12" s="26">
        <v>0.05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outlineLevel="1">
      <c r="A13" s="14" t="s">
        <v>62</v>
      </c>
      <c r="B13" s="31">
        <v>4.212927338683083</v>
      </c>
      <c r="C13" s="31">
        <v>2.4870189840944077</v>
      </c>
      <c r="D13" s="27">
        <v>3</v>
      </c>
      <c r="E13" s="27">
        <v>3</v>
      </c>
      <c r="F13" s="27">
        <v>3</v>
      </c>
      <c r="G13" s="27">
        <v>3</v>
      </c>
      <c r="H13" s="27">
        <v>3</v>
      </c>
      <c r="I13" s="27">
        <v>3</v>
      </c>
      <c r="J13" s="27">
        <v>3</v>
      </c>
      <c r="K13" s="27">
        <v>3</v>
      </c>
      <c r="L13" s="27">
        <v>3</v>
      </c>
      <c r="M13" s="27">
        <v>3</v>
      </c>
      <c r="N13" s="27">
        <v>3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outlineLevel="1">
      <c r="A14" s="14" t="s">
        <v>63</v>
      </c>
      <c r="B14" s="31">
        <v>198.79323976296897</v>
      </c>
      <c r="C14" s="31">
        <v>191.05767375847432</v>
      </c>
      <c r="D14" s="14">
        <v>150</v>
      </c>
      <c r="E14" s="14">
        <v>150</v>
      </c>
      <c r="F14" s="14">
        <v>150</v>
      </c>
      <c r="G14" s="14">
        <v>150</v>
      </c>
      <c r="H14" s="14">
        <v>150</v>
      </c>
      <c r="I14" s="14">
        <v>150</v>
      </c>
      <c r="J14" s="14">
        <v>150</v>
      </c>
      <c r="K14" s="14">
        <v>150</v>
      </c>
      <c r="L14" s="14">
        <v>150</v>
      </c>
      <c r="M14" s="14">
        <v>150</v>
      </c>
      <c r="N14" s="14">
        <v>150</v>
      </c>
    </row>
    <row r="15" spans="1:26" outlineLevel="1">
      <c r="A15" s="14" t="s">
        <v>64</v>
      </c>
      <c r="B15" s="31">
        <v>822.5560074749917</v>
      </c>
      <c r="C15" s="31">
        <v>691.9830682401232</v>
      </c>
      <c r="D15" s="14">
        <v>600</v>
      </c>
      <c r="E15" s="14">
        <v>600</v>
      </c>
      <c r="F15" s="14">
        <v>600</v>
      </c>
      <c r="G15" s="14">
        <v>600</v>
      </c>
      <c r="H15" s="14">
        <v>600</v>
      </c>
      <c r="I15" s="14">
        <v>600</v>
      </c>
      <c r="J15" s="14">
        <v>600</v>
      </c>
      <c r="K15" s="14">
        <v>600</v>
      </c>
      <c r="L15" s="14">
        <v>600</v>
      </c>
      <c r="M15" s="14">
        <v>600</v>
      </c>
      <c r="N15" s="14">
        <v>600</v>
      </c>
    </row>
    <row r="16" spans="1:26" outlineLevel="1">
      <c r="A16" s="14" t="s">
        <v>66</v>
      </c>
      <c r="B16" s="31">
        <v>5.9753496421722243</v>
      </c>
      <c r="C16" s="31">
        <v>6.6634836103204487</v>
      </c>
      <c r="D16" s="14">
        <v>6</v>
      </c>
      <c r="E16" s="14">
        <v>6</v>
      </c>
      <c r="F16" s="14">
        <v>6</v>
      </c>
      <c r="G16" s="14">
        <v>6</v>
      </c>
      <c r="H16" s="14">
        <v>6</v>
      </c>
      <c r="I16" s="14">
        <v>6</v>
      </c>
      <c r="J16" s="14">
        <v>6</v>
      </c>
      <c r="K16" s="14">
        <v>6</v>
      </c>
      <c r="L16" s="14">
        <v>6</v>
      </c>
      <c r="M16" s="14">
        <v>6</v>
      </c>
      <c r="N16" s="14">
        <v>6</v>
      </c>
    </row>
    <row r="17" spans="1:14" outlineLevel="1">
      <c r="A17" s="14" t="s">
        <v>67</v>
      </c>
      <c r="B17" s="31">
        <v>86.582999999999998</v>
      </c>
      <c r="C17" s="31">
        <v>51.533999999999999</v>
      </c>
      <c r="D17" s="14">
        <v>70</v>
      </c>
      <c r="E17" s="14">
        <v>70</v>
      </c>
      <c r="F17" s="14">
        <v>70</v>
      </c>
      <c r="G17" s="14">
        <v>70</v>
      </c>
      <c r="H17" s="14">
        <v>70</v>
      </c>
      <c r="I17" s="14">
        <v>70</v>
      </c>
      <c r="J17" s="14">
        <v>70</v>
      </c>
      <c r="K17" s="14">
        <v>70</v>
      </c>
      <c r="L17" s="14">
        <v>70</v>
      </c>
      <c r="M17" s="14">
        <v>70</v>
      </c>
      <c r="N17" s="14">
        <v>70</v>
      </c>
    </row>
    <row r="18" spans="1:14" outlineLevel="1">
      <c r="A18" s="14" t="s">
        <v>26</v>
      </c>
      <c r="B18" s="31">
        <v>0.22900000000000001</v>
      </c>
      <c r="C18" s="31">
        <v>0.23</v>
      </c>
      <c r="D18" s="14">
        <f>C18+0.01</f>
        <v>0.24000000000000002</v>
      </c>
      <c r="E18" s="14">
        <f t="shared" ref="E18:N18" si="1">D18+0.01</f>
        <v>0.25</v>
      </c>
      <c r="F18" s="14">
        <f t="shared" si="1"/>
        <v>0.26</v>
      </c>
      <c r="G18" s="14">
        <f t="shared" si="1"/>
        <v>0.27</v>
      </c>
      <c r="H18" s="14">
        <f t="shared" si="1"/>
        <v>0.28000000000000003</v>
      </c>
      <c r="I18" s="14">
        <f t="shared" si="1"/>
        <v>0.29000000000000004</v>
      </c>
      <c r="J18" s="14">
        <f t="shared" si="1"/>
        <v>0.30000000000000004</v>
      </c>
      <c r="K18" s="14">
        <f t="shared" si="1"/>
        <v>0.31000000000000005</v>
      </c>
      <c r="L18" s="14">
        <f t="shared" si="1"/>
        <v>0.32000000000000006</v>
      </c>
      <c r="M18" s="14">
        <f t="shared" si="1"/>
        <v>0.33000000000000007</v>
      </c>
      <c r="N18" s="14">
        <f t="shared" si="1"/>
        <v>0.34000000000000008</v>
      </c>
    </row>
    <row r="19" spans="1:14" outlineLevel="1">
      <c r="A19" s="14" t="s">
        <v>65</v>
      </c>
      <c r="B19" s="31">
        <v>0.44700000000000001</v>
      </c>
      <c r="C19" s="31">
        <v>0.26</v>
      </c>
      <c r="D19" s="14">
        <v>0.2</v>
      </c>
      <c r="E19" s="14">
        <v>0.1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outlineLevel="1">
      <c r="A20" s="14" t="s">
        <v>118</v>
      </c>
      <c r="B20" s="31"/>
      <c r="C20" s="31"/>
      <c r="D20" s="26">
        <v>0.1</v>
      </c>
      <c r="E20" s="26">
        <v>0.1</v>
      </c>
      <c r="F20" s="26">
        <v>0.1</v>
      </c>
      <c r="G20" s="26">
        <v>0.1</v>
      </c>
      <c r="H20" s="26">
        <v>0.1</v>
      </c>
      <c r="I20" s="26">
        <v>0.1</v>
      </c>
      <c r="J20" s="26">
        <v>0.1</v>
      </c>
      <c r="K20" s="26">
        <v>0.1</v>
      </c>
      <c r="L20" s="26">
        <v>0.1</v>
      </c>
      <c r="M20" s="26">
        <v>0.1</v>
      </c>
      <c r="N20" s="26">
        <v>0.1</v>
      </c>
    </row>
    <row r="21" spans="1:14" outlineLevel="1">
      <c r="A21" s="14" t="s">
        <v>67</v>
      </c>
      <c r="B21" s="31">
        <f>B76</f>
        <v>86.582999999999998</v>
      </c>
      <c r="C21" s="31">
        <f>C76</f>
        <v>51.533999999999999</v>
      </c>
      <c r="D21" s="14">
        <v>50</v>
      </c>
      <c r="E21" s="14">
        <v>40</v>
      </c>
      <c r="F21" s="14">
        <v>30</v>
      </c>
      <c r="G21" s="14">
        <v>20</v>
      </c>
      <c r="H21" s="14">
        <v>35</v>
      </c>
      <c r="I21" s="14">
        <v>45</v>
      </c>
      <c r="J21" s="14">
        <v>50</v>
      </c>
      <c r="K21" s="14">
        <v>50</v>
      </c>
      <c r="L21" s="14">
        <v>50</v>
      </c>
      <c r="M21" s="14">
        <v>40</v>
      </c>
      <c r="N21" s="14">
        <v>30</v>
      </c>
    </row>
    <row r="22" spans="1:14" outlineLevel="1">
      <c r="A22" s="14" t="s">
        <v>135</v>
      </c>
      <c r="B22" s="17">
        <f>B38/B21</f>
        <v>0</v>
      </c>
      <c r="C22" s="17">
        <f>C38/C21</f>
        <v>-3.7121123918189933E-2</v>
      </c>
      <c r="D22" s="26">
        <v>0.05</v>
      </c>
      <c r="E22" s="26">
        <v>0.05</v>
      </c>
      <c r="F22" s="26">
        <v>0.05</v>
      </c>
      <c r="G22" s="26">
        <v>0.05</v>
      </c>
      <c r="H22" s="26">
        <v>0.05</v>
      </c>
      <c r="I22" s="26">
        <v>0.05</v>
      </c>
      <c r="J22" s="26">
        <v>0.05</v>
      </c>
      <c r="K22" s="26">
        <v>0.05</v>
      </c>
      <c r="L22" s="26">
        <v>0.05</v>
      </c>
      <c r="M22" s="26">
        <v>0.05</v>
      </c>
      <c r="N22" s="26">
        <v>0.05</v>
      </c>
    </row>
    <row r="23" spans="1:14" outlineLevel="1">
      <c r="A23" s="14" t="s">
        <v>136</v>
      </c>
      <c r="B23" s="17">
        <f>-B119/B42</f>
        <v>0.74424027284749772</v>
      </c>
      <c r="C23" s="17">
        <f>-C119/C42</f>
        <v>0.29740274791073795</v>
      </c>
      <c r="D23" s="26">
        <v>0.3</v>
      </c>
      <c r="E23" s="26">
        <v>0.3</v>
      </c>
      <c r="F23" s="26">
        <v>0.3</v>
      </c>
      <c r="G23" s="26">
        <v>0.3</v>
      </c>
      <c r="H23" s="26">
        <v>0.3</v>
      </c>
      <c r="I23" s="26">
        <v>0.3</v>
      </c>
      <c r="J23" s="26">
        <v>0.3</v>
      </c>
      <c r="K23" s="26">
        <v>0.3</v>
      </c>
      <c r="L23" s="26">
        <v>0.3</v>
      </c>
      <c r="M23" s="26">
        <v>0.3</v>
      </c>
      <c r="N23" s="26">
        <v>0.3</v>
      </c>
    </row>
    <row r="24" spans="1:14" outlineLevel="1">
      <c r="A24" s="14" t="s">
        <v>145</v>
      </c>
      <c r="B24" s="31"/>
      <c r="C24" s="31"/>
      <c r="D24" s="14">
        <v>13.514901566719942</v>
      </c>
      <c r="E24" s="14">
        <v>10.994901566719903</v>
      </c>
      <c r="F24" s="14">
        <v>8.9849015667199694</v>
      </c>
      <c r="G24" s="14">
        <v>7.484901566719941</v>
      </c>
      <c r="H24" s="14">
        <v>6.484901566719941</v>
      </c>
      <c r="I24" s="14">
        <v>4.7349015667199978</v>
      </c>
      <c r="J24" s="14">
        <v>2.4849015667198842</v>
      </c>
      <c r="K24" s="14">
        <v>-1.5098433279945311E-2</v>
      </c>
      <c r="L24" s="14">
        <v>-2.515098433280059</v>
      </c>
      <c r="M24" s="14">
        <v>-5.015098433280059</v>
      </c>
      <c r="N24" s="14">
        <v>-7.015098433280059</v>
      </c>
    </row>
    <row r="27" spans="1:14">
      <c r="A27" s="39" t="s">
        <v>267</v>
      </c>
      <c r="B27" s="39"/>
      <c r="C27" s="21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outlineLevel="1">
      <c r="A28" s="14" t="s">
        <v>1</v>
      </c>
      <c r="B28" s="14">
        <v>127.747</v>
      </c>
      <c r="C28" s="14">
        <v>145.14400000000001</v>
      </c>
      <c r="D28" s="14">
        <f t="shared" ref="D28:N28" si="2">C28*(D6+1)</f>
        <v>152.40120000000002</v>
      </c>
      <c r="E28" s="14">
        <f t="shared" si="2"/>
        <v>160.02126000000001</v>
      </c>
      <c r="F28" s="14">
        <f t="shared" si="2"/>
        <v>168.02232300000003</v>
      </c>
      <c r="G28" s="14">
        <f t="shared" si="2"/>
        <v>176.42343915000004</v>
      </c>
      <c r="H28" s="14">
        <f t="shared" si="2"/>
        <v>185.24461110750005</v>
      </c>
      <c r="I28" s="14">
        <f t="shared" si="2"/>
        <v>194.50684166287505</v>
      </c>
      <c r="J28" s="14">
        <f t="shared" si="2"/>
        <v>204.23218374601882</v>
      </c>
      <c r="K28" s="14">
        <f t="shared" si="2"/>
        <v>214.44379293331977</v>
      </c>
      <c r="L28" s="14">
        <f t="shared" si="2"/>
        <v>225.16598257998578</v>
      </c>
      <c r="M28" s="14">
        <f t="shared" si="2"/>
        <v>236.42428170898509</v>
      </c>
      <c r="N28" s="14">
        <f t="shared" si="2"/>
        <v>248.24549579443436</v>
      </c>
    </row>
    <row r="29" spans="1:14" outlineLevel="1">
      <c r="A29" s="14" t="s">
        <v>11</v>
      </c>
      <c r="B29" s="14">
        <v>-45.484999999999999</v>
      </c>
      <c r="C29" s="14">
        <v>-48.725000000000001</v>
      </c>
      <c r="D29" s="14">
        <f t="shared" ref="D29:N29" si="3">-D28*D7</f>
        <v>-45.720360000000007</v>
      </c>
      <c r="E29" s="14">
        <f t="shared" si="3"/>
        <v>-48.006378000000005</v>
      </c>
      <c r="F29" s="14">
        <f t="shared" si="3"/>
        <v>-50.406696900000007</v>
      </c>
      <c r="G29" s="14">
        <f t="shared" si="3"/>
        <v>-52.927031745000008</v>
      </c>
      <c r="H29" s="14">
        <f t="shared" si="3"/>
        <v>-55.57338333225001</v>
      </c>
      <c r="I29" s="14">
        <f t="shared" si="3"/>
        <v>-58.352052498862513</v>
      </c>
      <c r="J29" s="14">
        <f t="shared" si="3"/>
        <v>-61.269655123805641</v>
      </c>
      <c r="K29" s="14">
        <f t="shared" si="3"/>
        <v>-64.333137879995931</v>
      </c>
      <c r="L29" s="14">
        <f t="shared" si="3"/>
        <v>-67.549794773995728</v>
      </c>
      <c r="M29" s="14">
        <f t="shared" si="3"/>
        <v>-70.927284512695522</v>
      </c>
      <c r="N29" s="14">
        <f t="shared" si="3"/>
        <v>-74.473648738330311</v>
      </c>
    </row>
    <row r="30" spans="1:14" outlineLevel="1">
      <c r="A30" s="29" t="s">
        <v>2</v>
      </c>
      <c r="B30" s="29">
        <f t="shared" ref="B30:D30" si="4">SUM(B28:B29)</f>
        <v>82.262</v>
      </c>
      <c r="C30" s="29">
        <f t="shared" si="4"/>
        <v>96.419000000000011</v>
      </c>
      <c r="D30" s="29">
        <f t="shared" si="4"/>
        <v>106.68084000000002</v>
      </c>
      <c r="E30" s="29">
        <f t="shared" ref="E30:N30" si="5">SUM(E28:E29)</f>
        <v>112.014882</v>
      </c>
      <c r="F30" s="29">
        <f t="shared" si="5"/>
        <v>117.61562610000001</v>
      </c>
      <c r="G30" s="29">
        <f t="shared" si="5"/>
        <v>123.49640740500003</v>
      </c>
      <c r="H30" s="29">
        <f t="shared" si="5"/>
        <v>129.67122777525003</v>
      </c>
      <c r="I30" s="29">
        <f t="shared" si="5"/>
        <v>136.15478916401253</v>
      </c>
      <c r="J30" s="29">
        <f t="shared" si="5"/>
        <v>142.96252862221317</v>
      </c>
      <c r="K30" s="29">
        <f t="shared" si="5"/>
        <v>150.11065505332385</v>
      </c>
      <c r="L30" s="29">
        <f t="shared" si="5"/>
        <v>157.61618780599005</v>
      </c>
      <c r="M30" s="29">
        <f t="shared" si="5"/>
        <v>165.49699719628956</v>
      </c>
      <c r="N30" s="29">
        <f t="shared" si="5"/>
        <v>173.77184705610404</v>
      </c>
    </row>
    <row r="31" spans="1:14" outlineLevel="1">
      <c r="A31" s="14" t="s">
        <v>3</v>
      </c>
      <c r="B31" s="14">
        <v>-4.1159999999999997</v>
      </c>
      <c r="C31" s="14">
        <v>-4.2210000000000001</v>
      </c>
      <c r="D31" s="14">
        <f t="shared" ref="D31:N31" si="6">-D28*D8</f>
        <v>-4.5720360000000007</v>
      </c>
      <c r="E31" s="14">
        <f t="shared" si="6"/>
        <v>-4.8006378000000005</v>
      </c>
      <c r="F31" s="14">
        <f t="shared" si="6"/>
        <v>-5.0406696900000005</v>
      </c>
      <c r="G31" s="14">
        <f t="shared" si="6"/>
        <v>-5.2927031745000006</v>
      </c>
      <c r="H31" s="14">
        <f t="shared" si="6"/>
        <v>-5.557338333225001</v>
      </c>
      <c r="I31" s="14">
        <f t="shared" si="6"/>
        <v>-5.8352052498862514</v>
      </c>
      <c r="J31" s="14">
        <f t="shared" si="6"/>
        <v>-6.126965512380564</v>
      </c>
      <c r="K31" s="14">
        <f t="shared" si="6"/>
        <v>-6.4333137879995927</v>
      </c>
      <c r="L31" s="14">
        <f t="shared" si="6"/>
        <v>-6.7549794773995728</v>
      </c>
      <c r="M31" s="14">
        <f t="shared" si="6"/>
        <v>-7.0927284512695525</v>
      </c>
      <c r="N31" s="14">
        <f t="shared" si="6"/>
        <v>-7.4473648738330303</v>
      </c>
    </row>
    <row r="32" spans="1:14" outlineLevel="1">
      <c r="A32" s="14" t="s">
        <v>4</v>
      </c>
      <c r="B32" s="14">
        <v>-3.7440000000000002</v>
      </c>
      <c r="C32" s="14">
        <v>-3.4049999999999998</v>
      </c>
      <c r="D32" s="14">
        <f>D148</f>
        <v>-2.5776719529984016</v>
      </c>
      <c r="E32" s="14">
        <f t="shared" ref="E32:N32" si="7">E148</f>
        <v>-2.5003417944084494</v>
      </c>
      <c r="F32" s="14">
        <f t="shared" si="7"/>
        <v>-2.4253315405761962</v>
      </c>
      <c r="G32" s="14">
        <f t="shared" si="7"/>
        <v>-2.3525715943589098</v>
      </c>
      <c r="H32" s="14">
        <f t="shared" si="7"/>
        <v>-2.2819944465281425</v>
      </c>
      <c r="I32" s="14">
        <f t="shared" si="7"/>
        <v>-2.2135346131322984</v>
      </c>
      <c r="J32" s="14">
        <f t="shared" si="7"/>
        <v>-2.1471285747383293</v>
      </c>
      <c r="K32" s="14">
        <f t="shared" si="7"/>
        <v>-2.0827147174961795</v>
      </c>
      <c r="L32" s="14">
        <f t="shared" si="7"/>
        <v>-2.020233275971294</v>
      </c>
      <c r="M32" s="14">
        <f t="shared" si="7"/>
        <v>-1.9596262776921554</v>
      </c>
      <c r="N32" s="14">
        <f t="shared" si="7"/>
        <v>-1.9008374893613906</v>
      </c>
    </row>
    <row r="33" spans="1:14" outlineLevel="1">
      <c r="A33" s="14" t="s">
        <v>5</v>
      </c>
      <c r="B33" s="14">
        <v>-52.113</v>
      </c>
      <c r="C33" s="14">
        <v>-41.125</v>
      </c>
      <c r="D33" s="14">
        <f t="shared" ref="D33:N33" si="8">-D28*D11</f>
        <v>-38.100300000000004</v>
      </c>
      <c r="E33" s="14">
        <f t="shared" si="8"/>
        <v>-40.005315000000003</v>
      </c>
      <c r="F33" s="14">
        <f t="shared" si="8"/>
        <v>-42.005580750000007</v>
      </c>
      <c r="G33" s="14">
        <f t="shared" si="8"/>
        <v>-44.105859787500009</v>
      </c>
      <c r="H33" s="14">
        <f t="shared" si="8"/>
        <v>-46.311152776875012</v>
      </c>
      <c r="I33" s="14">
        <f t="shared" si="8"/>
        <v>-48.626710415718762</v>
      </c>
      <c r="J33" s="14">
        <f t="shared" si="8"/>
        <v>-51.058045936504705</v>
      </c>
      <c r="K33" s="14">
        <f t="shared" si="8"/>
        <v>-53.610948233329943</v>
      </c>
      <c r="L33" s="14">
        <f t="shared" si="8"/>
        <v>-56.291495644996445</v>
      </c>
      <c r="M33" s="14">
        <f t="shared" si="8"/>
        <v>-59.106070427246273</v>
      </c>
      <c r="N33" s="14">
        <f t="shared" si="8"/>
        <v>-62.06137394860859</v>
      </c>
    </row>
    <row r="34" spans="1:14" outlineLevel="1">
      <c r="A34" s="29" t="s">
        <v>6</v>
      </c>
      <c r="B34" s="29">
        <f>SUM(B30:B33)</f>
        <v>22.289000000000001</v>
      </c>
      <c r="C34" s="29">
        <f>SUM(C30:C33)</f>
        <v>47.668000000000006</v>
      </c>
      <c r="D34" s="29">
        <f>SUM(D30:D33)</f>
        <v>61.430832047001616</v>
      </c>
      <c r="E34" s="29">
        <f t="shared" ref="E34:N34" si="9">SUM(E30:E33)</f>
        <v>64.708587405591544</v>
      </c>
      <c r="F34" s="29">
        <f t="shared" si="9"/>
        <v>68.14404411942381</v>
      </c>
      <c r="G34" s="29">
        <f t="shared" si="9"/>
        <v>71.745272848641108</v>
      </c>
      <c r="H34" s="29">
        <f t="shared" si="9"/>
        <v>75.520742218621876</v>
      </c>
      <c r="I34" s="29">
        <f t="shared" si="9"/>
        <v>79.479338885275197</v>
      </c>
      <c r="J34" s="29">
        <f t="shared" si="9"/>
        <v>83.630388598589576</v>
      </c>
      <c r="K34" s="29">
        <f t="shared" si="9"/>
        <v>87.98367831449815</v>
      </c>
      <c r="L34" s="29">
        <f t="shared" si="9"/>
        <v>92.549479407622727</v>
      </c>
      <c r="M34" s="29">
        <f t="shared" si="9"/>
        <v>97.338572040081573</v>
      </c>
      <c r="N34" s="29">
        <f t="shared" si="9"/>
        <v>102.36227074430103</v>
      </c>
    </row>
    <row r="35" spans="1:14" outlineLevel="1">
      <c r="A35" s="14" t="s">
        <v>7</v>
      </c>
      <c r="B35" s="14">
        <v>0</v>
      </c>
      <c r="C35" s="14">
        <v>1</v>
      </c>
      <c r="D35" s="14">
        <f t="shared" ref="D35:N35" si="10">D34*D12</f>
        <v>3.0715416023500808</v>
      </c>
      <c r="E35" s="14">
        <f t="shared" si="10"/>
        <v>3.2354293702795776</v>
      </c>
      <c r="F35" s="14">
        <f t="shared" si="10"/>
        <v>3.4072022059711906</v>
      </c>
      <c r="G35" s="14">
        <f t="shared" si="10"/>
        <v>3.5872636424320556</v>
      </c>
      <c r="H35" s="14">
        <f t="shared" si="10"/>
        <v>3.7760371109310942</v>
      </c>
      <c r="I35" s="14">
        <f t="shared" si="10"/>
        <v>3.97396694426376</v>
      </c>
      <c r="J35" s="14">
        <f t="shared" si="10"/>
        <v>4.1815194299294793</v>
      </c>
      <c r="K35" s="14">
        <f t="shared" si="10"/>
        <v>4.3991839157249073</v>
      </c>
      <c r="L35" s="14">
        <f t="shared" si="10"/>
        <v>4.6274739703811365</v>
      </c>
      <c r="M35" s="14">
        <f t="shared" si="10"/>
        <v>4.8669286020040792</v>
      </c>
      <c r="N35" s="14">
        <f t="shared" si="10"/>
        <v>5.1181135372150521</v>
      </c>
    </row>
    <row r="36" spans="1:14" outlineLevel="1">
      <c r="A36" s="29" t="s">
        <v>8</v>
      </c>
      <c r="B36" s="29">
        <f>B34-B35</f>
        <v>22.289000000000001</v>
      </c>
      <c r="C36" s="29">
        <f>C34-C35</f>
        <v>46.668000000000006</v>
      </c>
      <c r="D36" s="29">
        <f>D34-D35</f>
        <v>58.359290444651535</v>
      </c>
      <c r="E36" s="29">
        <f t="shared" ref="E36:N36" si="11">E34-E35</f>
        <v>61.473158035311968</v>
      </c>
      <c r="F36" s="29">
        <f t="shared" si="11"/>
        <v>64.736841913452622</v>
      </c>
      <c r="G36" s="29">
        <f t="shared" si="11"/>
        <v>68.158009206209059</v>
      </c>
      <c r="H36" s="29">
        <f t="shared" si="11"/>
        <v>71.744705107690777</v>
      </c>
      <c r="I36" s="29">
        <f t="shared" si="11"/>
        <v>75.505371941011433</v>
      </c>
      <c r="J36" s="29">
        <f t="shared" si="11"/>
        <v>79.448869168660096</v>
      </c>
      <c r="K36" s="29">
        <f t="shared" si="11"/>
        <v>83.584494398773245</v>
      </c>
      <c r="L36" s="29">
        <f t="shared" si="11"/>
        <v>87.922005437241594</v>
      </c>
      <c r="M36" s="29">
        <f t="shared" si="11"/>
        <v>92.471643438077493</v>
      </c>
      <c r="N36" s="29">
        <f t="shared" si="11"/>
        <v>97.244157207085976</v>
      </c>
    </row>
    <row r="37" spans="1:14" outlineLevel="1">
      <c r="A37" s="14" t="s">
        <v>12</v>
      </c>
      <c r="B37" s="14">
        <v>2.1999999999999999E-2</v>
      </c>
      <c r="C37" s="14">
        <v>1.2999999999999999E-2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outlineLevel="1">
      <c r="A38" s="14" t="s">
        <v>117</v>
      </c>
      <c r="C38" s="14">
        <v>-1.913</v>
      </c>
      <c r="D38" s="14">
        <f>D162</f>
        <v>-2.6027</v>
      </c>
      <c r="E38" s="14">
        <f t="shared" ref="E38:N38" si="12">E162</f>
        <v>-2.52</v>
      </c>
      <c r="F38" s="14">
        <f t="shared" si="12"/>
        <v>-2.0099999999999998</v>
      </c>
      <c r="G38" s="14">
        <f t="shared" si="12"/>
        <v>-1.5</v>
      </c>
      <c r="H38" s="14">
        <f t="shared" si="12"/>
        <v>-1</v>
      </c>
      <c r="I38" s="14">
        <f t="shared" si="12"/>
        <v>-1.75</v>
      </c>
      <c r="J38" s="14">
        <f t="shared" si="12"/>
        <v>-2.25</v>
      </c>
      <c r="K38" s="14">
        <f t="shared" si="12"/>
        <v>-2.5</v>
      </c>
      <c r="L38" s="14">
        <f t="shared" si="12"/>
        <v>-2.5</v>
      </c>
      <c r="M38" s="14">
        <f t="shared" si="12"/>
        <v>-2.5</v>
      </c>
      <c r="N38" s="14">
        <f t="shared" si="12"/>
        <v>-2</v>
      </c>
    </row>
    <row r="39" spans="1:14" outlineLevel="1">
      <c r="A39" s="14" t="s">
        <v>13</v>
      </c>
      <c r="B39" s="14">
        <v>6.423</v>
      </c>
      <c r="C39" s="14">
        <v>0.14799999999999999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outlineLevel="1">
      <c r="A40" s="14" t="s">
        <v>14</v>
      </c>
      <c r="B40" s="14" t="s">
        <v>9</v>
      </c>
      <c r="C40" s="14">
        <v>29.863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</row>
    <row r="41" spans="1:14" outlineLevel="1">
      <c r="A41" s="14" t="s">
        <v>15</v>
      </c>
      <c r="B41" s="14" t="s">
        <v>9</v>
      </c>
      <c r="C41" s="14">
        <v>2.88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</row>
    <row r="42" spans="1:14" outlineLevel="1">
      <c r="A42" s="29" t="s">
        <v>10</v>
      </c>
      <c r="B42" s="29">
        <f>SUM(B36:B41)</f>
        <v>28.734000000000002</v>
      </c>
      <c r="C42" s="29">
        <f>SUM(C36:C41)</f>
        <v>77.659000000000006</v>
      </c>
      <c r="D42" s="29">
        <f>SUM(D36:D41)</f>
        <v>55.756590444651536</v>
      </c>
      <c r="E42" s="29">
        <f t="shared" ref="E42:N42" si="13">SUM(E36:E41)</f>
        <v>58.953158035311965</v>
      </c>
      <c r="F42" s="29">
        <f t="shared" si="13"/>
        <v>62.726841913452624</v>
      </c>
      <c r="G42" s="29">
        <f t="shared" si="13"/>
        <v>66.658009206209059</v>
      </c>
      <c r="H42" s="29">
        <f t="shared" si="13"/>
        <v>70.744705107690777</v>
      </c>
      <c r="I42" s="29">
        <f t="shared" si="13"/>
        <v>73.755371941011433</v>
      </c>
      <c r="J42" s="29">
        <f t="shared" si="13"/>
        <v>77.198869168660096</v>
      </c>
      <c r="K42" s="29">
        <f t="shared" si="13"/>
        <v>81.084494398773245</v>
      </c>
      <c r="L42" s="29">
        <f t="shared" si="13"/>
        <v>85.422005437241594</v>
      </c>
      <c r="M42" s="29">
        <f t="shared" si="13"/>
        <v>89.971643438077493</v>
      </c>
      <c r="N42" s="29">
        <f t="shared" si="13"/>
        <v>95.244157207085976</v>
      </c>
    </row>
    <row r="43" spans="1:14" outlineLevel="1"/>
    <row r="44" spans="1:14" outlineLevel="1"/>
    <row r="45" spans="1:14" outlineLevel="1">
      <c r="A45" s="29" t="s">
        <v>54</v>
      </c>
    </row>
    <row r="46" spans="1:14" outlineLevel="1">
      <c r="A46" s="29" t="s">
        <v>55</v>
      </c>
      <c r="B46" s="29">
        <f>B42-B38</f>
        <v>28.734000000000002</v>
      </c>
      <c r="C46" s="29">
        <f>C42-C38</f>
        <v>79.572000000000003</v>
      </c>
      <c r="D46" s="29">
        <f t="shared" ref="D46:N46" si="14">D42-D38</f>
        <v>58.359290444651535</v>
      </c>
      <c r="E46" s="29">
        <f t="shared" si="14"/>
        <v>61.473158035311968</v>
      </c>
      <c r="F46" s="29">
        <f t="shared" si="14"/>
        <v>64.736841913452622</v>
      </c>
      <c r="G46" s="29">
        <f t="shared" si="14"/>
        <v>68.158009206209059</v>
      </c>
      <c r="H46" s="29">
        <f t="shared" si="14"/>
        <v>71.744705107690777</v>
      </c>
      <c r="I46" s="29">
        <f t="shared" si="14"/>
        <v>75.505371941011433</v>
      </c>
      <c r="J46" s="29">
        <f t="shared" si="14"/>
        <v>79.448869168660096</v>
      </c>
      <c r="K46" s="29">
        <f t="shared" si="14"/>
        <v>83.584494398773245</v>
      </c>
      <c r="L46" s="29">
        <f t="shared" si="14"/>
        <v>87.922005437241594</v>
      </c>
      <c r="M46" s="29">
        <f t="shared" si="14"/>
        <v>92.471643438077493</v>
      </c>
      <c r="N46" s="29">
        <f t="shared" si="14"/>
        <v>97.244157207085976</v>
      </c>
    </row>
    <row r="47" spans="1:14" outlineLevel="1">
      <c r="A47" s="14" t="s">
        <v>48</v>
      </c>
      <c r="B47" s="14">
        <f>B38</f>
        <v>0</v>
      </c>
      <c r="C47" s="14">
        <f>C38</f>
        <v>-1.913</v>
      </c>
      <c r="D47" s="14">
        <f t="shared" ref="D47:N47" si="15">D38</f>
        <v>-2.6027</v>
      </c>
      <c r="E47" s="14">
        <f t="shared" si="15"/>
        <v>-2.52</v>
      </c>
      <c r="F47" s="14">
        <f t="shared" si="15"/>
        <v>-2.0099999999999998</v>
      </c>
      <c r="G47" s="14">
        <f t="shared" si="15"/>
        <v>-1.5</v>
      </c>
      <c r="H47" s="14">
        <f t="shared" si="15"/>
        <v>-1</v>
      </c>
      <c r="I47" s="14">
        <f t="shared" si="15"/>
        <v>-1.75</v>
      </c>
      <c r="J47" s="14">
        <f t="shared" si="15"/>
        <v>-2.25</v>
      </c>
      <c r="K47" s="14">
        <f t="shared" si="15"/>
        <v>-2.5</v>
      </c>
      <c r="L47" s="14">
        <f t="shared" si="15"/>
        <v>-2.5</v>
      </c>
      <c r="M47" s="14">
        <f t="shared" si="15"/>
        <v>-2.5</v>
      </c>
      <c r="N47" s="14">
        <f t="shared" si="15"/>
        <v>-2</v>
      </c>
    </row>
    <row r="48" spans="1:14" outlineLevel="1">
      <c r="A48" s="29" t="s">
        <v>10</v>
      </c>
      <c r="B48" s="29">
        <f>SUM(B46:B47)</f>
        <v>28.734000000000002</v>
      </c>
      <c r="C48" s="29">
        <f t="shared" ref="C48:D48" si="16">SUM(C46:C47)</f>
        <v>77.659000000000006</v>
      </c>
      <c r="D48" s="29">
        <f t="shared" si="16"/>
        <v>55.756590444651536</v>
      </c>
      <c r="E48" s="29">
        <f t="shared" ref="E48" si="17">SUM(E46:E47)</f>
        <v>58.953158035311965</v>
      </c>
      <c r="F48" s="29">
        <f t="shared" ref="F48" si="18">SUM(F46:F47)</f>
        <v>62.726841913452624</v>
      </c>
      <c r="G48" s="29">
        <f t="shared" ref="G48" si="19">SUM(G46:G47)</f>
        <v>66.658009206209059</v>
      </c>
      <c r="H48" s="29">
        <f t="shared" ref="H48" si="20">SUM(H46:H47)</f>
        <v>70.744705107690777</v>
      </c>
      <c r="I48" s="29">
        <f t="shared" ref="I48" si="21">SUM(I46:I47)</f>
        <v>73.755371941011433</v>
      </c>
      <c r="J48" s="29">
        <f t="shared" ref="J48" si="22">SUM(J46:J47)</f>
        <v>77.198869168660096</v>
      </c>
      <c r="K48" s="29">
        <f t="shared" ref="K48" si="23">SUM(K46:K47)</f>
        <v>81.084494398773245</v>
      </c>
      <c r="L48" s="29">
        <f t="shared" ref="L48" si="24">SUM(L46:L47)</f>
        <v>85.422005437241594</v>
      </c>
      <c r="M48" s="29">
        <f t="shared" ref="M48" si="25">SUM(M46:M47)</f>
        <v>89.971643438077493</v>
      </c>
      <c r="N48" s="29">
        <f t="shared" ref="N48" si="26">SUM(N46:N47)</f>
        <v>95.244157207085976</v>
      </c>
    </row>
    <row r="51" spans="1:14">
      <c r="A51" s="39" t="s">
        <v>277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1:14" outlineLevel="1">
      <c r="A52" s="14" t="s">
        <v>94</v>
      </c>
      <c r="B52" s="14">
        <f>525/1000</f>
        <v>0.52500000000000002</v>
      </c>
      <c r="C52" s="14">
        <f>332/1000</f>
        <v>0.33200000000000002</v>
      </c>
      <c r="D52" s="14">
        <f t="shared" ref="D52:N52" si="27">D13*-D29/D5</f>
        <v>0.37578378082191788</v>
      </c>
      <c r="E52" s="14">
        <f t="shared" si="27"/>
        <v>0.39457296986301371</v>
      </c>
      <c r="F52" s="14">
        <f t="shared" si="27"/>
        <v>0.41430161835616441</v>
      </c>
      <c r="G52" s="14">
        <f t="shared" si="27"/>
        <v>0.43501669927397263</v>
      </c>
      <c r="H52" s="14">
        <f t="shared" si="27"/>
        <v>0.4567675342376713</v>
      </c>
      <c r="I52" s="14">
        <f t="shared" si="27"/>
        <v>0.4796059109495549</v>
      </c>
      <c r="J52" s="14">
        <f t="shared" si="27"/>
        <v>0.50358620649703267</v>
      </c>
      <c r="K52" s="14">
        <f t="shared" si="27"/>
        <v>0.52876551682188433</v>
      </c>
      <c r="L52" s="14">
        <f t="shared" si="27"/>
        <v>0.55520379266297859</v>
      </c>
      <c r="M52" s="14">
        <f t="shared" si="27"/>
        <v>0.58296398229612767</v>
      </c>
      <c r="N52" s="14">
        <f t="shared" si="27"/>
        <v>0.61211218141093404</v>
      </c>
    </row>
    <row r="53" spans="1:14" outlineLevel="1">
      <c r="A53" s="14" t="s">
        <v>95</v>
      </c>
      <c r="B53" s="14">
        <f>69576/1000</f>
        <v>69.575999999999993</v>
      </c>
      <c r="C53" s="14">
        <f>75975/1000</f>
        <v>75.974999999999994</v>
      </c>
      <c r="D53" s="14">
        <f t="shared" ref="D53:N53" si="28">D14*D28/D5</f>
        <v>62.630630136986312</v>
      </c>
      <c r="E53" s="14">
        <f t="shared" si="28"/>
        <v>65.762161643835626</v>
      </c>
      <c r="F53" s="14">
        <f t="shared" si="28"/>
        <v>69.050269726027409</v>
      </c>
      <c r="G53" s="14">
        <f t="shared" si="28"/>
        <v>72.502783212328779</v>
      </c>
      <c r="H53" s="14">
        <f t="shared" si="28"/>
        <v>76.127922372945221</v>
      </c>
      <c r="I53" s="14">
        <f t="shared" si="28"/>
        <v>79.934318491592478</v>
      </c>
      <c r="J53" s="14">
        <f t="shared" si="28"/>
        <v>83.931034416172125</v>
      </c>
      <c r="K53" s="14">
        <f t="shared" si="28"/>
        <v>88.127586136980725</v>
      </c>
      <c r="L53" s="14">
        <f t="shared" si="28"/>
        <v>92.533965443829771</v>
      </c>
      <c r="M53" s="14">
        <f t="shared" si="28"/>
        <v>97.160663716021261</v>
      </c>
      <c r="N53" s="14">
        <f t="shared" si="28"/>
        <v>102.01869690182234</v>
      </c>
    </row>
    <row r="54" spans="1:14" outlineLevel="1">
      <c r="A54" s="14" t="s">
        <v>134</v>
      </c>
      <c r="B54" s="14">
        <f>(28405+10535)/1000</f>
        <v>38.94</v>
      </c>
      <c r="C54" s="14">
        <f>(16646+7653)/1000</f>
        <v>24.298999999999999</v>
      </c>
      <c r="D54" s="14">
        <f>D128</f>
        <v>56.649127510829807</v>
      </c>
      <c r="E54" s="14">
        <f t="shared" ref="E54:M54" si="29">E128</f>
        <v>92.184187042285402</v>
      </c>
      <c r="F54" s="14">
        <f t="shared" si="29"/>
        <v>129.74269039022363</v>
      </c>
      <c r="G54" s="14">
        <f t="shared" si="29"/>
        <v>169.53547002027136</v>
      </c>
      <c r="H54" s="14">
        <f t="shared" si="29"/>
        <v>236.58183971309265</v>
      </c>
      <c r="I54" s="14">
        <f t="shared" si="29"/>
        <v>301.37887043938804</v>
      </c>
      <c r="J54" s="14">
        <f t="shared" si="29"/>
        <v>363.97967997436626</v>
      </c>
      <c r="K54" s="14">
        <f t="shared" si="29"/>
        <v>424.44373694029042</v>
      </c>
      <c r="L54" s="14">
        <f t="shared" si="29"/>
        <v>487.8371800000819</v>
      </c>
      <c r="M54" s="14">
        <f t="shared" si="29"/>
        <v>544.30815296106687</v>
      </c>
      <c r="N54" s="14">
        <f>N128</f>
        <v>603.862156585859</v>
      </c>
    </row>
    <row r="55" spans="1:14" outlineLevel="1">
      <c r="A55" s="29" t="s">
        <v>17</v>
      </c>
      <c r="B55" s="29">
        <f>SUM(B52:B54)</f>
        <v>109.041</v>
      </c>
      <c r="C55" s="29">
        <f t="shared" ref="C55:D55" si="30">SUM(C52:C54)</f>
        <v>100.60599999999999</v>
      </c>
      <c r="D55" s="29">
        <f t="shared" si="30"/>
        <v>119.65554142863803</v>
      </c>
      <c r="E55" s="29">
        <f t="shared" ref="E55" si="31">SUM(E52:E54)</f>
        <v>158.34092165598406</v>
      </c>
      <c r="F55" s="29">
        <f t="shared" ref="F55" si="32">SUM(F52:F54)</f>
        <v>199.20726173460719</v>
      </c>
      <c r="G55" s="29">
        <f t="shared" ref="G55" si="33">SUM(G52:G54)</f>
        <v>242.47326993187411</v>
      </c>
      <c r="H55" s="29">
        <f t="shared" ref="H55" si="34">SUM(H52:H54)</f>
        <v>313.16652962027553</v>
      </c>
      <c r="I55" s="29">
        <f t="shared" ref="I55" si="35">SUM(I52:I54)</f>
        <v>381.79279484193006</v>
      </c>
      <c r="J55" s="29">
        <f t="shared" ref="J55" si="36">SUM(J52:J54)</f>
        <v>448.41430059703544</v>
      </c>
      <c r="K55" s="29">
        <f t="shared" ref="K55" si="37">SUM(K52:K54)</f>
        <v>513.10008859409299</v>
      </c>
      <c r="L55" s="29">
        <f t="shared" ref="L55" si="38">SUM(L52:L54)</f>
        <v>580.92634923657465</v>
      </c>
      <c r="M55" s="29">
        <f t="shared" ref="M55" si="39">SUM(M52:M54)</f>
        <v>642.05178065938424</v>
      </c>
      <c r="N55" s="29">
        <f t="shared" ref="N55" si="40">SUM(N52:N54)</f>
        <v>706.49296566909231</v>
      </c>
    </row>
    <row r="56" spans="1:14" outlineLevel="1">
      <c r="A56" s="14" t="s">
        <v>96</v>
      </c>
      <c r="B56" s="14">
        <f>102504/1000</f>
        <v>102.504</v>
      </c>
      <c r="C56" s="14">
        <f>92375/1000</f>
        <v>92.375</v>
      </c>
      <c r="D56" s="14">
        <f t="shared" ref="D56:N56" si="41">D15*-D29/D5</f>
        <v>75.156756164383566</v>
      </c>
      <c r="E56" s="14">
        <f t="shared" si="41"/>
        <v>78.914593972602745</v>
      </c>
      <c r="F56" s="14">
        <f t="shared" si="41"/>
        <v>82.860323671232891</v>
      </c>
      <c r="G56" s="14">
        <f t="shared" si="41"/>
        <v>87.003339854794532</v>
      </c>
      <c r="H56" s="14">
        <f t="shared" si="41"/>
        <v>91.353506847534263</v>
      </c>
      <c r="I56" s="14">
        <f t="shared" si="41"/>
        <v>95.921182189910979</v>
      </c>
      <c r="J56" s="14">
        <f t="shared" si="41"/>
        <v>100.71724129940654</v>
      </c>
      <c r="K56" s="14">
        <f t="shared" si="41"/>
        <v>105.75310336437687</v>
      </c>
      <c r="L56" s="14">
        <f t="shared" si="41"/>
        <v>111.04075853259573</v>
      </c>
      <c r="M56" s="14">
        <f t="shared" si="41"/>
        <v>116.59279645922553</v>
      </c>
      <c r="N56" s="14">
        <f t="shared" si="41"/>
        <v>122.42243628218682</v>
      </c>
    </row>
    <row r="57" spans="1:14" outlineLevel="1">
      <c r="A57" s="29" t="s">
        <v>18</v>
      </c>
      <c r="B57" s="29">
        <f t="shared" ref="B57" si="42">B56</f>
        <v>102.504</v>
      </c>
      <c r="C57" s="29">
        <f>C56</f>
        <v>92.375</v>
      </c>
      <c r="D57" s="29">
        <f>D56</f>
        <v>75.156756164383566</v>
      </c>
      <c r="E57" s="29">
        <f t="shared" ref="E57:N57" si="43">E56</f>
        <v>78.914593972602745</v>
      </c>
      <c r="F57" s="29">
        <f t="shared" si="43"/>
        <v>82.860323671232891</v>
      </c>
      <c r="G57" s="29">
        <f t="shared" si="43"/>
        <v>87.003339854794532</v>
      </c>
      <c r="H57" s="29">
        <f t="shared" si="43"/>
        <v>91.353506847534263</v>
      </c>
      <c r="I57" s="29">
        <f t="shared" si="43"/>
        <v>95.921182189910979</v>
      </c>
      <c r="J57" s="29">
        <f t="shared" si="43"/>
        <v>100.71724129940654</v>
      </c>
      <c r="K57" s="29">
        <f t="shared" si="43"/>
        <v>105.75310336437687</v>
      </c>
      <c r="L57" s="29">
        <f t="shared" si="43"/>
        <v>111.04075853259573</v>
      </c>
      <c r="M57" s="29">
        <f t="shared" si="43"/>
        <v>116.59279645922553</v>
      </c>
      <c r="N57" s="29">
        <f t="shared" si="43"/>
        <v>122.42243628218682</v>
      </c>
    </row>
    <row r="58" spans="1:14" outlineLevel="1">
      <c r="A58" s="29" t="s">
        <v>19</v>
      </c>
      <c r="B58" s="29">
        <f t="shared" ref="B58" si="44">B55-B57</f>
        <v>6.5369999999999919</v>
      </c>
      <c r="C58" s="29">
        <f>C55-C57</f>
        <v>8.2309999999999945</v>
      </c>
      <c r="D58" s="29">
        <f>D55-D57</f>
        <v>44.498785264254465</v>
      </c>
      <c r="E58" s="29">
        <f t="shared" ref="E58:M58" si="45">E55-E57</f>
        <v>79.426327683381317</v>
      </c>
      <c r="F58" s="29">
        <f t="shared" si="45"/>
        <v>116.3469380633743</v>
      </c>
      <c r="G58" s="29">
        <f t="shared" si="45"/>
        <v>155.4699300770796</v>
      </c>
      <c r="H58" s="29">
        <f t="shared" si="45"/>
        <v>221.81302277274125</v>
      </c>
      <c r="I58" s="29">
        <f t="shared" si="45"/>
        <v>285.87161265201905</v>
      </c>
      <c r="J58" s="29">
        <f t="shared" si="45"/>
        <v>347.69705929762893</v>
      </c>
      <c r="K58" s="29">
        <f t="shared" si="45"/>
        <v>407.3469852297161</v>
      </c>
      <c r="L58" s="29">
        <f t="shared" si="45"/>
        <v>469.88559070397889</v>
      </c>
      <c r="M58" s="29">
        <f t="shared" si="45"/>
        <v>525.45898420015874</v>
      </c>
      <c r="N58" s="29">
        <f>N55-N57</f>
        <v>584.07052938690549</v>
      </c>
    </row>
    <row r="59" spans="1:14" outlineLevel="1">
      <c r="A59" s="14" t="s">
        <v>97</v>
      </c>
      <c r="B59" s="14">
        <f>21379/1000</f>
        <v>21.379000000000001</v>
      </c>
      <c r="C59" s="14">
        <f>21782/1000</f>
        <v>21.782</v>
      </c>
      <c r="D59" s="14">
        <f>D137</f>
        <v>25.400200000000002</v>
      </c>
      <c r="E59" s="14">
        <f t="shared" ref="E59:N59" si="46">E137</f>
        <v>26.670210000000001</v>
      </c>
      <c r="F59" s="14">
        <f t="shared" si="46"/>
        <v>28.003720500000004</v>
      </c>
      <c r="G59" s="14">
        <f t="shared" si="46"/>
        <v>29.403906525000007</v>
      </c>
      <c r="H59" s="14">
        <f t="shared" si="46"/>
        <v>30.874101851250007</v>
      </c>
      <c r="I59" s="14">
        <f t="shared" si="46"/>
        <v>32.417806943812508</v>
      </c>
      <c r="J59" s="14">
        <f t="shared" si="46"/>
        <v>34.038697291003139</v>
      </c>
      <c r="K59" s="14">
        <f t="shared" si="46"/>
        <v>35.740632155553293</v>
      </c>
      <c r="L59" s="14">
        <f t="shared" si="46"/>
        <v>37.527663763330963</v>
      </c>
      <c r="M59" s="14">
        <f t="shared" si="46"/>
        <v>39.404046951497513</v>
      </c>
      <c r="N59" s="14">
        <f t="shared" si="46"/>
        <v>41.374249299072396</v>
      </c>
    </row>
    <row r="60" spans="1:14" outlineLevel="1">
      <c r="A60" s="14" t="s">
        <v>98</v>
      </c>
      <c r="B60" s="14">
        <f>6511/1000</f>
        <v>6.5110000000000001</v>
      </c>
      <c r="C60" s="14">
        <f>4407/1000</f>
        <v>4.407</v>
      </c>
    </row>
    <row r="61" spans="1:14" outlineLevel="1">
      <c r="A61" s="14" t="s">
        <v>99</v>
      </c>
      <c r="B61" s="14">
        <f>57353/1000</f>
        <v>57.353000000000002</v>
      </c>
      <c r="C61" s="14" t="s">
        <v>20</v>
      </c>
    </row>
    <row r="62" spans="1:14" outlineLevel="1">
      <c r="A62" s="29" t="s">
        <v>21</v>
      </c>
      <c r="B62" s="29">
        <f>SUM(B58:B61)</f>
        <v>91.78</v>
      </c>
      <c r="C62" s="29">
        <f>SUM(C58:C61)</f>
        <v>34.419999999999995</v>
      </c>
      <c r="D62" s="29">
        <f>SUM(D58:D61)</f>
        <v>69.898985264254463</v>
      </c>
      <c r="E62" s="29">
        <f t="shared" ref="E62:M62" si="47">SUM(E58:E61)</f>
        <v>106.09653768338131</v>
      </c>
      <c r="F62" s="29">
        <f t="shared" si="47"/>
        <v>144.35065856337431</v>
      </c>
      <c r="G62" s="29">
        <f t="shared" si="47"/>
        <v>184.87383660207959</v>
      </c>
      <c r="H62" s="29">
        <f t="shared" si="47"/>
        <v>252.68712462399125</v>
      </c>
      <c r="I62" s="29">
        <f t="shared" si="47"/>
        <v>318.28941959583153</v>
      </c>
      <c r="J62" s="29">
        <f t="shared" si="47"/>
        <v>381.73575658863206</v>
      </c>
      <c r="K62" s="29">
        <f t="shared" si="47"/>
        <v>443.08761738526937</v>
      </c>
      <c r="L62" s="29">
        <f t="shared" si="47"/>
        <v>507.41325446730986</v>
      </c>
      <c r="M62" s="29">
        <f t="shared" si="47"/>
        <v>564.86303115165629</v>
      </c>
      <c r="N62" s="29">
        <f>SUM(N58:N61)</f>
        <v>625.44477868597789</v>
      </c>
    </row>
    <row r="63" spans="1:14" outlineLevel="1">
      <c r="A63" s="14" t="s">
        <v>100</v>
      </c>
      <c r="B63" s="14">
        <f>35717/1000</f>
        <v>35.716999999999999</v>
      </c>
      <c r="C63" s="14">
        <f>35990/1000</f>
        <v>35.99</v>
      </c>
      <c r="D63" s="14">
        <f>D147</f>
        <v>33.832725480281646</v>
      </c>
      <c r="E63" s="14">
        <f t="shared" ref="E63:N63" si="48">E147</f>
        <v>32.817743715873199</v>
      </c>
      <c r="F63" s="14">
        <f t="shared" si="48"/>
        <v>31.833211404397002</v>
      </c>
      <c r="G63" s="14">
        <f t="shared" si="48"/>
        <v>30.878215062265092</v>
      </c>
      <c r="H63" s="14">
        <f t="shared" si="48"/>
        <v>29.951868610397138</v>
      </c>
      <c r="I63" s="14">
        <f t="shared" si="48"/>
        <v>29.053312552085224</v>
      </c>
      <c r="J63" s="14">
        <f t="shared" si="48"/>
        <v>28.181713175522667</v>
      </c>
      <c r="K63" s="14">
        <f t="shared" si="48"/>
        <v>27.336261780256986</v>
      </c>
      <c r="L63" s="14">
        <f t="shared" si="48"/>
        <v>26.516173926849277</v>
      </c>
      <c r="M63" s="14">
        <f t="shared" si="48"/>
        <v>25.720688709043799</v>
      </c>
      <c r="N63" s="14">
        <f t="shared" si="48"/>
        <v>24.949068047772485</v>
      </c>
    </row>
    <row r="64" spans="1:14" outlineLevel="1">
      <c r="A64" s="14" t="s">
        <v>101</v>
      </c>
      <c r="B64" s="14">
        <f>52085/1000</f>
        <v>52.085000000000001</v>
      </c>
      <c r="C64" s="14">
        <f>57668/1000</f>
        <v>57.667999999999999</v>
      </c>
      <c r="D64" s="14">
        <f>D142</f>
        <v>49.512001000000005</v>
      </c>
      <c r="E64" s="14">
        <f t="shared" ref="E64:N64" si="49">E142</f>
        <v>48.026640970000003</v>
      </c>
      <c r="F64" s="14">
        <f t="shared" si="49"/>
        <v>46.585841740900001</v>
      </c>
      <c r="G64" s="14">
        <f t="shared" si="49"/>
        <v>45.188266488673001</v>
      </c>
      <c r="H64" s="14">
        <f t="shared" si="49"/>
        <v>43.832618494012813</v>
      </c>
      <c r="I64" s="14">
        <f t="shared" si="49"/>
        <v>42.517639939192428</v>
      </c>
      <c r="J64" s="14">
        <f t="shared" si="49"/>
        <v>41.242110741016653</v>
      </c>
      <c r="K64" s="14">
        <f t="shared" si="49"/>
        <v>40.004847418786156</v>
      </c>
      <c r="L64" s="14">
        <f t="shared" si="49"/>
        <v>38.804701996222569</v>
      </c>
      <c r="M64" s="14">
        <f t="shared" si="49"/>
        <v>37.640560936335895</v>
      </c>
      <c r="N64" s="14">
        <f t="shared" si="49"/>
        <v>36.511344108245815</v>
      </c>
    </row>
    <row r="65" spans="1:14" outlineLevel="1">
      <c r="A65" s="29" t="s">
        <v>22</v>
      </c>
      <c r="B65" s="29">
        <f t="shared" ref="B65" si="50">SUM(B62:B64)</f>
        <v>179.58199999999999</v>
      </c>
      <c r="C65" s="29">
        <f>SUM(C62:C64)</f>
        <v>128.078</v>
      </c>
      <c r="D65" s="29">
        <f>SUM(D62:D64)</f>
        <v>153.24371174453611</v>
      </c>
      <c r="E65" s="29">
        <f t="shared" ref="E65:N65" si="51">SUM(E62:E64)</f>
        <v>186.94092236925451</v>
      </c>
      <c r="F65" s="29">
        <f t="shared" si="51"/>
        <v>222.76971170867131</v>
      </c>
      <c r="G65" s="29">
        <f t="shared" si="51"/>
        <v>260.9403181530177</v>
      </c>
      <c r="H65" s="29">
        <f t="shared" si="51"/>
        <v>326.47161172840123</v>
      </c>
      <c r="I65" s="29">
        <f t="shared" si="51"/>
        <v>389.86037208710917</v>
      </c>
      <c r="J65" s="29">
        <f t="shared" si="51"/>
        <v>451.15958050517133</v>
      </c>
      <c r="K65" s="29">
        <f t="shared" si="51"/>
        <v>510.42872658431247</v>
      </c>
      <c r="L65" s="29">
        <f t="shared" si="51"/>
        <v>572.73413039038167</v>
      </c>
      <c r="M65" s="29">
        <f t="shared" si="51"/>
        <v>628.22428079703593</v>
      </c>
      <c r="N65" s="29">
        <f t="shared" si="51"/>
        <v>686.90519084199616</v>
      </c>
    </row>
    <row r="66" spans="1:14" outlineLevel="1"/>
    <row r="67" spans="1:14" outlineLevel="1">
      <c r="A67" s="14" t="s">
        <v>102</v>
      </c>
      <c r="B67" s="14" t="s">
        <v>20</v>
      </c>
      <c r="C67" s="14">
        <f>6739/1000</f>
        <v>6.7389999999999999</v>
      </c>
      <c r="D67" s="14">
        <f>6739/1000</f>
        <v>6.7389999999999999</v>
      </c>
      <c r="E67" s="14">
        <f t="shared" ref="E67:N67" si="52">6739/1000</f>
        <v>6.7389999999999999</v>
      </c>
      <c r="F67" s="14">
        <f t="shared" si="52"/>
        <v>6.7389999999999999</v>
      </c>
      <c r="G67" s="14">
        <f t="shared" si="52"/>
        <v>6.7389999999999999</v>
      </c>
      <c r="H67" s="14">
        <f t="shared" si="52"/>
        <v>6.7389999999999999</v>
      </c>
      <c r="I67" s="14">
        <f t="shared" si="52"/>
        <v>6.7389999999999999</v>
      </c>
      <c r="J67" s="14">
        <f t="shared" si="52"/>
        <v>6.7389999999999999</v>
      </c>
      <c r="K67" s="14">
        <f t="shared" si="52"/>
        <v>6.7389999999999999</v>
      </c>
      <c r="L67" s="14">
        <f t="shared" si="52"/>
        <v>6.7389999999999999</v>
      </c>
      <c r="M67" s="14">
        <f t="shared" si="52"/>
        <v>6.7389999999999999</v>
      </c>
      <c r="N67" s="14">
        <f t="shared" si="52"/>
        <v>6.7389999999999999</v>
      </c>
    </row>
    <row r="68" spans="1:14" outlineLevel="1">
      <c r="A68" s="14" t="s">
        <v>103</v>
      </c>
      <c r="B68" s="14" t="s">
        <v>20</v>
      </c>
      <c r="C68" s="14">
        <f>750/1000</f>
        <v>0.75</v>
      </c>
    </row>
    <row r="69" spans="1:14" outlineLevel="1">
      <c r="A69" s="14" t="s">
        <v>104</v>
      </c>
      <c r="B69" s="14">
        <f>2832/1000</f>
        <v>2.8319999999999999</v>
      </c>
      <c r="C69" s="14">
        <f>4191/1000</f>
        <v>4.1909999999999998</v>
      </c>
    </row>
    <row r="70" spans="1:14" outlineLevel="1">
      <c r="A70" s="29" t="s">
        <v>23</v>
      </c>
      <c r="B70" s="29">
        <f t="shared" ref="B70" si="53">SUM(B65:B69)</f>
        <v>182.41399999999999</v>
      </c>
      <c r="C70" s="29">
        <f>SUM(C65:C69)</f>
        <v>139.75800000000001</v>
      </c>
      <c r="D70" s="29">
        <f>SUM(D65:D69)</f>
        <v>159.98271174453612</v>
      </c>
      <c r="E70" s="29">
        <f t="shared" ref="E70:N70" si="54">SUM(E65:E69)</f>
        <v>193.67992236925451</v>
      </c>
      <c r="F70" s="29">
        <f t="shared" si="54"/>
        <v>229.50871170867131</v>
      </c>
      <c r="G70" s="29">
        <f t="shared" si="54"/>
        <v>267.67931815301768</v>
      </c>
      <c r="H70" s="29">
        <f t="shared" si="54"/>
        <v>333.2106117284012</v>
      </c>
      <c r="I70" s="29">
        <f t="shared" si="54"/>
        <v>396.59937208710915</v>
      </c>
      <c r="J70" s="29">
        <f t="shared" si="54"/>
        <v>457.89858050517131</v>
      </c>
      <c r="K70" s="29">
        <f t="shared" si="54"/>
        <v>517.1677265843125</v>
      </c>
      <c r="L70" s="29">
        <f t="shared" si="54"/>
        <v>579.4731303903817</v>
      </c>
      <c r="M70" s="29">
        <f t="shared" si="54"/>
        <v>634.96328079703596</v>
      </c>
      <c r="N70" s="29">
        <f t="shared" si="54"/>
        <v>693.64419084199619</v>
      </c>
    </row>
    <row r="71" spans="1:14" outlineLevel="1"/>
    <row r="72" spans="1:14" outlineLevel="1">
      <c r="A72" s="14" t="s">
        <v>24</v>
      </c>
    </row>
    <row r="73" spans="1:14" outlineLevel="1">
      <c r="A73" s="14" t="s">
        <v>105</v>
      </c>
      <c r="B73" s="14">
        <f>12500/1000</f>
        <v>12.5</v>
      </c>
      <c r="C73" s="14" t="s">
        <v>9</v>
      </c>
    </row>
    <row r="74" spans="1:14" outlineLevel="1">
      <c r="A74" s="14" t="s">
        <v>106</v>
      </c>
      <c r="B74" s="14">
        <f>(1462+4285)/1000</f>
        <v>5.7469999999999999</v>
      </c>
      <c r="C74" s="14">
        <f>1000/1000</f>
        <v>1</v>
      </c>
      <c r="D74" s="14">
        <f>1000/1000</f>
        <v>1</v>
      </c>
      <c r="E74" s="14">
        <f t="shared" ref="E74:N74" si="55">1000/1000</f>
        <v>1</v>
      </c>
      <c r="F74" s="14">
        <f t="shared" si="55"/>
        <v>1</v>
      </c>
      <c r="G74" s="14">
        <f t="shared" si="55"/>
        <v>1</v>
      </c>
      <c r="H74" s="14">
        <f t="shared" si="55"/>
        <v>1</v>
      </c>
      <c r="I74" s="14">
        <f t="shared" si="55"/>
        <v>1</v>
      </c>
      <c r="J74" s="14">
        <f t="shared" si="55"/>
        <v>1</v>
      </c>
      <c r="K74" s="14">
        <f t="shared" si="55"/>
        <v>1</v>
      </c>
      <c r="L74" s="14">
        <f t="shared" si="55"/>
        <v>1</v>
      </c>
      <c r="M74" s="14">
        <f t="shared" si="55"/>
        <v>1</v>
      </c>
      <c r="N74" s="14">
        <f t="shared" si="55"/>
        <v>1</v>
      </c>
    </row>
    <row r="75" spans="1:14" outlineLevel="1">
      <c r="A75" s="14" t="s">
        <v>107</v>
      </c>
      <c r="B75" s="14">
        <f>(194+253)/1000</f>
        <v>0.44700000000000001</v>
      </c>
      <c r="C75" s="14">
        <f>(200+60)/1000</f>
        <v>0.26</v>
      </c>
      <c r="D75" s="14">
        <f>D154</f>
        <v>0.2</v>
      </c>
      <c r="E75" s="14">
        <f t="shared" ref="E75:N75" si="56">E154</f>
        <v>0.1</v>
      </c>
      <c r="F75" s="14">
        <f t="shared" si="56"/>
        <v>0</v>
      </c>
      <c r="G75" s="14">
        <f t="shared" si="56"/>
        <v>0</v>
      </c>
      <c r="H75" s="14">
        <f t="shared" si="56"/>
        <v>0</v>
      </c>
      <c r="I75" s="14">
        <f t="shared" si="56"/>
        <v>0</v>
      </c>
      <c r="J75" s="14">
        <f t="shared" si="56"/>
        <v>0</v>
      </c>
      <c r="K75" s="14">
        <f t="shared" si="56"/>
        <v>0</v>
      </c>
      <c r="L75" s="14">
        <f t="shared" si="56"/>
        <v>0</v>
      </c>
      <c r="M75" s="14">
        <f t="shared" si="56"/>
        <v>0</v>
      </c>
      <c r="N75" s="14">
        <f t="shared" si="56"/>
        <v>0</v>
      </c>
    </row>
    <row r="76" spans="1:14" outlineLevel="1">
      <c r="A76" s="14" t="s">
        <v>108</v>
      </c>
      <c r="B76" s="14">
        <f>(63627+22956)/1000</f>
        <v>86.582999999999998</v>
      </c>
      <c r="C76" s="14">
        <f>(39643+11891)/1000</f>
        <v>51.533999999999999</v>
      </c>
      <c r="D76" s="14">
        <f>D160</f>
        <v>50</v>
      </c>
      <c r="E76" s="14">
        <f t="shared" ref="E76:N76" si="57">E160</f>
        <v>40</v>
      </c>
      <c r="F76" s="14">
        <f t="shared" si="57"/>
        <v>30</v>
      </c>
      <c r="G76" s="14">
        <f t="shared" si="57"/>
        <v>20</v>
      </c>
      <c r="H76" s="14">
        <f t="shared" si="57"/>
        <v>35</v>
      </c>
      <c r="I76" s="14">
        <f t="shared" si="57"/>
        <v>45</v>
      </c>
      <c r="J76" s="14">
        <f t="shared" si="57"/>
        <v>50</v>
      </c>
      <c r="K76" s="14">
        <f t="shared" si="57"/>
        <v>50</v>
      </c>
      <c r="L76" s="14">
        <f t="shared" si="57"/>
        <v>50</v>
      </c>
      <c r="M76" s="14">
        <f t="shared" si="57"/>
        <v>40</v>
      </c>
      <c r="N76" s="14">
        <f t="shared" si="57"/>
        <v>30</v>
      </c>
    </row>
    <row r="77" spans="1:14" outlineLevel="1">
      <c r="A77" s="14" t="s">
        <v>109</v>
      </c>
      <c r="B77" s="14">
        <f>40866/1000</f>
        <v>40.866</v>
      </c>
      <c r="C77" s="14" t="s">
        <v>9</v>
      </c>
    </row>
    <row r="78" spans="1:14" outlineLevel="1">
      <c r="A78" s="14" t="s">
        <v>110</v>
      </c>
      <c r="B78" s="14">
        <f>2971/1000</f>
        <v>2.9710000000000001</v>
      </c>
      <c r="C78" s="14">
        <f>3706/1000</f>
        <v>3.706</v>
      </c>
    </row>
    <row r="79" spans="1:14" outlineLevel="1">
      <c r="A79" s="29" t="s">
        <v>25</v>
      </c>
      <c r="B79" s="29">
        <f>SUM(B73:B78)</f>
        <v>149.114</v>
      </c>
      <c r="C79" s="29">
        <f>SUM(C73:C78)</f>
        <v>56.5</v>
      </c>
      <c r="D79" s="29">
        <f>SUM(D73:D78)</f>
        <v>51.2</v>
      </c>
      <c r="E79" s="29">
        <f t="shared" ref="E79:N79" si="58">SUM(E73:E78)</f>
        <v>41.1</v>
      </c>
      <c r="F79" s="29">
        <f t="shared" si="58"/>
        <v>31</v>
      </c>
      <c r="G79" s="29">
        <f t="shared" si="58"/>
        <v>21</v>
      </c>
      <c r="H79" s="29">
        <f t="shared" si="58"/>
        <v>36</v>
      </c>
      <c r="I79" s="29">
        <f t="shared" si="58"/>
        <v>46</v>
      </c>
      <c r="J79" s="29">
        <f t="shared" si="58"/>
        <v>51</v>
      </c>
      <c r="K79" s="29">
        <f t="shared" si="58"/>
        <v>51</v>
      </c>
      <c r="L79" s="29">
        <f t="shared" si="58"/>
        <v>51</v>
      </c>
      <c r="M79" s="29">
        <f t="shared" si="58"/>
        <v>41</v>
      </c>
      <c r="N79" s="29">
        <f t="shared" si="58"/>
        <v>31</v>
      </c>
    </row>
    <row r="80" spans="1:14" outlineLevel="1">
      <c r="A80" s="14" t="s">
        <v>111</v>
      </c>
      <c r="B80" s="14">
        <f>229/1000</f>
        <v>0.22900000000000001</v>
      </c>
      <c r="C80" s="14">
        <f>230/1000</f>
        <v>0.23</v>
      </c>
      <c r="D80" s="14">
        <f t="shared" ref="D80:N80" si="59">D18</f>
        <v>0.24000000000000002</v>
      </c>
      <c r="E80" s="14">
        <f t="shared" si="59"/>
        <v>0.25</v>
      </c>
      <c r="F80" s="14">
        <f t="shared" si="59"/>
        <v>0.26</v>
      </c>
      <c r="G80" s="14">
        <f t="shared" si="59"/>
        <v>0.27</v>
      </c>
      <c r="H80" s="14">
        <f t="shared" si="59"/>
        <v>0.28000000000000003</v>
      </c>
      <c r="I80" s="14">
        <f t="shared" si="59"/>
        <v>0.29000000000000004</v>
      </c>
      <c r="J80" s="14">
        <f t="shared" si="59"/>
        <v>0.30000000000000004</v>
      </c>
      <c r="K80" s="14">
        <f t="shared" si="59"/>
        <v>0.31000000000000005</v>
      </c>
      <c r="L80" s="14">
        <f t="shared" si="59"/>
        <v>0.32000000000000006</v>
      </c>
      <c r="M80" s="14">
        <f t="shared" si="59"/>
        <v>0.33000000000000007</v>
      </c>
      <c r="N80" s="14">
        <f t="shared" si="59"/>
        <v>0.34000000000000008</v>
      </c>
    </row>
    <row r="81" spans="1:14" outlineLevel="1">
      <c r="A81" s="14" t="s">
        <v>112</v>
      </c>
      <c r="B81" s="14">
        <f>4975/1000</f>
        <v>4.9749999999999996</v>
      </c>
      <c r="C81" s="14">
        <f>1000/1000</f>
        <v>1</v>
      </c>
      <c r="D81" s="14">
        <f>1000/1000</f>
        <v>1</v>
      </c>
      <c r="E81" s="14">
        <f t="shared" ref="E81:N81" si="60">1000/1000</f>
        <v>1</v>
      </c>
      <c r="F81" s="14">
        <f t="shared" si="60"/>
        <v>1</v>
      </c>
      <c r="G81" s="14">
        <f t="shared" si="60"/>
        <v>1</v>
      </c>
      <c r="H81" s="14">
        <f t="shared" si="60"/>
        <v>1</v>
      </c>
      <c r="I81" s="14">
        <f t="shared" si="60"/>
        <v>1</v>
      </c>
      <c r="J81" s="14">
        <f t="shared" si="60"/>
        <v>1</v>
      </c>
      <c r="K81" s="14">
        <f t="shared" si="60"/>
        <v>1</v>
      </c>
      <c r="L81" s="14">
        <f t="shared" si="60"/>
        <v>1</v>
      </c>
      <c r="M81" s="14">
        <f t="shared" si="60"/>
        <v>1</v>
      </c>
      <c r="N81" s="14">
        <f t="shared" si="60"/>
        <v>1</v>
      </c>
    </row>
    <row r="82" spans="1:14" outlineLevel="1">
      <c r="A82" s="14" t="s">
        <v>113</v>
      </c>
      <c r="B82" s="14">
        <f>999/1000</f>
        <v>0.999</v>
      </c>
      <c r="C82" s="14">
        <f>999/1000</f>
        <v>0.999</v>
      </c>
      <c r="D82" s="14">
        <f>999/1000</f>
        <v>0.999</v>
      </c>
      <c r="E82" s="14">
        <f t="shared" ref="E82:N82" si="61">999/1000</f>
        <v>0.999</v>
      </c>
      <c r="F82" s="14">
        <f t="shared" si="61"/>
        <v>0.999</v>
      </c>
      <c r="G82" s="14">
        <f t="shared" si="61"/>
        <v>0.999</v>
      </c>
      <c r="H82" s="14">
        <f t="shared" si="61"/>
        <v>0.999</v>
      </c>
      <c r="I82" s="14">
        <f t="shared" si="61"/>
        <v>0.999</v>
      </c>
      <c r="J82" s="14">
        <f t="shared" si="61"/>
        <v>0.999</v>
      </c>
      <c r="K82" s="14">
        <f t="shared" si="61"/>
        <v>0.999</v>
      </c>
      <c r="L82" s="14">
        <f t="shared" si="61"/>
        <v>0.999</v>
      </c>
      <c r="M82" s="14">
        <f t="shared" si="61"/>
        <v>0.999</v>
      </c>
      <c r="N82" s="14">
        <f t="shared" si="61"/>
        <v>0.999</v>
      </c>
    </row>
    <row r="83" spans="1:14" outlineLevel="1">
      <c r="A83" s="14" t="s">
        <v>114</v>
      </c>
      <c r="B83" s="14">
        <f>2005/1000</f>
        <v>2.0049999999999999</v>
      </c>
      <c r="C83" s="14">
        <f>1570/1000</f>
        <v>1.57</v>
      </c>
      <c r="D83" s="14">
        <f>1570/1000</f>
        <v>1.57</v>
      </c>
      <c r="E83" s="14">
        <f t="shared" ref="E83:N83" si="62">1570/1000</f>
        <v>1.57</v>
      </c>
      <c r="F83" s="14">
        <f t="shared" si="62"/>
        <v>1.57</v>
      </c>
      <c r="G83" s="14">
        <f t="shared" si="62"/>
        <v>1.57</v>
      </c>
      <c r="H83" s="14">
        <f t="shared" si="62"/>
        <v>1.57</v>
      </c>
      <c r="I83" s="14">
        <f t="shared" si="62"/>
        <v>1.57</v>
      </c>
      <c r="J83" s="14">
        <f t="shared" si="62"/>
        <v>1.57</v>
      </c>
      <c r="K83" s="14">
        <f t="shared" si="62"/>
        <v>1.57</v>
      </c>
      <c r="L83" s="14">
        <f t="shared" si="62"/>
        <v>1.57</v>
      </c>
      <c r="M83" s="14">
        <f t="shared" si="62"/>
        <v>1.57</v>
      </c>
      <c r="N83" s="14">
        <f t="shared" si="62"/>
        <v>1.57</v>
      </c>
    </row>
    <row r="84" spans="1:14" outlineLevel="1">
      <c r="A84" s="14" t="s">
        <v>115</v>
      </c>
      <c r="B84" s="14">
        <f>-1645/1000</f>
        <v>-1.645</v>
      </c>
      <c r="C84" s="14" t="s">
        <v>9</v>
      </c>
      <c r="D84" s="14">
        <f t="shared" ref="D84:N84" si="63">-D24</f>
        <v>-13.514901566719942</v>
      </c>
      <c r="E84" s="14">
        <f t="shared" si="63"/>
        <v>-10.994901566719903</v>
      </c>
      <c r="F84" s="14">
        <f t="shared" si="63"/>
        <v>-8.9849015667199694</v>
      </c>
      <c r="G84" s="14">
        <f t="shared" si="63"/>
        <v>-7.484901566719941</v>
      </c>
      <c r="H84" s="14">
        <f t="shared" si="63"/>
        <v>-6.484901566719941</v>
      </c>
      <c r="I84" s="14">
        <f t="shared" si="63"/>
        <v>-4.7349015667199978</v>
      </c>
      <c r="J84" s="14">
        <f t="shared" si="63"/>
        <v>-2.4849015667198842</v>
      </c>
      <c r="K84" s="14">
        <f t="shared" si="63"/>
        <v>1.5098433279945311E-2</v>
      </c>
      <c r="L84" s="14">
        <f t="shared" si="63"/>
        <v>2.515098433280059</v>
      </c>
      <c r="M84" s="14">
        <f t="shared" si="63"/>
        <v>5.015098433280059</v>
      </c>
      <c r="N84" s="14">
        <f t="shared" si="63"/>
        <v>7.015098433280059</v>
      </c>
    </row>
    <row r="85" spans="1:14" outlineLevel="1">
      <c r="A85" s="14" t="s">
        <v>116</v>
      </c>
      <c r="B85" s="14">
        <f>26737/1000</f>
        <v>26.736999999999998</v>
      </c>
      <c r="C85" s="14">
        <f>79459/1000</f>
        <v>79.459000000000003</v>
      </c>
      <c r="D85" s="14">
        <f>D169</f>
        <v>118.48861331125606</v>
      </c>
      <c r="E85" s="14">
        <f t="shared" ref="E85:N85" si="64">E169</f>
        <v>159.75582393597443</v>
      </c>
      <c r="F85" s="14">
        <f t="shared" si="64"/>
        <v>203.66461327539128</v>
      </c>
      <c r="G85" s="14">
        <f t="shared" si="64"/>
        <v>250.32521971973762</v>
      </c>
      <c r="H85" s="14">
        <f t="shared" si="64"/>
        <v>299.84651329512116</v>
      </c>
      <c r="I85" s="14">
        <f t="shared" si="64"/>
        <v>351.47527365382916</v>
      </c>
      <c r="J85" s="14">
        <f t="shared" si="64"/>
        <v>405.51448207189122</v>
      </c>
      <c r="K85" s="14">
        <f t="shared" si="64"/>
        <v>462.27362815103248</v>
      </c>
      <c r="L85" s="14">
        <f t="shared" si="64"/>
        <v>522.06903195710163</v>
      </c>
      <c r="M85" s="14">
        <f t="shared" si="64"/>
        <v>585.0491823637559</v>
      </c>
      <c r="N85" s="14">
        <f t="shared" si="64"/>
        <v>651.72009240871614</v>
      </c>
    </row>
    <row r="86" spans="1:14" outlineLevel="1">
      <c r="A86" s="29" t="s">
        <v>26</v>
      </c>
      <c r="B86" s="29">
        <f>SUM(B80:B85)</f>
        <v>33.299999999999997</v>
      </c>
      <c r="C86" s="29">
        <f>SUM(C80:C85)</f>
        <v>83.25800000000001</v>
      </c>
      <c r="D86" s="29">
        <f>SUM(D80:D85)</f>
        <v>108.78271174453612</v>
      </c>
      <c r="E86" s="29">
        <f t="shared" ref="E86:N86" si="65">SUM(E80:E85)</f>
        <v>152.57992236925452</v>
      </c>
      <c r="F86" s="29">
        <f t="shared" si="65"/>
        <v>198.50871170867131</v>
      </c>
      <c r="G86" s="29">
        <f t="shared" si="65"/>
        <v>246.67931815301768</v>
      </c>
      <c r="H86" s="29">
        <f t="shared" si="65"/>
        <v>297.2106117284012</v>
      </c>
      <c r="I86" s="29">
        <f t="shared" si="65"/>
        <v>350.59937208710915</v>
      </c>
      <c r="J86" s="29">
        <f t="shared" si="65"/>
        <v>406.89858050517137</v>
      </c>
      <c r="K86" s="29">
        <f t="shared" si="65"/>
        <v>466.16772658431245</v>
      </c>
      <c r="L86" s="29">
        <f t="shared" si="65"/>
        <v>528.4731303903817</v>
      </c>
      <c r="M86" s="29">
        <f t="shared" si="65"/>
        <v>593.96328079703596</v>
      </c>
      <c r="N86" s="29">
        <f t="shared" si="65"/>
        <v>662.64419084199619</v>
      </c>
    </row>
    <row r="87" spans="1:14" outlineLevel="1">
      <c r="A87" s="29" t="s">
        <v>27</v>
      </c>
      <c r="B87" s="29">
        <f>B86+B79</f>
        <v>182.41399999999999</v>
      </c>
      <c r="C87" s="29">
        <f>C86+C79</f>
        <v>139.75800000000001</v>
      </c>
      <c r="D87" s="29">
        <f>D86+D79</f>
        <v>159.98271174453612</v>
      </c>
      <c r="E87" s="29">
        <f t="shared" ref="E87:N87" si="66">E86+E79</f>
        <v>193.67992236925451</v>
      </c>
      <c r="F87" s="29">
        <f t="shared" si="66"/>
        <v>229.50871170867131</v>
      </c>
      <c r="G87" s="29">
        <f t="shared" si="66"/>
        <v>267.67931815301768</v>
      </c>
      <c r="H87" s="29">
        <f t="shared" si="66"/>
        <v>333.2106117284012</v>
      </c>
      <c r="I87" s="29">
        <f t="shared" si="66"/>
        <v>396.59937208710915</v>
      </c>
      <c r="J87" s="29">
        <f t="shared" si="66"/>
        <v>457.89858050517137</v>
      </c>
      <c r="K87" s="29">
        <f t="shared" si="66"/>
        <v>517.1677265843125</v>
      </c>
      <c r="L87" s="29">
        <f t="shared" si="66"/>
        <v>579.4731303903817</v>
      </c>
      <c r="M87" s="29">
        <f t="shared" si="66"/>
        <v>634.96328079703596</v>
      </c>
      <c r="N87" s="29">
        <f t="shared" si="66"/>
        <v>693.64419084199619</v>
      </c>
    </row>
    <row r="88" spans="1:14" outlineLevel="1"/>
    <row r="89" spans="1:14" outlineLevel="1">
      <c r="A89" s="40" t="s">
        <v>142</v>
      </c>
      <c r="B89" s="40"/>
      <c r="C89" s="40">
        <f>C87-C70</f>
        <v>0</v>
      </c>
      <c r="D89" s="40">
        <f>D87-D70</f>
        <v>0</v>
      </c>
      <c r="E89" s="40">
        <f t="shared" ref="E89:N89" si="67">E87-E70</f>
        <v>0</v>
      </c>
      <c r="F89" s="40">
        <f t="shared" si="67"/>
        <v>0</v>
      </c>
      <c r="G89" s="40">
        <f t="shared" si="67"/>
        <v>0</v>
      </c>
      <c r="H89" s="40">
        <f t="shared" si="67"/>
        <v>0</v>
      </c>
      <c r="I89" s="40">
        <f t="shared" si="67"/>
        <v>0</v>
      </c>
      <c r="J89" s="40">
        <f t="shared" si="67"/>
        <v>0</v>
      </c>
      <c r="K89" s="40">
        <f t="shared" si="67"/>
        <v>0</v>
      </c>
      <c r="L89" s="40">
        <f t="shared" si="67"/>
        <v>0</v>
      </c>
      <c r="M89" s="40">
        <f t="shared" si="67"/>
        <v>0</v>
      </c>
      <c r="N89" s="40">
        <f t="shared" si="67"/>
        <v>0</v>
      </c>
    </row>
    <row r="92" spans="1:14">
      <c r="A92" s="39" t="s">
        <v>268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</row>
    <row r="93" spans="1:14" s="29" customFormat="1" outlineLevel="1">
      <c r="A93" s="29" t="s">
        <v>8</v>
      </c>
      <c r="B93" s="29">
        <v>22.289000000000001</v>
      </c>
      <c r="C93" s="29">
        <v>46.668000000000006</v>
      </c>
      <c r="D93" s="29">
        <f t="shared" ref="D93:N93" si="68">D36</f>
        <v>58.359290444651535</v>
      </c>
      <c r="E93" s="29">
        <f t="shared" si="68"/>
        <v>61.473158035311968</v>
      </c>
      <c r="F93" s="29">
        <f t="shared" si="68"/>
        <v>64.736841913452622</v>
      </c>
      <c r="G93" s="29">
        <f t="shared" si="68"/>
        <v>68.158009206209059</v>
      </c>
      <c r="H93" s="29">
        <f t="shared" si="68"/>
        <v>71.744705107690777</v>
      </c>
      <c r="I93" s="29">
        <f t="shared" si="68"/>
        <v>75.505371941011433</v>
      </c>
      <c r="J93" s="29">
        <f t="shared" si="68"/>
        <v>79.448869168660096</v>
      </c>
      <c r="K93" s="29">
        <f t="shared" si="68"/>
        <v>83.584494398773245</v>
      </c>
      <c r="L93" s="29">
        <f t="shared" si="68"/>
        <v>87.922005437241594</v>
      </c>
      <c r="M93" s="29">
        <f t="shared" si="68"/>
        <v>92.471643438077493</v>
      </c>
      <c r="N93" s="29">
        <f t="shared" si="68"/>
        <v>97.244157207085976</v>
      </c>
    </row>
    <row r="94" spans="1:14" outlineLevel="1">
      <c r="A94" s="14" t="s">
        <v>3</v>
      </c>
      <c r="B94" s="14">
        <v>4.1159999999999997</v>
      </c>
      <c r="C94" s="14">
        <v>4.2210000000000001</v>
      </c>
      <c r="D94" s="14">
        <f t="shared" ref="D94:N94" si="69">-D31</f>
        <v>4.5720360000000007</v>
      </c>
      <c r="E94" s="14">
        <f t="shared" si="69"/>
        <v>4.8006378000000005</v>
      </c>
      <c r="F94" s="14">
        <f t="shared" si="69"/>
        <v>5.0406696900000005</v>
      </c>
      <c r="G94" s="14">
        <f t="shared" si="69"/>
        <v>5.2927031745000006</v>
      </c>
      <c r="H94" s="14">
        <f t="shared" si="69"/>
        <v>5.557338333225001</v>
      </c>
      <c r="I94" s="14">
        <f t="shared" si="69"/>
        <v>5.8352052498862514</v>
      </c>
      <c r="J94" s="14">
        <f t="shared" si="69"/>
        <v>6.126965512380564</v>
      </c>
      <c r="K94" s="14">
        <f t="shared" si="69"/>
        <v>6.4333137879995927</v>
      </c>
      <c r="L94" s="14">
        <f t="shared" si="69"/>
        <v>6.7549794773995728</v>
      </c>
      <c r="M94" s="14">
        <f t="shared" si="69"/>
        <v>7.0927284512695525</v>
      </c>
      <c r="N94" s="14">
        <f t="shared" si="69"/>
        <v>7.4473648738330303</v>
      </c>
    </row>
    <row r="95" spans="1:14" outlineLevel="1">
      <c r="A95" s="14" t="s">
        <v>4</v>
      </c>
      <c r="B95" s="14">
        <v>3.7440000000000002</v>
      </c>
      <c r="C95" s="14">
        <v>3.4049999999999998</v>
      </c>
      <c r="D95" s="14">
        <f t="shared" ref="D95:N95" si="70">-D32</f>
        <v>2.5776719529984016</v>
      </c>
      <c r="E95" s="14">
        <f t="shared" si="70"/>
        <v>2.5003417944084494</v>
      </c>
      <c r="F95" s="14">
        <f t="shared" si="70"/>
        <v>2.4253315405761962</v>
      </c>
      <c r="G95" s="14">
        <f t="shared" si="70"/>
        <v>2.3525715943589098</v>
      </c>
      <c r="H95" s="14">
        <f t="shared" si="70"/>
        <v>2.2819944465281425</v>
      </c>
      <c r="I95" s="14">
        <f t="shared" si="70"/>
        <v>2.2135346131322984</v>
      </c>
      <c r="J95" s="14">
        <f t="shared" si="70"/>
        <v>2.1471285747383293</v>
      </c>
      <c r="K95" s="14">
        <f t="shared" si="70"/>
        <v>2.0827147174961795</v>
      </c>
      <c r="L95" s="14">
        <f t="shared" si="70"/>
        <v>2.020233275971294</v>
      </c>
      <c r="M95" s="14">
        <f t="shared" si="70"/>
        <v>1.9596262776921554</v>
      </c>
      <c r="N95" s="14">
        <f t="shared" si="70"/>
        <v>1.9008374893613906</v>
      </c>
    </row>
    <row r="96" spans="1:14" outlineLevel="1">
      <c r="A96" s="14" t="s">
        <v>28</v>
      </c>
      <c r="B96" s="29">
        <f>SUM(B93:B95)</f>
        <v>30.149000000000001</v>
      </c>
      <c r="C96" s="29">
        <f>SUM(C93:C95)</f>
        <v>54.294000000000011</v>
      </c>
      <c r="D96" s="29">
        <f>SUM(D93:D95)</f>
        <v>65.508998397649933</v>
      </c>
      <c r="E96" s="29">
        <f t="shared" ref="E96:N96" si="71">SUM(E93:E95)</f>
        <v>68.774137629720428</v>
      </c>
      <c r="F96" s="29">
        <f t="shared" si="71"/>
        <v>72.202843144028819</v>
      </c>
      <c r="G96" s="29">
        <f t="shared" si="71"/>
        <v>75.80328397506797</v>
      </c>
      <c r="H96" s="29">
        <f t="shared" si="71"/>
        <v>79.584037887443927</v>
      </c>
      <c r="I96" s="29">
        <f t="shared" si="71"/>
        <v>83.554111804029986</v>
      </c>
      <c r="J96" s="29">
        <f t="shared" si="71"/>
        <v>87.722963255778993</v>
      </c>
      <c r="K96" s="29">
        <f t="shared" si="71"/>
        <v>92.100522904269013</v>
      </c>
      <c r="L96" s="29">
        <f t="shared" si="71"/>
        <v>96.69721819061246</v>
      </c>
      <c r="M96" s="29">
        <f t="shared" si="71"/>
        <v>101.5239981670392</v>
      </c>
      <c r="N96" s="29">
        <f t="shared" si="71"/>
        <v>106.59235957028039</v>
      </c>
    </row>
    <row r="97" spans="1:14" outlineLevel="1">
      <c r="A97" s="14" t="s">
        <v>29</v>
      </c>
      <c r="B97" s="14">
        <v>0.69899999999999995</v>
      </c>
      <c r="C97" s="14">
        <f>-526/1000</f>
        <v>-0.52600000000000002</v>
      </c>
      <c r="D97" s="14">
        <f t="shared" ref="D97:N97" si="72">-D53+C53</f>
        <v>13.344369863013682</v>
      </c>
      <c r="E97" s="14">
        <f t="shared" si="72"/>
        <v>-3.1315315068493135</v>
      </c>
      <c r="F97" s="14">
        <f t="shared" si="72"/>
        <v>-3.2881080821917834</v>
      </c>
      <c r="G97" s="14">
        <f t="shared" si="72"/>
        <v>-3.4525134863013704</v>
      </c>
      <c r="H97" s="14">
        <f t="shared" si="72"/>
        <v>-3.6251391606164418</v>
      </c>
      <c r="I97" s="14">
        <f t="shared" si="72"/>
        <v>-3.8063961186472568</v>
      </c>
      <c r="J97" s="14">
        <f t="shared" si="72"/>
        <v>-3.9967159245796466</v>
      </c>
      <c r="K97" s="14">
        <f t="shared" si="72"/>
        <v>-4.1965517208085998</v>
      </c>
      <c r="L97" s="14">
        <f t="shared" si="72"/>
        <v>-4.4063793068490469</v>
      </c>
      <c r="M97" s="14">
        <f t="shared" si="72"/>
        <v>-4.62669827219149</v>
      </c>
      <c r="N97" s="14">
        <f t="shared" si="72"/>
        <v>-4.8580331858010766</v>
      </c>
    </row>
    <row r="98" spans="1:14" outlineLevel="1">
      <c r="A98" s="14" t="s">
        <v>30</v>
      </c>
      <c r="B98" s="14">
        <v>-0.76500000000000001</v>
      </c>
      <c r="C98" s="14">
        <f>6488/1000</f>
        <v>6.4880000000000004</v>
      </c>
      <c r="D98" s="14">
        <f t="shared" ref="D98:N98" si="73">D56-C56</f>
        <v>-17.218243835616434</v>
      </c>
      <c r="E98" s="14">
        <f t="shared" si="73"/>
        <v>3.757837808219179</v>
      </c>
      <c r="F98" s="14">
        <f t="shared" si="73"/>
        <v>3.9457296986301458</v>
      </c>
      <c r="G98" s="14">
        <f t="shared" si="73"/>
        <v>4.1430161835616417</v>
      </c>
      <c r="H98" s="14">
        <f t="shared" si="73"/>
        <v>4.3501669927397302</v>
      </c>
      <c r="I98" s="14">
        <f t="shared" si="73"/>
        <v>4.5676753423767167</v>
      </c>
      <c r="J98" s="14">
        <f t="shared" si="73"/>
        <v>4.7960591094955589</v>
      </c>
      <c r="K98" s="14">
        <f t="shared" si="73"/>
        <v>5.0358620649703312</v>
      </c>
      <c r="L98" s="14">
        <f t="shared" si="73"/>
        <v>5.2876551682188619</v>
      </c>
      <c r="M98" s="14">
        <f t="shared" si="73"/>
        <v>5.5520379266297937</v>
      </c>
      <c r="N98" s="14">
        <f t="shared" si="73"/>
        <v>5.8296398229612976</v>
      </c>
    </row>
    <row r="99" spans="1:14" outlineLevel="1">
      <c r="A99" s="14" t="s">
        <v>31</v>
      </c>
      <c r="B99" s="14">
        <v>-1.0999999999999999E-2</v>
      </c>
      <c r="C99" s="14">
        <f>70/1000</f>
        <v>7.0000000000000007E-2</v>
      </c>
      <c r="D99" s="14">
        <f t="shared" ref="D99:N99" si="74">-D52+C52</f>
        <v>-4.3783780821917861E-2</v>
      </c>
      <c r="E99" s="14">
        <f t="shared" si="74"/>
        <v>-1.8789189041095833E-2</v>
      </c>
      <c r="F99" s="14">
        <f t="shared" si="74"/>
        <v>-1.9728648493150702E-2</v>
      </c>
      <c r="G99" s="14">
        <f t="shared" si="74"/>
        <v>-2.0715080917808215E-2</v>
      </c>
      <c r="H99" s="14">
        <f t="shared" si="74"/>
        <v>-2.1750834963698673E-2</v>
      </c>
      <c r="I99" s="14">
        <f t="shared" si="74"/>
        <v>-2.2838376711883601E-2</v>
      </c>
      <c r="J99" s="14">
        <f t="shared" si="74"/>
        <v>-2.398029554747777E-2</v>
      </c>
      <c r="K99" s="14">
        <f t="shared" si="74"/>
        <v>-2.5179310324851656E-2</v>
      </c>
      <c r="L99" s="14">
        <f t="shared" si="74"/>
        <v>-2.6438275841094261E-2</v>
      </c>
      <c r="M99" s="14">
        <f t="shared" si="74"/>
        <v>-2.7760189633149079E-2</v>
      </c>
      <c r="N99" s="14">
        <f t="shared" si="74"/>
        <v>-2.9148199114806372E-2</v>
      </c>
    </row>
    <row r="100" spans="1:14" outlineLevel="1">
      <c r="A100" s="14" t="s">
        <v>32</v>
      </c>
      <c r="B100" s="14">
        <v>0.59299999999999997</v>
      </c>
      <c r="C100" s="14">
        <f>4354/1000</f>
        <v>4.3540000000000001</v>
      </c>
      <c r="D100" s="14">
        <f t="shared" ref="D100:N100" si="75">D60+C60</f>
        <v>4.407</v>
      </c>
      <c r="E100" s="14">
        <f t="shared" si="75"/>
        <v>0</v>
      </c>
      <c r="F100" s="14">
        <f t="shared" si="75"/>
        <v>0</v>
      </c>
      <c r="G100" s="14">
        <f t="shared" si="75"/>
        <v>0</v>
      </c>
      <c r="H100" s="14">
        <f t="shared" si="75"/>
        <v>0</v>
      </c>
      <c r="I100" s="14">
        <f t="shared" si="75"/>
        <v>0</v>
      </c>
      <c r="J100" s="14">
        <f t="shared" si="75"/>
        <v>0</v>
      </c>
      <c r="K100" s="14">
        <f t="shared" si="75"/>
        <v>0</v>
      </c>
      <c r="L100" s="14">
        <f t="shared" si="75"/>
        <v>0</v>
      </c>
      <c r="M100" s="14">
        <f t="shared" si="75"/>
        <v>0</v>
      </c>
      <c r="N100" s="14">
        <f t="shared" si="75"/>
        <v>0</v>
      </c>
    </row>
    <row r="101" spans="1:14" outlineLevel="1">
      <c r="A101" s="14" t="s">
        <v>33</v>
      </c>
      <c r="B101" s="14">
        <v>0.97199999999999998</v>
      </c>
      <c r="C101" s="14">
        <f>-24/1000</f>
        <v>-2.4E-2</v>
      </c>
    </row>
    <row r="102" spans="1:14" outlineLevel="1">
      <c r="A102" s="14" t="s">
        <v>34</v>
      </c>
      <c r="B102" s="14">
        <v>-0.52900000000000003</v>
      </c>
      <c r="C102" s="14">
        <f>-684/1000</f>
        <v>-0.68400000000000005</v>
      </c>
    </row>
    <row r="103" spans="1:14" outlineLevel="1">
      <c r="A103" s="14" t="s">
        <v>35</v>
      </c>
      <c r="B103" s="14">
        <v>0</v>
      </c>
      <c r="C103" s="14">
        <f>12500/1000</f>
        <v>12.5</v>
      </c>
    </row>
    <row r="104" spans="1:14" outlineLevel="1">
      <c r="A104" s="14" t="s">
        <v>36</v>
      </c>
      <c r="B104" s="14">
        <v>2.1999999999999999E-2</v>
      </c>
      <c r="C104" s="14">
        <f>-7/1000</f>
        <v>-7.0000000000000001E-3</v>
      </c>
    </row>
    <row r="105" spans="1:14" outlineLevel="1">
      <c r="A105" s="14" t="s">
        <v>37</v>
      </c>
      <c r="B105" s="14">
        <v>-3.2869999999999999</v>
      </c>
      <c r="C105" s="14">
        <f>-5185/1000</f>
        <v>-5.1849999999999996</v>
      </c>
      <c r="D105" s="14">
        <f>-D136</f>
        <v>-8.1902360000000023</v>
      </c>
      <c r="E105" s="14">
        <f t="shared" ref="E105:N105" si="76">-E136</f>
        <v>-6.0706477999999997</v>
      </c>
      <c r="F105" s="14">
        <f t="shared" si="76"/>
        <v>-6.3741801900000032</v>
      </c>
      <c r="G105" s="14">
        <f t="shared" si="76"/>
        <v>-6.6928891995000042</v>
      </c>
      <c r="H105" s="14">
        <f t="shared" si="76"/>
        <v>-7.0275336594750009</v>
      </c>
      <c r="I105" s="14">
        <f t="shared" si="76"/>
        <v>-7.3789103424487523</v>
      </c>
      <c r="J105" s="14">
        <f t="shared" si="76"/>
        <v>-7.747855859571195</v>
      </c>
      <c r="K105" s="14">
        <f t="shared" si="76"/>
        <v>-8.1352486525497465</v>
      </c>
      <c r="L105" s="14">
        <f t="shared" si="76"/>
        <v>-8.5420110851772435</v>
      </c>
      <c r="M105" s="14">
        <f t="shared" si="76"/>
        <v>-8.9691116394361021</v>
      </c>
      <c r="N105" s="14">
        <f t="shared" si="76"/>
        <v>-9.4175672214079142</v>
      </c>
    </row>
    <row r="106" spans="1:14" outlineLevel="1">
      <c r="A106" s="29" t="s">
        <v>38</v>
      </c>
      <c r="B106" s="29">
        <f t="shared" ref="B106:N106" si="77">SUM(B96:B105)</f>
        <v>27.843000000000004</v>
      </c>
      <c r="C106" s="29">
        <f t="shared" si="77"/>
        <v>71.28</v>
      </c>
      <c r="D106" s="29">
        <f t="shared" si="77"/>
        <v>57.808104644225267</v>
      </c>
      <c r="E106" s="29">
        <f t="shared" si="77"/>
        <v>63.31100694204919</v>
      </c>
      <c r="F106" s="29">
        <f t="shared" si="77"/>
        <v>66.46655592197402</v>
      </c>
      <c r="G106" s="29">
        <f t="shared" si="77"/>
        <v>69.780182391910429</v>
      </c>
      <c r="H106" s="29">
        <f t="shared" si="77"/>
        <v>73.259781225128521</v>
      </c>
      <c r="I106" s="29">
        <f t="shared" si="77"/>
        <v>76.91364230859881</v>
      </c>
      <c r="J106" s="29">
        <f t="shared" si="77"/>
        <v>80.750470285576242</v>
      </c>
      <c r="K106" s="29">
        <f t="shared" si="77"/>
        <v>84.779405285556138</v>
      </c>
      <c r="L106" s="29">
        <f t="shared" si="77"/>
        <v>89.010044690963952</v>
      </c>
      <c r="M106" s="29">
        <f t="shared" si="77"/>
        <v>93.452465992408236</v>
      </c>
      <c r="N106" s="29">
        <f t="shared" si="77"/>
        <v>98.117250786917907</v>
      </c>
    </row>
    <row r="107" spans="1:14" outlineLevel="1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</row>
    <row r="108" spans="1:14" outlineLevel="1">
      <c r="A108" s="14" t="s">
        <v>39</v>
      </c>
      <c r="B108" s="14">
        <v>0.33200000000000002</v>
      </c>
      <c r="C108" s="14">
        <v>1.2999999999999999E-2</v>
      </c>
    </row>
    <row r="109" spans="1:14" outlineLevel="1">
      <c r="A109" s="14" t="s">
        <v>40</v>
      </c>
      <c r="B109" s="14">
        <v>-3.2869999999999999</v>
      </c>
      <c r="C109" s="14">
        <v>-5.6269999999999998</v>
      </c>
    </row>
    <row r="110" spans="1:14" outlineLevel="1">
      <c r="A110" s="14" t="s">
        <v>41</v>
      </c>
      <c r="B110" s="14">
        <v>-60.8</v>
      </c>
      <c r="C110" s="14">
        <f>-4.543-2.9</f>
        <v>-7.4429999999999996</v>
      </c>
    </row>
    <row r="111" spans="1:14" outlineLevel="1">
      <c r="A111" s="14" t="s">
        <v>42</v>
      </c>
      <c r="C111" s="14">
        <v>-2</v>
      </c>
    </row>
    <row r="112" spans="1:14" outlineLevel="1">
      <c r="A112" s="14" t="s">
        <v>43</v>
      </c>
      <c r="C112" s="14">
        <v>-6.7389999999999999</v>
      </c>
    </row>
    <row r="113" spans="1:14" outlineLevel="1">
      <c r="A113" s="14" t="s">
        <v>44</v>
      </c>
      <c r="C113" s="14">
        <v>-0.75</v>
      </c>
      <c r="D113" s="14">
        <f t="shared" ref="D113:N113" si="78">C68</f>
        <v>0.75</v>
      </c>
      <c r="E113" s="14">
        <f t="shared" si="78"/>
        <v>0</v>
      </c>
      <c r="F113" s="14">
        <f t="shared" si="78"/>
        <v>0</v>
      </c>
      <c r="G113" s="14">
        <f t="shared" si="78"/>
        <v>0</v>
      </c>
      <c r="H113" s="14">
        <f t="shared" si="78"/>
        <v>0</v>
      </c>
      <c r="I113" s="14">
        <f t="shared" si="78"/>
        <v>0</v>
      </c>
      <c r="J113" s="14">
        <f t="shared" si="78"/>
        <v>0</v>
      </c>
      <c r="K113" s="14">
        <f t="shared" si="78"/>
        <v>0</v>
      </c>
      <c r="L113" s="14">
        <f t="shared" si="78"/>
        <v>0</v>
      </c>
      <c r="M113" s="14">
        <f t="shared" si="78"/>
        <v>0</v>
      </c>
      <c r="N113" s="14">
        <f t="shared" si="78"/>
        <v>0</v>
      </c>
    </row>
    <row r="114" spans="1:14" outlineLevel="1">
      <c r="A114" s="14" t="s">
        <v>45</v>
      </c>
      <c r="B114" s="14">
        <v>2.1000000000000001E-2</v>
      </c>
      <c r="C114" s="14">
        <v>20.158999999999999</v>
      </c>
    </row>
    <row r="115" spans="1:14" outlineLevel="1">
      <c r="A115" s="29" t="s">
        <v>140</v>
      </c>
      <c r="B115" s="29">
        <f>SUM(B108:B114)</f>
        <v>-63.733999999999995</v>
      </c>
      <c r="C115" s="29">
        <f>SUM(C108:C114)</f>
        <v>-2.3870000000000005</v>
      </c>
      <c r="D115" s="29">
        <f>SUM(D108:D114)</f>
        <v>0.75</v>
      </c>
      <c r="E115" s="29">
        <f t="shared" ref="E115:N115" si="79">SUM(E108:E114)</f>
        <v>0</v>
      </c>
      <c r="F115" s="29">
        <f t="shared" si="79"/>
        <v>0</v>
      </c>
      <c r="G115" s="29">
        <f t="shared" si="79"/>
        <v>0</v>
      </c>
      <c r="H115" s="29">
        <f t="shared" si="79"/>
        <v>0</v>
      </c>
      <c r="I115" s="29">
        <f t="shared" si="79"/>
        <v>0</v>
      </c>
      <c r="J115" s="29">
        <f t="shared" si="79"/>
        <v>0</v>
      </c>
      <c r="K115" s="29">
        <f t="shared" si="79"/>
        <v>0</v>
      </c>
      <c r="L115" s="29">
        <f t="shared" si="79"/>
        <v>0</v>
      </c>
      <c r="M115" s="29">
        <f t="shared" si="79"/>
        <v>0</v>
      </c>
      <c r="N115" s="29">
        <f t="shared" si="79"/>
        <v>0</v>
      </c>
    </row>
    <row r="116" spans="1:14" outlineLevel="1"/>
    <row r="117" spans="1:14" outlineLevel="1">
      <c r="A117" s="14" t="s">
        <v>47</v>
      </c>
    </row>
    <row r="118" spans="1:14" outlineLevel="1">
      <c r="A118" s="14" t="s">
        <v>48</v>
      </c>
      <c r="B118" s="14">
        <v>-1.54</v>
      </c>
      <c r="C118" s="14">
        <v>1.6670376996805101</v>
      </c>
      <c r="D118" s="14">
        <f t="shared" ref="D118:N118" si="80">D38</f>
        <v>-2.6027</v>
      </c>
      <c r="E118" s="14">
        <f t="shared" si="80"/>
        <v>-2.52</v>
      </c>
      <c r="F118" s="14">
        <f t="shared" si="80"/>
        <v>-2.0099999999999998</v>
      </c>
      <c r="G118" s="14">
        <f t="shared" si="80"/>
        <v>-1.5</v>
      </c>
      <c r="H118" s="14">
        <f t="shared" si="80"/>
        <v>-1</v>
      </c>
      <c r="I118" s="14">
        <f t="shared" si="80"/>
        <v>-1.75</v>
      </c>
      <c r="J118" s="14">
        <f t="shared" si="80"/>
        <v>-2.25</v>
      </c>
      <c r="K118" s="14">
        <f t="shared" si="80"/>
        <v>-2.5</v>
      </c>
      <c r="L118" s="14">
        <f t="shared" si="80"/>
        <v>-2.5</v>
      </c>
      <c r="M118" s="14">
        <f t="shared" si="80"/>
        <v>-2.5</v>
      </c>
      <c r="N118" s="14">
        <f t="shared" si="80"/>
        <v>-2</v>
      </c>
    </row>
    <row r="119" spans="1:14" outlineLevel="1">
      <c r="A119" s="14" t="s">
        <v>49</v>
      </c>
      <c r="B119" s="14">
        <v>-21.385000000000002</v>
      </c>
      <c r="C119" s="14">
        <v>-23.096</v>
      </c>
      <c r="D119" s="14">
        <f>D168-C69-C78</f>
        <v>-24.62397713339546</v>
      </c>
      <c r="E119" s="14">
        <f>E168-D69-D78</f>
        <v>-17.685947410593588</v>
      </c>
      <c r="F119" s="14">
        <f>F168-E69-E78</f>
        <v>-18.818052574035786</v>
      </c>
      <c r="G119" s="14">
        <f>G168-F69-F78</f>
        <v>-19.997402761862716</v>
      </c>
      <c r="H119" s="14">
        <f>H168-G69-G78</f>
        <v>-21.223411532307232</v>
      </c>
      <c r="I119" s="14">
        <f>I168-H69-H78</f>
        <v>-22.126611582303429</v>
      </c>
      <c r="J119" s="14">
        <f>J168-I69-I78</f>
        <v>-23.159660750598029</v>
      </c>
      <c r="K119" s="14">
        <f>K168-J69-J78</f>
        <v>-24.325348319631974</v>
      </c>
      <c r="L119" s="14">
        <f>L168-K69-K78</f>
        <v>-25.626601631172477</v>
      </c>
      <c r="M119" s="14">
        <f>M168-L69-L78</f>
        <v>-26.991493031423246</v>
      </c>
      <c r="N119" s="14">
        <f>N168-M69-M78</f>
        <v>-28.573247162125792</v>
      </c>
    </row>
    <row r="120" spans="1:14" outlineLevel="1">
      <c r="A120" s="14" t="s">
        <v>50</v>
      </c>
      <c r="B120" s="14">
        <v>1E-3</v>
      </c>
      <c r="C120" s="14">
        <v>1E-3</v>
      </c>
      <c r="D120" s="14">
        <f t="shared" ref="D120:N120" si="81">D80-C80</f>
        <v>1.0000000000000009E-2</v>
      </c>
      <c r="E120" s="14">
        <f t="shared" si="81"/>
        <v>9.9999999999999811E-3</v>
      </c>
      <c r="F120" s="14">
        <f t="shared" si="81"/>
        <v>1.0000000000000009E-2</v>
      </c>
      <c r="G120" s="14">
        <f t="shared" si="81"/>
        <v>1.0000000000000009E-2</v>
      </c>
      <c r="H120" s="14">
        <f t="shared" si="81"/>
        <v>1.0000000000000009E-2</v>
      </c>
      <c r="I120" s="14">
        <f t="shared" si="81"/>
        <v>1.0000000000000009E-2</v>
      </c>
      <c r="J120" s="14">
        <f t="shared" si="81"/>
        <v>1.0000000000000009E-2</v>
      </c>
      <c r="K120" s="14">
        <f t="shared" si="81"/>
        <v>1.0000000000000009E-2</v>
      </c>
      <c r="L120" s="14">
        <f t="shared" si="81"/>
        <v>1.0000000000000009E-2</v>
      </c>
      <c r="M120" s="14">
        <f t="shared" si="81"/>
        <v>1.0000000000000009E-2</v>
      </c>
      <c r="N120" s="14">
        <f t="shared" si="81"/>
        <v>1.0000000000000009E-2</v>
      </c>
    </row>
    <row r="121" spans="1:14" outlineLevel="1">
      <c r="A121" s="14" t="s">
        <v>51</v>
      </c>
      <c r="B121" s="14">
        <v>-70</v>
      </c>
      <c r="C121" s="14">
        <v>-61.469000000000001</v>
      </c>
      <c r="D121" s="14">
        <f>IF(D159&lt;0,D159,0)</f>
        <v>0</v>
      </c>
      <c r="E121" s="14">
        <f t="shared" ref="E121:N121" si="82">IF(E159&lt;0,E159,0)</f>
        <v>-7.5</v>
      </c>
      <c r="F121" s="14">
        <f t="shared" si="82"/>
        <v>-8</v>
      </c>
      <c r="G121" s="14">
        <f t="shared" si="82"/>
        <v>-8.5</v>
      </c>
      <c r="H121" s="14">
        <f t="shared" si="82"/>
        <v>0</v>
      </c>
      <c r="I121" s="14">
        <f t="shared" si="82"/>
        <v>0</v>
      </c>
      <c r="J121" s="14">
        <f t="shared" si="82"/>
        <v>0</v>
      </c>
      <c r="K121" s="14">
        <f t="shared" si="82"/>
        <v>0</v>
      </c>
      <c r="L121" s="14">
        <f t="shared" si="82"/>
        <v>0</v>
      </c>
      <c r="M121" s="14">
        <f t="shared" si="82"/>
        <v>-7.5</v>
      </c>
      <c r="N121" s="14">
        <f t="shared" si="82"/>
        <v>-8</v>
      </c>
    </row>
    <row r="122" spans="1:14" outlineLevel="1">
      <c r="A122" s="14" t="s">
        <v>52</v>
      </c>
      <c r="B122" s="14">
        <v>81.259</v>
      </c>
      <c r="C122" s="14">
        <v>26.42</v>
      </c>
      <c r="D122" s="14">
        <f>IF(D159&gt;0,D159,0)</f>
        <v>1.0427000000000013</v>
      </c>
      <c r="E122" s="14">
        <f t="shared" ref="E122:N122" si="83">IF(E159&gt;0,E159,0)</f>
        <v>0</v>
      </c>
      <c r="F122" s="14">
        <f t="shared" si="83"/>
        <v>0</v>
      </c>
      <c r="G122" s="14">
        <f t="shared" si="83"/>
        <v>0</v>
      </c>
      <c r="H122" s="14">
        <f t="shared" si="83"/>
        <v>16</v>
      </c>
      <c r="I122" s="14">
        <f t="shared" si="83"/>
        <v>11.75</v>
      </c>
      <c r="J122" s="14">
        <f t="shared" si="83"/>
        <v>7.25</v>
      </c>
      <c r="K122" s="14">
        <f t="shared" si="83"/>
        <v>2.5</v>
      </c>
      <c r="L122" s="14">
        <f t="shared" si="83"/>
        <v>2.5</v>
      </c>
      <c r="M122" s="14">
        <f t="shared" si="83"/>
        <v>0</v>
      </c>
      <c r="N122" s="14">
        <f t="shared" si="83"/>
        <v>0</v>
      </c>
    </row>
    <row r="123" spans="1:14" outlineLevel="1">
      <c r="A123" s="14" t="s">
        <v>53</v>
      </c>
      <c r="B123" s="14">
        <v>0.21099999999999999</v>
      </c>
      <c r="C123" s="14">
        <v>-0.24299999999999999</v>
      </c>
      <c r="D123" s="14">
        <f>D153</f>
        <v>-3.3999999999999996E-2</v>
      </c>
      <c r="E123" s="14">
        <f t="shared" ref="E123:N123" si="84">E153</f>
        <v>-0.08</v>
      </c>
      <c r="F123" s="14">
        <f t="shared" si="84"/>
        <v>-0.09</v>
      </c>
      <c r="G123" s="14">
        <f t="shared" si="84"/>
        <v>0</v>
      </c>
      <c r="H123" s="14">
        <f t="shared" si="84"/>
        <v>0</v>
      </c>
      <c r="I123" s="14">
        <f t="shared" si="84"/>
        <v>0</v>
      </c>
      <c r="J123" s="14">
        <f t="shared" si="84"/>
        <v>0</v>
      </c>
      <c r="K123" s="14">
        <f t="shared" si="84"/>
        <v>0</v>
      </c>
      <c r="L123" s="14">
        <f t="shared" si="84"/>
        <v>0</v>
      </c>
      <c r="M123" s="14">
        <f t="shared" si="84"/>
        <v>0</v>
      </c>
      <c r="N123" s="14">
        <f t="shared" si="84"/>
        <v>0</v>
      </c>
    </row>
    <row r="124" spans="1:14" outlineLevel="1">
      <c r="A124" s="29" t="s">
        <v>141</v>
      </c>
      <c r="B124" s="29">
        <f>SUM(B118:B123)</f>
        <v>-11.454000000000006</v>
      </c>
      <c r="C124" s="29">
        <f>SUM(C118:C123)</f>
        <v>-56.719962300319487</v>
      </c>
      <c r="D124" s="29">
        <f>SUM(D118:D123)</f>
        <v>-26.207977133395456</v>
      </c>
      <c r="E124" s="29">
        <f t="shared" ref="E124:N124" si="85">SUM(E118:E123)</f>
        <v>-27.775947410593584</v>
      </c>
      <c r="F124" s="29">
        <f t="shared" si="85"/>
        <v>-28.908052574035786</v>
      </c>
      <c r="G124" s="29">
        <f t="shared" si="85"/>
        <v>-29.987402761862715</v>
      </c>
      <c r="H124" s="29">
        <f>SUM(H118:H123)</f>
        <v>-6.2134115323072301</v>
      </c>
      <c r="I124" s="29">
        <f t="shared" si="85"/>
        <v>-12.116611582303427</v>
      </c>
      <c r="J124" s="29">
        <f t="shared" si="85"/>
        <v>-18.149660750598027</v>
      </c>
      <c r="K124" s="29">
        <f t="shared" si="85"/>
        <v>-24.315348319631973</v>
      </c>
      <c r="L124" s="29">
        <f t="shared" si="85"/>
        <v>-25.616601631172475</v>
      </c>
      <c r="M124" s="29">
        <f t="shared" si="85"/>
        <v>-36.981493031423241</v>
      </c>
      <c r="N124" s="29">
        <f t="shared" si="85"/>
        <v>-38.563247162125791</v>
      </c>
    </row>
    <row r="125" spans="1:14" outlineLevel="1"/>
    <row r="126" spans="1:14" outlineLevel="1">
      <c r="A126" s="14" t="s">
        <v>282</v>
      </c>
      <c r="B126" s="14">
        <f>B124+B115+B106</f>
        <v>-47.344999999999999</v>
      </c>
      <c r="C126" s="14">
        <f t="shared" ref="C126:N126" si="86">C124+C115+C106</f>
        <v>12.173037699680513</v>
      </c>
      <c r="D126" s="14">
        <f t="shared" si="86"/>
        <v>32.350127510829807</v>
      </c>
      <c r="E126" s="14">
        <f t="shared" si="86"/>
        <v>35.535059531455602</v>
      </c>
      <c r="F126" s="14">
        <f t="shared" si="86"/>
        <v>37.558503347938235</v>
      </c>
      <c r="G126" s="14">
        <f t="shared" si="86"/>
        <v>39.792779630047718</v>
      </c>
      <c r="H126" s="14">
        <f t="shared" si="86"/>
        <v>67.046369692821287</v>
      </c>
      <c r="I126" s="14">
        <f t="shared" si="86"/>
        <v>64.79703072629539</v>
      </c>
      <c r="J126" s="14">
        <f t="shared" si="86"/>
        <v>62.600809534978211</v>
      </c>
      <c r="K126" s="14">
        <f t="shared" si="86"/>
        <v>60.464056965924165</v>
      </c>
      <c r="L126" s="14">
        <f t="shared" si="86"/>
        <v>63.39344305979148</v>
      </c>
      <c r="M126" s="14">
        <f t="shared" si="86"/>
        <v>56.470972960984994</v>
      </c>
      <c r="N126" s="14">
        <f t="shared" si="86"/>
        <v>59.554003624792117</v>
      </c>
    </row>
    <row r="127" spans="1:14" outlineLevel="1">
      <c r="A127" s="14" t="s">
        <v>144</v>
      </c>
      <c r="B127" s="14">
        <f>B128-B126</f>
        <v>86.284999999999997</v>
      </c>
      <c r="C127" s="14">
        <f>C128-C126</f>
        <v>12.125962300319486</v>
      </c>
      <c r="D127" s="14">
        <f t="shared" ref="D127:N127" si="87">C54</f>
        <v>24.298999999999999</v>
      </c>
      <c r="E127" s="14">
        <f t="shared" si="87"/>
        <v>56.649127510829807</v>
      </c>
      <c r="F127" s="14">
        <f t="shared" si="87"/>
        <v>92.184187042285402</v>
      </c>
      <c r="G127" s="14">
        <f t="shared" si="87"/>
        <v>129.74269039022363</v>
      </c>
      <c r="H127" s="14">
        <f t="shared" si="87"/>
        <v>169.53547002027136</v>
      </c>
      <c r="I127" s="14">
        <f t="shared" si="87"/>
        <v>236.58183971309265</v>
      </c>
      <c r="J127" s="14">
        <f t="shared" si="87"/>
        <v>301.37887043938804</v>
      </c>
      <c r="K127" s="14">
        <f t="shared" si="87"/>
        <v>363.97967997436626</v>
      </c>
      <c r="L127" s="14">
        <f t="shared" si="87"/>
        <v>424.44373694029042</v>
      </c>
      <c r="M127" s="14">
        <f t="shared" si="87"/>
        <v>487.8371800000819</v>
      </c>
      <c r="N127" s="14">
        <f t="shared" si="87"/>
        <v>544.30815296106687</v>
      </c>
    </row>
    <row r="128" spans="1:14" outlineLevel="1">
      <c r="A128" s="29" t="s">
        <v>46</v>
      </c>
      <c r="B128" s="29">
        <f>B54</f>
        <v>38.94</v>
      </c>
      <c r="C128" s="29">
        <f>C54</f>
        <v>24.298999999999999</v>
      </c>
      <c r="D128" s="29">
        <f>SUM(D126:D127)</f>
        <v>56.649127510829807</v>
      </c>
      <c r="E128" s="29">
        <f t="shared" ref="E128:N128" si="88">SUM(E126:E127)</f>
        <v>92.184187042285402</v>
      </c>
      <c r="F128" s="29">
        <f t="shared" si="88"/>
        <v>129.74269039022363</v>
      </c>
      <c r="G128" s="29">
        <f t="shared" si="88"/>
        <v>169.53547002027136</v>
      </c>
      <c r="H128" s="29">
        <f t="shared" si="88"/>
        <v>236.58183971309265</v>
      </c>
      <c r="I128" s="29">
        <f t="shared" si="88"/>
        <v>301.37887043938804</v>
      </c>
      <c r="J128" s="29">
        <f t="shared" si="88"/>
        <v>363.97967997436626</v>
      </c>
      <c r="K128" s="29">
        <f t="shared" si="88"/>
        <v>424.44373694029042</v>
      </c>
      <c r="L128" s="29">
        <f t="shared" si="88"/>
        <v>487.8371800000819</v>
      </c>
      <c r="M128" s="29">
        <f t="shared" si="88"/>
        <v>544.30815296106687</v>
      </c>
      <c r="N128" s="29">
        <f t="shared" si="88"/>
        <v>603.862156585859</v>
      </c>
    </row>
    <row r="129" spans="1:14" outlineLevel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</row>
    <row r="130" spans="1:14" s="29" customForma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 s="29" customForma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>
      <c r="A132" s="39" t="s">
        <v>262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</row>
    <row r="133" spans="1:14" s="29" customFormat="1" outlineLevel="1">
      <c r="A133" s="41" t="s">
        <v>121</v>
      </c>
    </row>
    <row r="134" spans="1:14" outlineLevel="1">
      <c r="A134" s="14" t="s">
        <v>128</v>
      </c>
      <c r="C134" s="14">
        <f>B137</f>
        <v>21.379000000000001</v>
      </c>
      <c r="D134" s="14">
        <f>C137</f>
        <v>21.782</v>
      </c>
      <c r="E134" s="14">
        <f t="shared" ref="E134:N134" si="89">D137</f>
        <v>25.400200000000002</v>
      </c>
      <c r="F134" s="14">
        <f t="shared" si="89"/>
        <v>26.670210000000001</v>
      </c>
      <c r="G134" s="14">
        <f t="shared" si="89"/>
        <v>28.003720500000004</v>
      </c>
      <c r="H134" s="14">
        <f t="shared" si="89"/>
        <v>29.403906525000007</v>
      </c>
      <c r="I134" s="14">
        <f t="shared" si="89"/>
        <v>30.874101851250007</v>
      </c>
      <c r="J134" s="14">
        <f t="shared" si="89"/>
        <v>32.417806943812508</v>
      </c>
      <c r="K134" s="14">
        <f t="shared" si="89"/>
        <v>34.038697291003139</v>
      </c>
      <c r="L134" s="14">
        <f t="shared" si="89"/>
        <v>35.740632155553293</v>
      </c>
      <c r="M134" s="14">
        <f t="shared" si="89"/>
        <v>37.527663763330963</v>
      </c>
      <c r="N134" s="14">
        <f t="shared" si="89"/>
        <v>39.404046951497513</v>
      </c>
    </row>
    <row r="135" spans="1:14" outlineLevel="1">
      <c r="A135" s="14" t="s">
        <v>125</v>
      </c>
      <c r="C135" s="14">
        <f t="shared" ref="C135:N135" si="90">C31</f>
        <v>-4.2210000000000001</v>
      </c>
      <c r="D135" s="14">
        <f t="shared" si="90"/>
        <v>-4.5720360000000007</v>
      </c>
      <c r="E135" s="14">
        <f t="shared" si="90"/>
        <v>-4.8006378000000005</v>
      </c>
      <c r="F135" s="14">
        <f t="shared" si="90"/>
        <v>-5.0406696900000005</v>
      </c>
      <c r="G135" s="14">
        <f t="shared" si="90"/>
        <v>-5.2927031745000006</v>
      </c>
      <c r="H135" s="14">
        <f t="shared" si="90"/>
        <v>-5.557338333225001</v>
      </c>
      <c r="I135" s="14">
        <f t="shared" si="90"/>
        <v>-5.8352052498862514</v>
      </c>
      <c r="J135" s="14">
        <f t="shared" si="90"/>
        <v>-6.126965512380564</v>
      </c>
      <c r="K135" s="14">
        <f t="shared" si="90"/>
        <v>-6.4333137879995927</v>
      </c>
      <c r="L135" s="14">
        <f t="shared" si="90"/>
        <v>-6.7549794773995728</v>
      </c>
      <c r="M135" s="14">
        <f t="shared" si="90"/>
        <v>-7.0927284512695525</v>
      </c>
      <c r="N135" s="14">
        <f t="shared" si="90"/>
        <v>-7.4473648738330303</v>
      </c>
    </row>
    <row r="136" spans="1:14" outlineLevel="1">
      <c r="A136" s="14" t="s">
        <v>126</v>
      </c>
      <c r="C136" s="14">
        <f>C137-C134-C135</f>
        <v>4.6239999999999988</v>
      </c>
      <c r="D136" s="14">
        <f>D137-D134-D135</f>
        <v>8.1902360000000023</v>
      </c>
      <c r="E136" s="14">
        <f t="shared" ref="E136:N136" si="91">E137-E134-E135</f>
        <v>6.0706477999999997</v>
      </c>
      <c r="F136" s="14">
        <f t="shared" si="91"/>
        <v>6.3741801900000032</v>
      </c>
      <c r="G136" s="14">
        <f t="shared" si="91"/>
        <v>6.6928891995000042</v>
      </c>
      <c r="H136" s="14">
        <f t="shared" si="91"/>
        <v>7.0275336594750009</v>
      </c>
      <c r="I136" s="14">
        <f t="shared" si="91"/>
        <v>7.3789103424487523</v>
      </c>
      <c r="J136" s="14">
        <f t="shared" si="91"/>
        <v>7.747855859571195</v>
      </c>
      <c r="K136" s="14">
        <f t="shared" si="91"/>
        <v>8.1352486525497465</v>
      </c>
      <c r="L136" s="14">
        <f t="shared" si="91"/>
        <v>8.5420110851772435</v>
      </c>
      <c r="M136" s="14">
        <f t="shared" si="91"/>
        <v>8.9691116394361021</v>
      </c>
      <c r="N136" s="14">
        <f t="shared" si="91"/>
        <v>9.4175672214079142</v>
      </c>
    </row>
    <row r="137" spans="1:14" s="29" customFormat="1" outlineLevel="1">
      <c r="A137" s="29" t="s">
        <v>127</v>
      </c>
      <c r="B137" s="29">
        <f>B59</f>
        <v>21.379000000000001</v>
      </c>
      <c r="C137" s="29">
        <f>C59</f>
        <v>21.782</v>
      </c>
      <c r="D137" s="29">
        <f>D28/D16</f>
        <v>25.400200000000002</v>
      </c>
      <c r="E137" s="29">
        <f>E28/E16</f>
        <v>26.670210000000001</v>
      </c>
      <c r="F137" s="29">
        <f>F28/F16</f>
        <v>28.003720500000004</v>
      </c>
      <c r="G137" s="29">
        <f>G28/G16</f>
        <v>29.403906525000007</v>
      </c>
      <c r="H137" s="29">
        <f>H28/H16</f>
        <v>30.874101851250007</v>
      </c>
      <c r="I137" s="29">
        <f>I28/I16</f>
        <v>32.417806943812508</v>
      </c>
      <c r="J137" s="29">
        <f>J28/J16</f>
        <v>34.038697291003139</v>
      </c>
      <c r="K137" s="29">
        <f>K28/K16</f>
        <v>35.740632155553293</v>
      </c>
      <c r="L137" s="29">
        <f>L28/L16</f>
        <v>37.527663763330963</v>
      </c>
      <c r="M137" s="29">
        <f>M28/M16</f>
        <v>39.404046951497513</v>
      </c>
      <c r="N137" s="29">
        <f>N28/N16</f>
        <v>41.374249299072396</v>
      </c>
    </row>
    <row r="138" spans="1:14" outlineLevel="1"/>
    <row r="139" spans="1:14" s="29" customFormat="1" outlineLevel="1">
      <c r="A139" s="41" t="s">
        <v>122</v>
      </c>
    </row>
    <row r="140" spans="1:14" outlineLevel="1">
      <c r="A140" s="14" t="s">
        <v>128</v>
      </c>
      <c r="C140" s="14">
        <f>B142</f>
        <v>52.085000000000001</v>
      </c>
      <c r="D140" s="14">
        <f t="shared" ref="D140:N140" si="92">C142</f>
        <v>51.043300000000002</v>
      </c>
      <c r="E140" s="14">
        <f t="shared" si="92"/>
        <v>49.512001000000005</v>
      </c>
      <c r="F140" s="14">
        <f t="shared" si="92"/>
        <v>48.026640970000003</v>
      </c>
      <c r="G140" s="14">
        <f t="shared" si="92"/>
        <v>46.585841740900001</v>
      </c>
      <c r="H140" s="14">
        <f t="shared" si="92"/>
        <v>45.188266488673001</v>
      </c>
      <c r="I140" s="14">
        <f t="shared" si="92"/>
        <v>43.832618494012813</v>
      </c>
      <c r="J140" s="14">
        <f t="shared" si="92"/>
        <v>42.517639939192428</v>
      </c>
      <c r="K140" s="14">
        <f t="shared" si="92"/>
        <v>41.242110741016653</v>
      </c>
      <c r="L140" s="14">
        <f t="shared" si="92"/>
        <v>40.004847418786156</v>
      </c>
      <c r="M140" s="14">
        <f t="shared" si="92"/>
        <v>38.804701996222569</v>
      </c>
      <c r="N140" s="14">
        <f t="shared" si="92"/>
        <v>37.640560936335895</v>
      </c>
    </row>
    <row r="141" spans="1:14" outlineLevel="1">
      <c r="A141" s="14" t="s">
        <v>4</v>
      </c>
      <c r="C141" s="14">
        <f>-C140*C10</f>
        <v>-1.0417000000000001</v>
      </c>
      <c r="D141" s="14">
        <f>-D140*D10</f>
        <v>-1.531299</v>
      </c>
      <c r="E141" s="14">
        <f>-E140*E10</f>
        <v>-1.4853600300000001</v>
      </c>
      <c r="F141" s="14">
        <f>-F140*F10</f>
        <v>-1.4407992291</v>
      </c>
      <c r="G141" s="14">
        <f>-G140*G10</f>
        <v>-1.397575252227</v>
      </c>
      <c r="H141" s="14">
        <f>-H140*H10</f>
        <v>-1.35564799466019</v>
      </c>
      <c r="I141" s="14">
        <f>-I140*I10</f>
        <v>-1.3149785548203843</v>
      </c>
      <c r="J141" s="14">
        <f>-J140*J10</f>
        <v>-1.2755291981757728</v>
      </c>
      <c r="K141" s="14">
        <f>-K140*K10</f>
        <v>-1.2372633222304996</v>
      </c>
      <c r="L141" s="14">
        <f>-L140*L10</f>
        <v>-1.2001454225635846</v>
      </c>
      <c r="M141" s="14">
        <f>-M140*M10</f>
        <v>-1.164141059886677</v>
      </c>
      <c r="N141" s="14">
        <f>-N140*N10</f>
        <v>-1.1292168280900767</v>
      </c>
    </row>
    <row r="142" spans="1:14" s="29" customFormat="1" outlineLevel="1">
      <c r="A142" s="29" t="s">
        <v>127</v>
      </c>
      <c r="B142" s="29">
        <f>B64</f>
        <v>52.085000000000001</v>
      </c>
      <c r="C142" s="29">
        <f>C140+C141</f>
        <v>51.043300000000002</v>
      </c>
      <c r="D142" s="29">
        <f t="shared" ref="D142:N142" si="93">D140+D141</f>
        <v>49.512001000000005</v>
      </c>
      <c r="E142" s="29">
        <f t="shared" si="93"/>
        <v>48.026640970000003</v>
      </c>
      <c r="F142" s="29">
        <f t="shared" si="93"/>
        <v>46.585841740900001</v>
      </c>
      <c r="G142" s="29">
        <f t="shared" si="93"/>
        <v>45.188266488673001</v>
      </c>
      <c r="H142" s="29">
        <f t="shared" si="93"/>
        <v>43.832618494012813</v>
      </c>
      <c r="I142" s="29">
        <f t="shared" si="93"/>
        <v>42.517639939192428</v>
      </c>
      <c r="J142" s="29">
        <f t="shared" si="93"/>
        <v>41.242110741016653</v>
      </c>
      <c r="K142" s="29">
        <f t="shared" si="93"/>
        <v>40.004847418786156</v>
      </c>
      <c r="L142" s="29">
        <f t="shared" si="93"/>
        <v>38.804701996222569</v>
      </c>
      <c r="M142" s="29">
        <f t="shared" si="93"/>
        <v>37.640560936335895</v>
      </c>
      <c r="N142" s="29">
        <f t="shared" si="93"/>
        <v>36.511344108245815</v>
      </c>
    </row>
    <row r="143" spans="1:14" outlineLevel="1"/>
    <row r="144" spans="1:14" s="29" customFormat="1" outlineLevel="1">
      <c r="A144" s="41" t="s">
        <v>123</v>
      </c>
    </row>
    <row r="145" spans="1:14" outlineLevel="1">
      <c r="A145" s="14" t="s">
        <v>128</v>
      </c>
      <c r="C145" s="14">
        <f>B147</f>
        <v>35.716999999999999</v>
      </c>
      <c r="D145" s="14">
        <f t="shared" ref="D145:N145" si="94">C147</f>
        <v>34.879098433280049</v>
      </c>
      <c r="E145" s="14">
        <f t="shared" si="94"/>
        <v>33.832725480281646</v>
      </c>
      <c r="F145" s="14">
        <f t="shared" si="94"/>
        <v>32.817743715873199</v>
      </c>
      <c r="G145" s="14">
        <f t="shared" si="94"/>
        <v>31.833211404397002</v>
      </c>
      <c r="H145" s="14">
        <f t="shared" si="94"/>
        <v>30.878215062265092</v>
      </c>
      <c r="I145" s="14">
        <f t="shared" si="94"/>
        <v>29.951868610397138</v>
      </c>
      <c r="J145" s="14">
        <f t="shared" si="94"/>
        <v>29.053312552085224</v>
      </c>
      <c r="K145" s="14">
        <f t="shared" si="94"/>
        <v>28.181713175522667</v>
      </c>
      <c r="L145" s="14">
        <f t="shared" si="94"/>
        <v>27.336261780256986</v>
      </c>
      <c r="M145" s="14">
        <f t="shared" si="94"/>
        <v>26.516173926849277</v>
      </c>
      <c r="N145" s="14">
        <f t="shared" si="94"/>
        <v>25.720688709043799</v>
      </c>
    </row>
    <row r="146" spans="1:14" outlineLevel="1">
      <c r="A146" s="14" t="s">
        <v>4</v>
      </c>
      <c r="C146" s="14">
        <f>-C145*C9</f>
        <v>-0.83790156671994698</v>
      </c>
      <c r="D146" s="14">
        <f>-D145*D9</f>
        <v>-1.0463729529984014</v>
      </c>
      <c r="E146" s="14">
        <f>-E145*E9</f>
        <v>-1.0149817644084493</v>
      </c>
      <c r="F146" s="14">
        <f>-F145*F9</f>
        <v>-0.98453231147619591</v>
      </c>
      <c r="G146" s="14">
        <f>-G145*G9</f>
        <v>-0.95499634213190998</v>
      </c>
      <c r="H146" s="14">
        <f>-H145*H9</f>
        <v>-0.92634645186795272</v>
      </c>
      <c r="I146" s="14">
        <f>-I145*I9</f>
        <v>-0.8985560583119141</v>
      </c>
      <c r="J146" s="14">
        <f>-J145*J9</f>
        <v>-0.8715993765625567</v>
      </c>
      <c r="K146" s="14">
        <f>-K145*K9</f>
        <v>-0.84545139526568003</v>
      </c>
      <c r="L146" s="14">
        <f>-L145*L9</f>
        <v>-0.82008785340770951</v>
      </c>
      <c r="M146" s="14">
        <f>-M145*M9</f>
        <v>-0.79548521780547832</v>
      </c>
      <c r="N146" s="14">
        <f>-N145*N9</f>
        <v>-0.7716206612713139</v>
      </c>
    </row>
    <row r="147" spans="1:14" outlineLevel="1">
      <c r="A147" s="14" t="s">
        <v>127</v>
      </c>
      <c r="B147" s="14">
        <f>B63</f>
        <v>35.716999999999999</v>
      </c>
      <c r="C147" s="14">
        <f>C145+C146</f>
        <v>34.879098433280049</v>
      </c>
      <c r="D147" s="14">
        <f t="shared" ref="D147:N147" si="95">D145+D146</f>
        <v>33.832725480281646</v>
      </c>
      <c r="E147" s="14">
        <f t="shared" si="95"/>
        <v>32.817743715873199</v>
      </c>
      <c r="F147" s="14">
        <f t="shared" si="95"/>
        <v>31.833211404397002</v>
      </c>
      <c r="G147" s="14">
        <f t="shared" si="95"/>
        <v>30.878215062265092</v>
      </c>
      <c r="H147" s="14">
        <f t="shared" si="95"/>
        <v>29.951868610397138</v>
      </c>
      <c r="I147" s="14">
        <f t="shared" si="95"/>
        <v>29.053312552085224</v>
      </c>
      <c r="J147" s="14">
        <f t="shared" si="95"/>
        <v>28.181713175522667</v>
      </c>
      <c r="K147" s="14">
        <f t="shared" si="95"/>
        <v>27.336261780256986</v>
      </c>
      <c r="L147" s="14">
        <f t="shared" si="95"/>
        <v>26.516173926849277</v>
      </c>
      <c r="M147" s="14">
        <f t="shared" si="95"/>
        <v>25.720688709043799</v>
      </c>
      <c r="N147" s="14">
        <f t="shared" si="95"/>
        <v>24.949068047772485</v>
      </c>
    </row>
    <row r="148" spans="1:14" s="29" customFormat="1" outlineLevel="1">
      <c r="A148" s="29" t="s">
        <v>129</v>
      </c>
      <c r="C148" s="29">
        <f>C146+C141</f>
        <v>-1.879601566719947</v>
      </c>
      <c r="D148" s="29">
        <f t="shared" ref="D148:N148" si="96">D146+D141</f>
        <v>-2.5776719529984016</v>
      </c>
      <c r="E148" s="29">
        <f t="shared" si="96"/>
        <v>-2.5003417944084494</v>
      </c>
      <c r="F148" s="29">
        <f t="shared" si="96"/>
        <v>-2.4253315405761962</v>
      </c>
      <c r="G148" s="29">
        <f t="shared" si="96"/>
        <v>-2.3525715943589098</v>
      </c>
      <c r="H148" s="29">
        <f t="shared" si="96"/>
        <v>-2.2819944465281425</v>
      </c>
      <c r="I148" s="29">
        <f t="shared" si="96"/>
        <v>-2.2135346131322984</v>
      </c>
      <c r="J148" s="29">
        <f t="shared" si="96"/>
        <v>-2.1471285747383293</v>
      </c>
      <c r="K148" s="29">
        <f t="shared" si="96"/>
        <v>-2.0827147174961795</v>
      </c>
      <c r="L148" s="29">
        <f t="shared" si="96"/>
        <v>-2.020233275971294</v>
      </c>
      <c r="M148" s="29">
        <f t="shared" si="96"/>
        <v>-1.9596262776921554</v>
      </c>
      <c r="N148" s="29">
        <f t="shared" si="96"/>
        <v>-1.9008374893613906</v>
      </c>
    </row>
    <row r="149" spans="1:14" outlineLevel="1">
      <c r="A149" s="29"/>
    </row>
    <row r="150" spans="1:14" s="29" customFormat="1" outlineLevel="1">
      <c r="A150" s="41" t="s">
        <v>124</v>
      </c>
    </row>
    <row r="151" spans="1:14" outlineLevel="1">
      <c r="A151" s="14" t="s">
        <v>128</v>
      </c>
      <c r="C151" s="14">
        <f>B154</f>
        <v>0.44700000000000001</v>
      </c>
      <c r="D151" s="14">
        <f>C154</f>
        <v>0.26</v>
      </c>
      <c r="E151" s="14">
        <f t="shared" ref="E151:N151" si="97">D154</f>
        <v>0.2</v>
      </c>
      <c r="F151" s="14">
        <f t="shared" si="97"/>
        <v>0.1</v>
      </c>
      <c r="G151" s="14">
        <f t="shared" si="97"/>
        <v>0</v>
      </c>
      <c r="H151" s="14">
        <f t="shared" si="97"/>
        <v>0</v>
      </c>
      <c r="I151" s="14">
        <f t="shared" si="97"/>
        <v>0</v>
      </c>
      <c r="J151" s="14">
        <f t="shared" si="97"/>
        <v>0</v>
      </c>
      <c r="K151" s="14">
        <f t="shared" si="97"/>
        <v>0</v>
      </c>
      <c r="L151" s="14">
        <f t="shared" si="97"/>
        <v>0</v>
      </c>
      <c r="M151" s="14">
        <f t="shared" si="97"/>
        <v>0</v>
      </c>
      <c r="N151" s="14">
        <f t="shared" si="97"/>
        <v>0</v>
      </c>
    </row>
    <row r="152" spans="1:14" outlineLevel="1">
      <c r="A152" s="14" t="s">
        <v>130</v>
      </c>
      <c r="D152" s="14">
        <f>-D151*D20</f>
        <v>-2.6000000000000002E-2</v>
      </c>
      <c r="E152" s="14">
        <f>-E151*E20</f>
        <v>-2.0000000000000004E-2</v>
      </c>
      <c r="F152" s="14">
        <f>-F151*F20</f>
        <v>-1.0000000000000002E-2</v>
      </c>
      <c r="G152" s="14">
        <f>-G151*G20</f>
        <v>0</v>
      </c>
      <c r="H152" s="14">
        <f>-H151*H20</f>
        <v>0</v>
      </c>
      <c r="I152" s="14">
        <f>-I151*I20</f>
        <v>0</v>
      </c>
      <c r="J152" s="14">
        <f>-J151*J20</f>
        <v>0</v>
      </c>
      <c r="K152" s="14">
        <f>-K151*K20</f>
        <v>0</v>
      </c>
      <c r="L152" s="14">
        <f>-L151*L20</f>
        <v>0</v>
      </c>
      <c r="M152" s="14">
        <f>-M151*M20</f>
        <v>0</v>
      </c>
      <c r="N152" s="14">
        <f>-N151*N20</f>
        <v>0</v>
      </c>
    </row>
    <row r="153" spans="1:14" outlineLevel="1">
      <c r="A153" s="14" t="s">
        <v>131</v>
      </c>
      <c r="C153" s="14">
        <f>C154-C151-C152</f>
        <v>-0.187</v>
      </c>
      <c r="D153" s="14">
        <f>D154-D151-D152</f>
        <v>-3.3999999999999996E-2</v>
      </c>
      <c r="E153" s="14">
        <f t="shared" ref="E153:N153" si="98">E154-E151-E152</f>
        <v>-0.08</v>
      </c>
      <c r="F153" s="14">
        <f t="shared" si="98"/>
        <v>-0.09</v>
      </c>
      <c r="G153" s="14">
        <f t="shared" si="98"/>
        <v>0</v>
      </c>
      <c r="H153" s="14">
        <f t="shared" si="98"/>
        <v>0</v>
      </c>
      <c r="I153" s="14">
        <f t="shared" si="98"/>
        <v>0</v>
      </c>
      <c r="J153" s="14">
        <f t="shared" si="98"/>
        <v>0</v>
      </c>
      <c r="K153" s="14">
        <f t="shared" si="98"/>
        <v>0</v>
      </c>
      <c r="L153" s="14">
        <f t="shared" si="98"/>
        <v>0</v>
      </c>
      <c r="M153" s="14">
        <f t="shared" si="98"/>
        <v>0</v>
      </c>
      <c r="N153" s="14">
        <f t="shared" si="98"/>
        <v>0</v>
      </c>
    </row>
    <row r="154" spans="1:14" s="29" customFormat="1" outlineLevel="1">
      <c r="A154" s="29" t="s">
        <v>127</v>
      </c>
      <c r="B154" s="29">
        <f>B75</f>
        <v>0.44700000000000001</v>
      </c>
      <c r="C154" s="29">
        <f>C75</f>
        <v>0.26</v>
      </c>
      <c r="D154" s="29">
        <f t="shared" ref="D154:N154" si="99">D19</f>
        <v>0.2</v>
      </c>
      <c r="E154" s="29">
        <f t="shared" si="99"/>
        <v>0.1</v>
      </c>
      <c r="F154" s="29">
        <f t="shared" si="99"/>
        <v>0</v>
      </c>
      <c r="G154" s="29">
        <f t="shared" si="99"/>
        <v>0</v>
      </c>
      <c r="H154" s="29">
        <f t="shared" si="99"/>
        <v>0</v>
      </c>
      <c r="I154" s="29">
        <f t="shared" si="99"/>
        <v>0</v>
      </c>
      <c r="J154" s="29">
        <f t="shared" si="99"/>
        <v>0</v>
      </c>
      <c r="K154" s="29">
        <f t="shared" si="99"/>
        <v>0</v>
      </c>
      <c r="L154" s="29">
        <f t="shared" si="99"/>
        <v>0</v>
      </c>
      <c r="M154" s="29">
        <f t="shared" si="99"/>
        <v>0</v>
      </c>
      <c r="N154" s="29">
        <f t="shared" si="99"/>
        <v>0</v>
      </c>
    </row>
    <row r="155" spans="1:14" outlineLevel="1"/>
    <row r="156" spans="1:14" s="29" customFormat="1" outlineLevel="1">
      <c r="A156" s="41" t="s">
        <v>132</v>
      </c>
    </row>
    <row r="157" spans="1:14" outlineLevel="1">
      <c r="A157" s="14" t="s">
        <v>128</v>
      </c>
      <c r="D157" s="14">
        <f>C160</f>
        <v>51.533999999999999</v>
      </c>
      <c r="E157" s="14">
        <f t="shared" ref="E157:N157" si="100">D160</f>
        <v>50</v>
      </c>
      <c r="F157" s="14">
        <f t="shared" si="100"/>
        <v>40</v>
      </c>
      <c r="G157" s="14">
        <f t="shared" si="100"/>
        <v>30</v>
      </c>
      <c r="H157" s="14">
        <f t="shared" si="100"/>
        <v>20</v>
      </c>
      <c r="I157" s="14">
        <f t="shared" si="100"/>
        <v>35</v>
      </c>
      <c r="J157" s="14">
        <f t="shared" si="100"/>
        <v>45</v>
      </c>
      <c r="K157" s="14">
        <f t="shared" si="100"/>
        <v>50</v>
      </c>
      <c r="L157" s="14">
        <f t="shared" si="100"/>
        <v>50</v>
      </c>
      <c r="M157" s="14">
        <f t="shared" si="100"/>
        <v>50</v>
      </c>
      <c r="N157" s="14">
        <f t="shared" si="100"/>
        <v>40</v>
      </c>
    </row>
    <row r="158" spans="1:14" outlineLevel="1">
      <c r="A158" s="14" t="s">
        <v>130</v>
      </c>
      <c r="D158" s="14">
        <f>-D22*D157</f>
        <v>-2.5767000000000002</v>
      </c>
      <c r="E158" s="14">
        <f>-E22*E157</f>
        <v>-2.5</v>
      </c>
      <c r="F158" s="14">
        <f>-F22*F157</f>
        <v>-2</v>
      </c>
      <c r="G158" s="14">
        <f>-G22*G157</f>
        <v>-1.5</v>
      </c>
      <c r="H158" s="14">
        <f>-H22*H157</f>
        <v>-1</v>
      </c>
      <c r="I158" s="14">
        <f>-I22*I157</f>
        <v>-1.75</v>
      </c>
      <c r="J158" s="14">
        <f>-J22*J157</f>
        <v>-2.25</v>
      </c>
      <c r="K158" s="14">
        <f>-K22*K157</f>
        <v>-2.5</v>
      </c>
      <c r="L158" s="14">
        <f>-L22*L157</f>
        <v>-2.5</v>
      </c>
      <c r="M158" s="14">
        <f>-M22*M157</f>
        <v>-2.5</v>
      </c>
      <c r="N158" s="14">
        <f>-N22*N157</f>
        <v>-2</v>
      </c>
    </row>
    <row r="159" spans="1:14" outlineLevel="1">
      <c r="A159" s="14" t="s">
        <v>131</v>
      </c>
      <c r="D159" s="14">
        <f>D160-D157-D158</f>
        <v>1.0427000000000013</v>
      </c>
      <c r="E159" s="14">
        <f t="shared" ref="E159:N159" si="101">E160-E157-E158</f>
        <v>-7.5</v>
      </c>
      <c r="F159" s="14">
        <f t="shared" si="101"/>
        <v>-8</v>
      </c>
      <c r="G159" s="14">
        <f t="shared" si="101"/>
        <v>-8.5</v>
      </c>
      <c r="H159" s="14">
        <f t="shared" si="101"/>
        <v>16</v>
      </c>
      <c r="I159" s="14">
        <f t="shared" si="101"/>
        <v>11.75</v>
      </c>
      <c r="J159" s="14">
        <f t="shared" si="101"/>
        <v>7.25</v>
      </c>
      <c r="K159" s="14">
        <f t="shared" si="101"/>
        <v>2.5</v>
      </c>
      <c r="L159" s="14">
        <f t="shared" si="101"/>
        <v>2.5</v>
      </c>
      <c r="M159" s="14">
        <f t="shared" si="101"/>
        <v>-7.5</v>
      </c>
      <c r="N159" s="14">
        <f t="shared" si="101"/>
        <v>-8</v>
      </c>
    </row>
    <row r="160" spans="1:14" s="29" customFormat="1" outlineLevel="1">
      <c r="A160" s="29" t="s">
        <v>127</v>
      </c>
      <c r="C160" s="29">
        <f t="shared" ref="C160:N160" si="102">C21</f>
        <v>51.533999999999999</v>
      </c>
      <c r="D160" s="29">
        <f t="shared" si="102"/>
        <v>50</v>
      </c>
      <c r="E160" s="29">
        <f t="shared" si="102"/>
        <v>40</v>
      </c>
      <c r="F160" s="29">
        <f t="shared" si="102"/>
        <v>30</v>
      </c>
      <c r="G160" s="29">
        <f t="shared" si="102"/>
        <v>20</v>
      </c>
      <c r="H160" s="29">
        <f t="shared" si="102"/>
        <v>35</v>
      </c>
      <c r="I160" s="29">
        <f t="shared" si="102"/>
        <v>45</v>
      </c>
      <c r="J160" s="29">
        <f t="shared" si="102"/>
        <v>50</v>
      </c>
      <c r="K160" s="29">
        <f t="shared" si="102"/>
        <v>50</v>
      </c>
      <c r="L160" s="29">
        <f t="shared" si="102"/>
        <v>50</v>
      </c>
      <c r="M160" s="29">
        <f t="shared" si="102"/>
        <v>40</v>
      </c>
      <c r="N160" s="29">
        <f t="shared" si="102"/>
        <v>30</v>
      </c>
    </row>
    <row r="161" spans="1:14" outlineLevel="1"/>
    <row r="162" spans="1:14" s="29" customFormat="1" outlineLevel="1">
      <c r="A162" s="29" t="s">
        <v>133</v>
      </c>
      <c r="D162" s="29">
        <f>D158+D152</f>
        <v>-2.6027</v>
      </c>
      <c r="E162" s="29">
        <f t="shared" ref="E162:N162" si="103">E158+E152</f>
        <v>-2.52</v>
      </c>
      <c r="F162" s="29">
        <f t="shared" si="103"/>
        <v>-2.0099999999999998</v>
      </c>
      <c r="G162" s="29">
        <f t="shared" si="103"/>
        <v>-1.5</v>
      </c>
      <c r="H162" s="29">
        <f t="shared" si="103"/>
        <v>-1</v>
      </c>
      <c r="I162" s="29">
        <f t="shared" si="103"/>
        <v>-1.75</v>
      </c>
      <c r="J162" s="29">
        <f t="shared" si="103"/>
        <v>-2.25</v>
      </c>
      <c r="K162" s="29">
        <f t="shared" si="103"/>
        <v>-2.5</v>
      </c>
      <c r="L162" s="29">
        <f t="shared" si="103"/>
        <v>-2.5</v>
      </c>
      <c r="M162" s="29">
        <f t="shared" si="103"/>
        <v>-2.5</v>
      </c>
      <c r="N162" s="29">
        <f t="shared" si="103"/>
        <v>-2</v>
      </c>
    </row>
    <row r="163" spans="1:14" outlineLevel="1"/>
    <row r="164" spans="1:14" outlineLevel="1"/>
    <row r="165" spans="1:14" s="29" customFormat="1" outlineLevel="1">
      <c r="A165" s="41" t="s">
        <v>137</v>
      </c>
    </row>
    <row r="166" spans="1:14" outlineLevel="1">
      <c r="A166" s="14" t="s">
        <v>128</v>
      </c>
      <c r="C166" s="14">
        <f>B85</f>
        <v>26.736999999999998</v>
      </c>
      <c r="D166" s="14">
        <f>C169</f>
        <v>79.459000000000003</v>
      </c>
      <c r="E166" s="14">
        <f t="shared" ref="E166:N166" si="104">D169</f>
        <v>118.48861331125606</v>
      </c>
      <c r="F166" s="14">
        <f t="shared" si="104"/>
        <v>159.75582393597443</v>
      </c>
      <c r="G166" s="14">
        <f t="shared" si="104"/>
        <v>203.66461327539128</v>
      </c>
      <c r="H166" s="14">
        <f t="shared" si="104"/>
        <v>250.32521971973762</v>
      </c>
      <c r="I166" s="14">
        <f t="shared" si="104"/>
        <v>299.84651329512116</v>
      </c>
      <c r="J166" s="14">
        <f t="shared" si="104"/>
        <v>351.47527365382916</v>
      </c>
      <c r="K166" s="14">
        <f t="shared" si="104"/>
        <v>405.51448207189122</v>
      </c>
      <c r="L166" s="14">
        <f t="shared" si="104"/>
        <v>462.27362815103248</v>
      </c>
      <c r="M166" s="14">
        <f t="shared" si="104"/>
        <v>522.06903195710163</v>
      </c>
      <c r="N166" s="14">
        <f t="shared" si="104"/>
        <v>585.0491823637559</v>
      </c>
    </row>
    <row r="167" spans="1:14" outlineLevel="1">
      <c r="A167" s="14" t="s">
        <v>138</v>
      </c>
      <c r="C167" s="14">
        <f t="shared" ref="C167:N167" si="105">C48</f>
        <v>77.659000000000006</v>
      </c>
      <c r="D167" s="14">
        <f t="shared" si="105"/>
        <v>55.756590444651536</v>
      </c>
      <c r="E167" s="14">
        <f t="shared" si="105"/>
        <v>58.953158035311965</v>
      </c>
      <c r="F167" s="14">
        <f t="shared" si="105"/>
        <v>62.726841913452624</v>
      </c>
      <c r="G167" s="14">
        <f t="shared" si="105"/>
        <v>66.658009206209059</v>
      </c>
      <c r="H167" s="14">
        <f t="shared" si="105"/>
        <v>70.744705107690777</v>
      </c>
      <c r="I167" s="14">
        <f t="shared" si="105"/>
        <v>73.755371941011433</v>
      </c>
      <c r="J167" s="14">
        <f t="shared" si="105"/>
        <v>77.198869168660096</v>
      </c>
      <c r="K167" s="14">
        <f t="shared" si="105"/>
        <v>81.084494398773245</v>
      </c>
      <c r="L167" s="14">
        <f t="shared" si="105"/>
        <v>85.422005437241594</v>
      </c>
      <c r="M167" s="14">
        <f t="shared" si="105"/>
        <v>89.971643438077493</v>
      </c>
      <c r="N167" s="14">
        <f t="shared" si="105"/>
        <v>95.244157207085976</v>
      </c>
    </row>
    <row r="168" spans="1:14" outlineLevel="1">
      <c r="A168" s="14" t="s">
        <v>139</v>
      </c>
      <c r="C168" s="14">
        <f>C169-C166-C167</f>
        <v>-24.936999999999998</v>
      </c>
      <c r="D168" s="14">
        <f>-D167*D23</f>
        <v>-16.726977133395462</v>
      </c>
      <c r="E168" s="14">
        <f>-E167*E23</f>
        <v>-17.685947410593588</v>
      </c>
      <c r="F168" s="14">
        <f>-F167*F23</f>
        <v>-18.818052574035786</v>
      </c>
      <c r="G168" s="14">
        <f>-G167*G23</f>
        <v>-19.997402761862716</v>
      </c>
      <c r="H168" s="14">
        <f>-H167*H23</f>
        <v>-21.223411532307232</v>
      </c>
      <c r="I168" s="14">
        <f>-I167*I23</f>
        <v>-22.126611582303429</v>
      </c>
      <c r="J168" s="14">
        <f>-J167*J23</f>
        <v>-23.159660750598029</v>
      </c>
      <c r="K168" s="14">
        <f>-K167*K23</f>
        <v>-24.325348319631974</v>
      </c>
      <c r="L168" s="14">
        <f>-L167*L23</f>
        <v>-25.626601631172477</v>
      </c>
      <c r="M168" s="14">
        <f>-M167*M23</f>
        <v>-26.991493031423246</v>
      </c>
      <c r="N168" s="14">
        <f>-N167*N23</f>
        <v>-28.573247162125792</v>
      </c>
    </row>
    <row r="169" spans="1:14" s="29" customFormat="1" outlineLevel="1">
      <c r="A169" s="29" t="s">
        <v>127</v>
      </c>
      <c r="C169" s="29">
        <f>C85</f>
        <v>79.459000000000003</v>
      </c>
      <c r="D169" s="29">
        <f>SUM(D166:D168)</f>
        <v>118.48861331125606</v>
      </c>
      <c r="E169" s="29">
        <f t="shared" ref="E169:N169" si="106">SUM(E166:E168)</f>
        <v>159.75582393597443</v>
      </c>
      <c r="F169" s="29">
        <f t="shared" si="106"/>
        <v>203.66461327539128</v>
      </c>
      <c r="G169" s="29">
        <f t="shared" si="106"/>
        <v>250.32521971973762</v>
      </c>
      <c r="H169" s="29">
        <f t="shared" si="106"/>
        <v>299.84651329512116</v>
      </c>
      <c r="I169" s="29">
        <f t="shared" si="106"/>
        <v>351.47527365382916</v>
      </c>
      <c r="J169" s="29">
        <f t="shared" si="106"/>
        <v>405.51448207189122</v>
      </c>
      <c r="K169" s="29">
        <f t="shared" si="106"/>
        <v>462.27362815103248</v>
      </c>
      <c r="L169" s="29">
        <f t="shared" si="106"/>
        <v>522.06903195710163</v>
      </c>
      <c r="M169" s="29">
        <f t="shared" si="106"/>
        <v>585.0491823637559</v>
      </c>
      <c r="N169" s="29">
        <f t="shared" si="106"/>
        <v>651.72009240871614</v>
      </c>
    </row>
    <row r="172" spans="1:14">
      <c r="A172" s="39" t="s">
        <v>269</v>
      </c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</row>
    <row r="173" spans="1:14" outlineLevel="1">
      <c r="A173" s="41" t="s">
        <v>270</v>
      </c>
    </row>
    <row r="174" spans="1:14" outlineLevel="1">
      <c r="A174" s="14" t="s">
        <v>1</v>
      </c>
      <c r="B174" s="14">
        <f>B28</f>
        <v>127.747</v>
      </c>
      <c r="C174" s="14">
        <f t="shared" ref="C174:N174" si="107">C28</f>
        <v>145.14400000000001</v>
      </c>
      <c r="D174" s="14">
        <f t="shared" si="107"/>
        <v>152.40120000000002</v>
      </c>
      <c r="E174" s="14">
        <f t="shared" si="107"/>
        <v>160.02126000000001</v>
      </c>
      <c r="F174" s="14">
        <f t="shared" si="107"/>
        <v>168.02232300000003</v>
      </c>
      <c r="G174" s="14">
        <f t="shared" si="107"/>
        <v>176.42343915000004</v>
      </c>
      <c r="H174" s="14">
        <f t="shared" si="107"/>
        <v>185.24461110750005</v>
      </c>
      <c r="I174" s="14">
        <f t="shared" si="107"/>
        <v>194.50684166287505</v>
      </c>
      <c r="J174" s="14">
        <f t="shared" si="107"/>
        <v>204.23218374601882</v>
      </c>
      <c r="K174" s="14">
        <f t="shared" si="107"/>
        <v>214.44379293331977</v>
      </c>
      <c r="L174" s="14">
        <f t="shared" si="107"/>
        <v>225.16598257998578</v>
      </c>
      <c r="M174" s="14">
        <f t="shared" si="107"/>
        <v>236.42428170898509</v>
      </c>
      <c r="N174" s="14">
        <f t="shared" si="107"/>
        <v>248.24549579443436</v>
      </c>
    </row>
    <row r="175" spans="1:14" outlineLevel="1">
      <c r="A175" s="14" t="s">
        <v>8</v>
      </c>
      <c r="B175" s="14">
        <f>B36</f>
        <v>22.289000000000001</v>
      </c>
      <c r="C175" s="14">
        <f t="shared" ref="C175:N175" si="108">C36</f>
        <v>46.668000000000006</v>
      </c>
      <c r="D175" s="14">
        <f t="shared" si="108"/>
        <v>58.359290444651535</v>
      </c>
      <c r="E175" s="14">
        <f t="shared" si="108"/>
        <v>61.473158035311968</v>
      </c>
      <c r="F175" s="14">
        <f t="shared" si="108"/>
        <v>64.736841913452622</v>
      </c>
      <c r="G175" s="14">
        <f t="shared" si="108"/>
        <v>68.158009206209059</v>
      </c>
      <c r="H175" s="14">
        <f t="shared" si="108"/>
        <v>71.744705107690777</v>
      </c>
      <c r="I175" s="14">
        <f t="shared" si="108"/>
        <v>75.505371941011433</v>
      </c>
      <c r="J175" s="14">
        <f t="shared" si="108"/>
        <v>79.448869168660096</v>
      </c>
      <c r="K175" s="14">
        <f t="shared" si="108"/>
        <v>83.584494398773245</v>
      </c>
      <c r="L175" s="14">
        <f t="shared" si="108"/>
        <v>87.922005437241594</v>
      </c>
      <c r="M175" s="14">
        <f t="shared" si="108"/>
        <v>92.471643438077493</v>
      </c>
      <c r="N175" s="14">
        <f t="shared" si="108"/>
        <v>97.244157207085976</v>
      </c>
    </row>
    <row r="176" spans="1:14" outlineLevel="1">
      <c r="A176" s="14" t="s">
        <v>281</v>
      </c>
      <c r="B176" s="26">
        <f>B175/B174</f>
        <v>0.17447767853648227</v>
      </c>
      <c r="C176" s="26">
        <f t="shared" ref="C176:N176" si="109">C175/C174</f>
        <v>0.32152896433886352</v>
      </c>
      <c r="D176" s="26">
        <f t="shared" si="109"/>
        <v>0.38293196145864683</v>
      </c>
      <c r="E176" s="26">
        <f t="shared" si="109"/>
        <v>0.38415619296655934</v>
      </c>
      <c r="F176" s="26">
        <f t="shared" si="109"/>
        <v>0.38528714969291677</v>
      </c>
      <c r="G176" s="26">
        <f t="shared" si="109"/>
        <v>0.3863319382877422</v>
      </c>
      <c r="H176" s="26">
        <f t="shared" si="109"/>
        <v>0.38729712394200938</v>
      </c>
      <c r="I176" s="26">
        <f t="shared" si="109"/>
        <v>0.38818877164166571</v>
      </c>
      <c r="J176" s="26">
        <f t="shared" si="109"/>
        <v>0.38901248427849133</v>
      </c>
      <c r="K176" s="26">
        <f t="shared" si="109"/>
        <v>0.38977343785727309</v>
      </c>
      <c r="L176" s="26">
        <f t="shared" si="109"/>
        <v>0.3904764140205283</v>
      </c>
      <c r="M176" s="26">
        <f t="shared" si="109"/>
        <v>0.39112583009515467</v>
      </c>
      <c r="N176" s="26">
        <f t="shared" si="109"/>
        <v>0.39172576684980959</v>
      </c>
    </row>
    <row r="177" spans="1:14" outlineLevel="1">
      <c r="A177" s="14" t="s">
        <v>55</v>
      </c>
      <c r="B177" s="14">
        <f>B48</f>
        <v>28.734000000000002</v>
      </c>
      <c r="C177" s="14">
        <f t="shared" ref="C177:N177" si="110">C48</f>
        <v>77.659000000000006</v>
      </c>
      <c r="D177" s="14">
        <f t="shared" si="110"/>
        <v>55.756590444651536</v>
      </c>
      <c r="E177" s="14">
        <f t="shared" si="110"/>
        <v>58.953158035311965</v>
      </c>
      <c r="F177" s="14">
        <f t="shared" si="110"/>
        <v>62.726841913452624</v>
      </c>
      <c r="G177" s="14">
        <f t="shared" si="110"/>
        <v>66.658009206209059</v>
      </c>
      <c r="H177" s="14">
        <f t="shared" si="110"/>
        <v>70.744705107690777</v>
      </c>
      <c r="I177" s="14">
        <f t="shared" si="110"/>
        <v>73.755371941011433</v>
      </c>
      <c r="J177" s="14">
        <f t="shared" si="110"/>
        <v>77.198869168660096</v>
      </c>
      <c r="K177" s="14">
        <f t="shared" si="110"/>
        <v>81.084494398773245</v>
      </c>
      <c r="L177" s="14">
        <f t="shared" si="110"/>
        <v>85.422005437241594</v>
      </c>
      <c r="M177" s="14">
        <f t="shared" si="110"/>
        <v>89.971643438077493</v>
      </c>
      <c r="N177" s="14">
        <f t="shared" si="110"/>
        <v>95.244157207085976</v>
      </c>
    </row>
    <row r="178" spans="1:14" outlineLevel="1">
      <c r="A178" s="14" t="s">
        <v>271</v>
      </c>
      <c r="B178" s="26">
        <f>B177/B174</f>
        <v>0.22492896114977262</v>
      </c>
      <c r="C178" s="26">
        <f t="shared" ref="C178:N178" si="111">C177/C174</f>
        <v>0.5350479523783277</v>
      </c>
      <c r="D178" s="26">
        <f t="shared" si="111"/>
        <v>0.36585401194118899</v>
      </c>
      <c r="E178" s="26">
        <f t="shared" si="111"/>
        <v>0.36840828546976795</v>
      </c>
      <c r="F178" s="26">
        <f t="shared" si="111"/>
        <v>0.37332445352188481</v>
      </c>
      <c r="G178" s="26">
        <f t="shared" si="111"/>
        <v>0.37782966666653967</v>
      </c>
      <c r="H178" s="26">
        <f t="shared" si="111"/>
        <v>0.38189885624600778</v>
      </c>
      <c r="I178" s="26">
        <f t="shared" si="111"/>
        <v>0.37919165881499634</v>
      </c>
      <c r="J178" s="26">
        <f t="shared" si="111"/>
        <v>0.37799561142950844</v>
      </c>
      <c r="K178" s="26">
        <f t="shared" si="111"/>
        <v>0.37811537135041284</v>
      </c>
      <c r="L178" s="26">
        <f t="shared" si="111"/>
        <v>0.37937349353780431</v>
      </c>
      <c r="M178" s="26">
        <f t="shared" si="111"/>
        <v>0.38055162011160804</v>
      </c>
      <c r="N178" s="26">
        <f t="shared" si="111"/>
        <v>0.3836692259099645</v>
      </c>
    </row>
    <row r="179" spans="1:14" outlineLevel="1">
      <c r="A179" s="147"/>
    </row>
    <row r="180" spans="1:14" outlineLevel="1">
      <c r="A180" s="41" t="s">
        <v>272</v>
      </c>
    </row>
    <row r="181" spans="1:14" outlineLevel="1">
      <c r="A181" s="14" t="s">
        <v>273</v>
      </c>
      <c r="B181" s="14">
        <f>B106</f>
        <v>27.843000000000004</v>
      </c>
      <c r="C181" s="14">
        <f t="shared" ref="C181:N181" si="112">C106</f>
        <v>71.28</v>
      </c>
      <c r="D181" s="14">
        <f t="shared" si="112"/>
        <v>57.808104644225267</v>
      </c>
      <c r="E181" s="14">
        <f t="shared" si="112"/>
        <v>63.31100694204919</v>
      </c>
      <c r="F181" s="14">
        <f t="shared" si="112"/>
        <v>66.46655592197402</v>
      </c>
      <c r="G181" s="14">
        <f t="shared" si="112"/>
        <v>69.780182391910429</v>
      </c>
      <c r="H181" s="14">
        <f t="shared" si="112"/>
        <v>73.259781225128521</v>
      </c>
      <c r="I181" s="14">
        <f t="shared" si="112"/>
        <v>76.91364230859881</v>
      </c>
      <c r="J181" s="14">
        <f t="shared" si="112"/>
        <v>80.750470285576242</v>
      </c>
      <c r="K181" s="14">
        <f t="shared" si="112"/>
        <v>84.779405285556138</v>
      </c>
      <c r="L181" s="14">
        <f t="shared" si="112"/>
        <v>89.010044690963952</v>
      </c>
      <c r="M181" s="14">
        <f t="shared" si="112"/>
        <v>93.452465992408236</v>
      </c>
      <c r="N181" s="14">
        <f t="shared" si="112"/>
        <v>98.117250786917907</v>
      </c>
    </row>
    <row r="182" spans="1:14" outlineLevel="1">
      <c r="A182" s="14" t="s">
        <v>274</v>
      </c>
      <c r="B182" s="14">
        <f>B115</f>
        <v>-63.733999999999995</v>
      </c>
      <c r="C182" s="14">
        <f t="shared" ref="C182:N182" si="113">C115</f>
        <v>-2.3870000000000005</v>
      </c>
      <c r="D182" s="14">
        <f t="shared" si="113"/>
        <v>0.75</v>
      </c>
      <c r="E182" s="14">
        <f t="shared" si="113"/>
        <v>0</v>
      </c>
      <c r="F182" s="14">
        <f t="shared" si="113"/>
        <v>0</v>
      </c>
      <c r="G182" s="14">
        <f t="shared" si="113"/>
        <v>0</v>
      </c>
      <c r="H182" s="14">
        <f t="shared" si="113"/>
        <v>0</v>
      </c>
      <c r="I182" s="14">
        <f t="shared" si="113"/>
        <v>0</v>
      </c>
      <c r="J182" s="14">
        <f t="shared" si="113"/>
        <v>0</v>
      </c>
      <c r="K182" s="14">
        <f t="shared" si="113"/>
        <v>0</v>
      </c>
      <c r="L182" s="14">
        <f t="shared" si="113"/>
        <v>0</v>
      </c>
      <c r="M182" s="14">
        <f t="shared" si="113"/>
        <v>0</v>
      </c>
      <c r="N182" s="14">
        <f t="shared" si="113"/>
        <v>0</v>
      </c>
    </row>
    <row r="183" spans="1:14" outlineLevel="1">
      <c r="A183" s="14" t="s">
        <v>275</v>
      </c>
      <c r="B183" s="14">
        <f>B124</f>
        <v>-11.454000000000006</v>
      </c>
      <c r="C183" s="14">
        <f t="shared" ref="C183:N183" si="114">C124</f>
        <v>-56.719962300319487</v>
      </c>
      <c r="D183" s="14">
        <f t="shared" si="114"/>
        <v>-26.207977133395456</v>
      </c>
      <c r="E183" s="14">
        <f t="shared" si="114"/>
        <v>-27.775947410593584</v>
      </c>
      <c r="F183" s="14">
        <f t="shared" si="114"/>
        <v>-28.908052574035786</v>
      </c>
      <c r="G183" s="14">
        <f t="shared" si="114"/>
        <v>-29.987402761862715</v>
      </c>
      <c r="H183" s="14">
        <f t="shared" si="114"/>
        <v>-6.2134115323072301</v>
      </c>
      <c r="I183" s="14">
        <f t="shared" si="114"/>
        <v>-12.116611582303427</v>
      </c>
      <c r="J183" s="14">
        <f t="shared" si="114"/>
        <v>-18.149660750598027</v>
      </c>
      <c r="K183" s="14">
        <f t="shared" si="114"/>
        <v>-24.315348319631973</v>
      </c>
      <c r="L183" s="14">
        <f t="shared" si="114"/>
        <v>-25.616601631172475</v>
      </c>
      <c r="M183" s="14">
        <f t="shared" si="114"/>
        <v>-36.981493031423241</v>
      </c>
      <c r="N183" s="14">
        <f t="shared" si="114"/>
        <v>-38.563247162125791</v>
      </c>
    </row>
    <row r="184" spans="1:14" outlineLevel="1">
      <c r="A184" s="14" t="s">
        <v>276</v>
      </c>
      <c r="B184" s="14">
        <f>B126</f>
        <v>-47.344999999999999</v>
      </c>
      <c r="C184" s="14">
        <f t="shared" ref="C184:N184" si="115">C126</f>
        <v>12.173037699680513</v>
      </c>
      <c r="D184" s="14">
        <f t="shared" si="115"/>
        <v>32.350127510829807</v>
      </c>
      <c r="E184" s="14">
        <f t="shared" si="115"/>
        <v>35.535059531455602</v>
      </c>
      <c r="F184" s="14">
        <f t="shared" si="115"/>
        <v>37.558503347938235</v>
      </c>
      <c r="G184" s="14">
        <f t="shared" si="115"/>
        <v>39.792779630047718</v>
      </c>
      <c r="H184" s="14">
        <f t="shared" si="115"/>
        <v>67.046369692821287</v>
      </c>
      <c r="I184" s="14">
        <f t="shared" si="115"/>
        <v>64.79703072629539</v>
      </c>
      <c r="J184" s="14">
        <f t="shared" si="115"/>
        <v>62.600809534978211</v>
      </c>
      <c r="K184" s="14">
        <f t="shared" si="115"/>
        <v>60.464056965924165</v>
      </c>
      <c r="L184" s="14">
        <f t="shared" si="115"/>
        <v>63.39344305979148</v>
      </c>
      <c r="M184" s="14">
        <f t="shared" si="115"/>
        <v>56.470972960984994</v>
      </c>
      <c r="N184" s="14">
        <f t="shared" si="115"/>
        <v>59.554003624792117</v>
      </c>
    </row>
    <row r="185" spans="1:14" outlineLevel="1"/>
    <row r="186" spans="1:14" ht="16.5" outlineLevel="1">
      <c r="A186" s="167" t="s">
        <v>270</v>
      </c>
      <c r="B186" s="166"/>
      <c r="C186" s="166"/>
      <c r="D186" s="164"/>
      <c r="E186" s="167" t="s">
        <v>283</v>
      </c>
      <c r="F186" s="165"/>
      <c r="G186" s="165"/>
      <c r="H186" s="165"/>
      <c r="I186" s="165"/>
      <c r="J186" s="36"/>
      <c r="K186" s="36"/>
    </row>
    <row r="187" spans="1:14" outlineLevel="1">
      <c r="B187" s="35"/>
      <c r="C187" s="35"/>
    </row>
    <row r="188" spans="1:14" outlineLevel="1"/>
    <row r="189" spans="1:14" outlineLevel="1"/>
    <row r="190" spans="1:14" outlineLevel="1"/>
    <row r="191" spans="1:14" outlineLevel="1"/>
    <row r="192" spans="1:14" outlineLevel="1"/>
    <row r="193" outlineLevel="1"/>
    <row r="194" outlineLevel="1"/>
    <row r="195" outlineLevel="1"/>
    <row r="196" outlineLevel="1"/>
    <row r="197" outlineLevel="1"/>
    <row r="198" outlineLevel="1"/>
    <row r="199" outlineLevel="1"/>
    <row r="200" outlineLevel="1"/>
    <row r="201" outlineLevel="1"/>
    <row r="202" outlineLevel="1"/>
    <row r="203" outlineLevel="1"/>
    <row r="204" outlineLevel="1"/>
    <row r="205" outlineLevel="1"/>
    <row r="206" outlineLevel="1"/>
    <row r="207" outlineLevel="1"/>
    <row r="208" outlineLevel="1"/>
    <row r="209" outlineLevel="1"/>
    <row r="210" outlineLevel="1"/>
    <row r="211" outlineLevel="1"/>
    <row r="212" outlineLevel="1"/>
    <row r="213" outlineLevel="1"/>
    <row r="214" outlineLevel="1"/>
    <row r="215" outlineLevel="1"/>
    <row r="216" outlineLevel="1"/>
    <row r="217" outlineLevel="1"/>
    <row r="218" outlineLevel="1"/>
    <row r="219" outlineLevel="1"/>
    <row r="220" outlineLevel="1"/>
    <row r="221" outlineLevel="1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2AD0-76EB-4A3F-8401-CAEB88E20069}">
  <dimension ref="A1:Z224"/>
  <sheetViews>
    <sheetView zoomScaleNormal="100" workbookViewId="0">
      <pane ySplit="3" topLeftCell="A162" activePane="bottomLeft" state="frozen"/>
      <selection pane="bottomLeft" activeCell="B1" sqref="B1:N3"/>
    </sheetView>
  </sheetViews>
  <sheetFormatPr defaultRowHeight="15.75" outlineLevelRow="1"/>
  <cols>
    <col min="1" max="1" width="36.625" style="4" customWidth="1"/>
    <col min="2" max="2" width="9" style="4" bestFit="1" customWidth="1"/>
    <col min="3" max="3" width="8" style="4" bestFit="1" customWidth="1"/>
    <col min="4" max="4" width="12" style="4" bestFit="1" customWidth="1"/>
    <col min="5" max="14" width="8" style="4" bestFit="1" customWidth="1"/>
    <col min="15" max="16384" width="9" style="4"/>
  </cols>
  <sheetData>
    <row r="1" spans="1:26">
      <c r="A1" s="44" t="s">
        <v>263</v>
      </c>
      <c r="B1" s="33" t="s">
        <v>260</v>
      </c>
      <c r="C1" s="33"/>
      <c r="D1" s="33" t="s">
        <v>259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5"/>
      <c r="P1" s="5"/>
      <c r="Q1" s="5"/>
      <c r="R1" s="5"/>
      <c r="S1" s="5"/>
      <c r="T1" s="5"/>
    </row>
    <row r="2" spans="1:26">
      <c r="A2" s="43"/>
      <c r="B2" s="33" t="s">
        <v>261</v>
      </c>
      <c r="C2" s="33" t="s">
        <v>261</v>
      </c>
      <c r="D2" s="33" t="s">
        <v>261</v>
      </c>
      <c r="E2" s="33" t="s">
        <v>261</v>
      </c>
      <c r="F2" s="33" t="s">
        <v>261</v>
      </c>
      <c r="G2" s="33" t="s">
        <v>261</v>
      </c>
      <c r="H2" s="33" t="s">
        <v>261</v>
      </c>
      <c r="I2" s="33" t="s">
        <v>261</v>
      </c>
      <c r="J2" s="33" t="s">
        <v>261</v>
      </c>
      <c r="K2" s="33" t="s">
        <v>261</v>
      </c>
      <c r="L2" s="33" t="s">
        <v>261</v>
      </c>
      <c r="M2" s="33" t="s">
        <v>261</v>
      </c>
      <c r="N2" s="33" t="s">
        <v>261</v>
      </c>
      <c r="O2" s="5"/>
      <c r="P2" s="5"/>
      <c r="Q2" s="5"/>
      <c r="R2" s="5"/>
      <c r="S2" s="5"/>
      <c r="T2" s="5"/>
    </row>
    <row r="3" spans="1:26">
      <c r="A3" s="43"/>
      <c r="B3" s="34">
        <v>2021</v>
      </c>
      <c r="C3" s="34">
        <v>2022</v>
      </c>
      <c r="D3" s="34">
        <v>2023</v>
      </c>
      <c r="E3" s="34">
        <v>2024</v>
      </c>
      <c r="F3" s="34">
        <v>2025</v>
      </c>
      <c r="G3" s="34">
        <v>2026</v>
      </c>
      <c r="H3" s="34">
        <v>2027</v>
      </c>
      <c r="I3" s="34">
        <v>2028</v>
      </c>
      <c r="J3" s="34">
        <v>2029</v>
      </c>
      <c r="K3" s="34">
        <v>2030</v>
      </c>
      <c r="L3" s="34">
        <v>2031</v>
      </c>
      <c r="M3" s="34">
        <v>2032</v>
      </c>
      <c r="N3" s="34">
        <v>2033</v>
      </c>
      <c r="O3" s="5"/>
      <c r="P3" s="5"/>
      <c r="Q3" s="5"/>
      <c r="R3" s="5"/>
      <c r="S3" s="5"/>
      <c r="T3" s="5"/>
    </row>
    <row r="4" spans="1:26" s="14" customFormat="1" ht="18.75">
      <c r="A4" s="38" t="s">
        <v>258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26" s="6" customFormat="1" outlineLevel="1">
      <c r="A5" s="25" t="s">
        <v>93</v>
      </c>
      <c r="B5" s="30">
        <v>365</v>
      </c>
      <c r="C5" s="30">
        <v>365</v>
      </c>
      <c r="D5" s="24">
        <v>365</v>
      </c>
      <c r="E5" s="24">
        <v>365</v>
      </c>
      <c r="F5" s="24">
        <v>365</v>
      </c>
      <c r="G5" s="24">
        <v>365</v>
      </c>
      <c r="H5" s="24">
        <v>365</v>
      </c>
      <c r="I5" s="24">
        <v>365</v>
      </c>
      <c r="J5" s="24">
        <v>365</v>
      </c>
      <c r="K5" s="24">
        <v>365</v>
      </c>
      <c r="L5" s="24">
        <v>365</v>
      </c>
      <c r="M5" s="24">
        <v>365</v>
      </c>
      <c r="N5" s="24">
        <v>365</v>
      </c>
    </row>
    <row r="6" spans="1:26" outlineLevel="1">
      <c r="A6" s="14" t="s">
        <v>56</v>
      </c>
      <c r="B6" s="17">
        <v>-0.40097159764978407</v>
      </c>
      <c r="C6" s="17">
        <v>0.13618323717973801</v>
      </c>
      <c r="D6" s="26">
        <v>0.05</v>
      </c>
      <c r="E6" s="26">
        <v>0.05</v>
      </c>
      <c r="F6" s="26">
        <v>0.05</v>
      </c>
      <c r="G6" s="26">
        <v>0.05</v>
      </c>
      <c r="H6" s="26">
        <v>0.05</v>
      </c>
      <c r="I6" s="26">
        <v>0.05</v>
      </c>
      <c r="J6" s="26">
        <v>0.05</v>
      </c>
      <c r="K6" s="26">
        <v>0.05</v>
      </c>
      <c r="L6" s="26">
        <v>0.05</v>
      </c>
      <c r="M6" s="26">
        <v>0.05</v>
      </c>
      <c r="N6" s="26">
        <v>0.05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outlineLevel="1">
      <c r="A7" s="14" t="s">
        <v>57</v>
      </c>
      <c r="B7" s="17">
        <v>0.35605532810946638</v>
      </c>
      <c r="C7" s="17">
        <v>0.33570109684175714</v>
      </c>
      <c r="D7" s="26">
        <v>0.3</v>
      </c>
      <c r="E7" s="26">
        <v>0.3</v>
      </c>
      <c r="F7" s="26">
        <v>0.3</v>
      </c>
      <c r="G7" s="26">
        <v>0.3</v>
      </c>
      <c r="H7" s="26">
        <v>0.3</v>
      </c>
      <c r="I7" s="26">
        <v>0.3</v>
      </c>
      <c r="J7" s="26">
        <v>0.3</v>
      </c>
      <c r="K7" s="26">
        <v>0.3</v>
      </c>
      <c r="L7" s="26">
        <v>0.3</v>
      </c>
      <c r="M7" s="26">
        <v>0.3</v>
      </c>
      <c r="N7" s="26">
        <v>0.3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outlineLevel="1">
      <c r="A8" s="14" t="s">
        <v>58</v>
      </c>
      <c r="B8" s="17">
        <v>3.221993471470954E-2</v>
      </c>
      <c r="C8" s="17">
        <v>2.9081463925480902E-2</v>
      </c>
      <c r="D8" s="26">
        <v>0.03</v>
      </c>
      <c r="E8" s="26">
        <v>0.03</v>
      </c>
      <c r="F8" s="26">
        <v>0.03</v>
      </c>
      <c r="G8" s="26">
        <v>0.03</v>
      </c>
      <c r="H8" s="26">
        <v>0.03</v>
      </c>
      <c r="I8" s="26">
        <v>0.03</v>
      </c>
      <c r="J8" s="26">
        <v>0.03</v>
      </c>
      <c r="K8" s="26">
        <v>0.03</v>
      </c>
      <c r="L8" s="26">
        <v>0.03</v>
      </c>
      <c r="M8" s="26">
        <v>0.03</v>
      </c>
      <c r="N8" s="26">
        <v>0.03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outlineLevel="1">
      <c r="A9" s="14" t="s">
        <v>119</v>
      </c>
      <c r="B9" s="17">
        <v>2.93079289533218E-2</v>
      </c>
      <c r="C9" s="17">
        <v>2.3459460949126383E-2</v>
      </c>
      <c r="D9" s="26">
        <v>0.03</v>
      </c>
      <c r="E9" s="26">
        <v>0.03</v>
      </c>
      <c r="F9" s="26">
        <v>0.03</v>
      </c>
      <c r="G9" s="26">
        <v>0.03</v>
      </c>
      <c r="H9" s="26">
        <v>0.03</v>
      </c>
      <c r="I9" s="26">
        <v>0.03</v>
      </c>
      <c r="J9" s="26">
        <v>0.03</v>
      </c>
      <c r="K9" s="26">
        <v>0.03</v>
      </c>
      <c r="L9" s="26">
        <v>0.03</v>
      </c>
      <c r="M9" s="26">
        <v>0.03</v>
      </c>
      <c r="N9" s="26">
        <v>0.03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outlineLevel="1">
      <c r="A10" s="14" t="s">
        <v>120</v>
      </c>
      <c r="B10" s="17"/>
      <c r="C10" s="17">
        <v>0.02</v>
      </c>
      <c r="D10" s="26">
        <v>0.03</v>
      </c>
      <c r="E10" s="26">
        <v>0.03</v>
      </c>
      <c r="F10" s="26">
        <v>0.03</v>
      </c>
      <c r="G10" s="26">
        <v>0.03</v>
      </c>
      <c r="H10" s="26">
        <v>0.03</v>
      </c>
      <c r="I10" s="26">
        <v>0.03</v>
      </c>
      <c r="J10" s="26">
        <v>0.03</v>
      </c>
      <c r="K10" s="26">
        <v>0.03</v>
      </c>
      <c r="L10" s="26">
        <v>0.03</v>
      </c>
      <c r="M10" s="26">
        <v>0.03</v>
      </c>
      <c r="N10" s="26">
        <v>0.03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outlineLevel="1">
      <c r="A11" s="14" t="s">
        <v>60</v>
      </c>
      <c r="B11" s="17">
        <v>0.40793912968602003</v>
      </c>
      <c r="C11" s="17">
        <v>0.28333930441492583</v>
      </c>
      <c r="D11" s="26">
        <v>0.25</v>
      </c>
      <c r="E11" s="26">
        <v>0.25</v>
      </c>
      <c r="F11" s="26">
        <v>0.25</v>
      </c>
      <c r="G11" s="26">
        <v>0.25</v>
      </c>
      <c r="H11" s="26">
        <v>0.25</v>
      </c>
      <c r="I11" s="26">
        <v>0.25</v>
      </c>
      <c r="J11" s="26">
        <v>0.25</v>
      </c>
      <c r="K11" s="26">
        <v>0.25</v>
      </c>
      <c r="L11" s="26">
        <v>0.25</v>
      </c>
      <c r="M11" s="26">
        <v>0.25</v>
      </c>
      <c r="N11" s="26">
        <v>0.25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outlineLevel="1">
      <c r="A12" s="14" t="s">
        <v>61</v>
      </c>
      <c r="B12" s="17">
        <v>0</v>
      </c>
      <c r="C12" s="17">
        <v>-2.0978434169673574E-2</v>
      </c>
      <c r="D12" s="26">
        <v>0.05</v>
      </c>
      <c r="E12" s="26">
        <v>0.05</v>
      </c>
      <c r="F12" s="26">
        <v>0.05</v>
      </c>
      <c r="G12" s="26">
        <v>0.05</v>
      </c>
      <c r="H12" s="26">
        <v>0.05</v>
      </c>
      <c r="I12" s="26">
        <v>0.05</v>
      </c>
      <c r="J12" s="26">
        <v>0.05</v>
      </c>
      <c r="K12" s="26">
        <v>0.05</v>
      </c>
      <c r="L12" s="26">
        <v>0.05</v>
      </c>
      <c r="M12" s="26">
        <v>0.05</v>
      </c>
      <c r="N12" s="26">
        <v>0.05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outlineLevel="1">
      <c r="A13" s="14" t="s">
        <v>62</v>
      </c>
      <c r="B13" s="31">
        <v>4.212927338683083</v>
      </c>
      <c r="C13" s="31">
        <v>2.4870189840944077</v>
      </c>
      <c r="D13" s="27">
        <v>3</v>
      </c>
      <c r="E13" s="27">
        <v>3</v>
      </c>
      <c r="F13" s="27">
        <v>3</v>
      </c>
      <c r="G13" s="27">
        <v>3</v>
      </c>
      <c r="H13" s="27">
        <v>3</v>
      </c>
      <c r="I13" s="27">
        <v>3</v>
      </c>
      <c r="J13" s="27">
        <v>3</v>
      </c>
      <c r="K13" s="27">
        <v>3</v>
      </c>
      <c r="L13" s="27">
        <v>3</v>
      </c>
      <c r="M13" s="27">
        <v>3</v>
      </c>
      <c r="N13" s="27">
        <v>3</v>
      </c>
    </row>
    <row r="14" spans="1:26" outlineLevel="1">
      <c r="A14" s="14" t="s">
        <v>63</v>
      </c>
      <c r="B14" s="31">
        <v>198.79323976296897</v>
      </c>
      <c r="C14" s="31">
        <v>191.05767375847432</v>
      </c>
      <c r="D14" s="14">
        <v>150</v>
      </c>
      <c r="E14" s="14">
        <v>150</v>
      </c>
      <c r="F14" s="14">
        <v>150</v>
      </c>
      <c r="G14" s="14">
        <v>150</v>
      </c>
      <c r="H14" s="14">
        <v>150</v>
      </c>
      <c r="I14" s="14">
        <v>150</v>
      </c>
      <c r="J14" s="14">
        <v>150</v>
      </c>
      <c r="K14" s="14">
        <v>150</v>
      </c>
      <c r="L14" s="14">
        <v>150</v>
      </c>
      <c r="M14" s="14">
        <v>150</v>
      </c>
      <c r="N14" s="14">
        <v>150</v>
      </c>
    </row>
    <row r="15" spans="1:26" outlineLevel="1">
      <c r="A15" s="14" t="s">
        <v>64</v>
      </c>
      <c r="B15" s="31">
        <v>822.5560074749917</v>
      </c>
      <c r="C15" s="31">
        <v>691.9830682401232</v>
      </c>
      <c r="D15" s="14">
        <v>600</v>
      </c>
      <c r="E15" s="14">
        <v>600</v>
      </c>
      <c r="F15" s="14">
        <v>600</v>
      </c>
      <c r="G15" s="14">
        <v>600</v>
      </c>
      <c r="H15" s="14">
        <v>600</v>
      </c>
      <c r="I15" s="14">
        <v>600</v>
      </c>
      <c r="J15" s="14">
        <v>600</v>
      </c>
      <c r="K15" s="14">
        <v>600</v>
      </c>
      <c r="L15" s="14">
        <v>600</v>
      </c>
      <c r="M15" s="14">
        <v>600</v>
      </c>
      <c r="N15" s="14">
        <v>600</v>
      </c>
    </row>
    <row r="16" spans="1:26" outlineLevel="1">
      <c r="A16" s="14" t="s">
        <v>66</v>
      </c>
      <c r="B16" s="31">
        <v>5.9753496421722243</v>
      </c>
      <c r="C16" s="31">
        <v>6.6634836103204487</v>
      </c>
      <c r="D16" s="14">
        <v>6</v>
      </c>
      <c r="E16" s="14">
        <v>6</v>
      </c>
      <c r="F16" s="14">
        <v>6</v>
      </c>
      <c r="G16" s="14">
        <v>6</v>
      </c>
      <c r="H16" s="14">
        <v>6</v>
      </c>
      <c r="I16" s="14">
        <v>6</v>
      </c>
      <c r="J16" s="14">
        <v>6</v>
      </c>
      <c r="K16" s="14">
        <v>6</v>
      </c>
      <c r="L16" s="14">
        <v>6</v>
      </c>
      <c r="M16" s="14">
        <v>6</v>
      </c>
      <c r="N16" s="14">
        <v>6</v>
      </c>
    </row>
    <row r="17" spans="1:14" outlineLevel="1">
      <c r="A17" s="14" t="s">
        <v>67</v>
      </c>
      <c r="B17" s="31">
        <v>86.582999999999998</v>
      </c>
      <c r="C17" s="31">
        <v>51.533999999999999</v>
      </c>
      <c r="D17" s="14">
        <v>70</v>
      </c>
      <c r="E17" s="14">
        <v>70</v>
      </c>
      <c r="F17" s="14">
        <v>70</v>
      </c>
      <c r="G17" s="14">
        <v>70</v>
      </c>
      <c r="H17" s="14">
        <v>70</v>
      </c>
      <c r="I17" s="14">
        <v>70</v>
      </c>
      <c r="J17" s="14">
        <v>70</v>
      </c>
      <c r="K17" s="14">
        <v>70</v>
      </c>
      <c r="L17" s="14">
        <v>70</v>
      </c>
      <c r="M17" s="14">
        <v>70</v>
      </c>
      <c r="N17" s="14">
        <v>70</v>
      </c>
    </row>
    <row r="18" spans="1:14" outlineLevel="1">
      <c r="A18" s="14" t="s">
        <v>26</v>
      </c>
      <c r="B18" s="31">
        <v>0.22900000000000001</v>
      </c>
      <c r="C18" s="31">
        <v>0.23</v>
      </c>
      <c r="D18" s="14">
        <f>C18+0.01</f>
        <v>0.24000000000000002</v>
      </c>
      <c r="E18" s="14">
        <f t="shared" ref="E18:N18" si="0">D18+0.01</f>
        <v>0.25</v>
      </c>
      <c r="F18" s="14">
        <f t="shared" si="0"/>
        <v>0.26</v>
      </c>
      <c r="G18" s="14">
        <f t="shared" si="0"/>
        <v>0.27</v>
      </c>
      <c r="H18" s="14">
        <f t="shared" si="0"/>
        <v>0.28000000000000003</v>
      </c>
      <c r="I18" s="14">
        <f t="shared" si="0"/>
        <v>0.29000000000000004</v>
      </c>
      <c r="J18" s="14">
        <f t="shared" si="0"/>
        <v>0.30000000000000004</v>
      </c>
      <c r="K18" s="14">
        <f t="shared" si="0"/>
        <v>0.31000000000000005</v>
      </c>
      <c r="L18" s="14">
        <f t="shared" si="0"/>
        <v>0.32000000000000006</v>
      </c>
      <c r="M18" s="14">
        <f t="shared" si="0"/>
        <v>0.33000000000000007</v>
      </c>
      <c r="N18" s="14">
        <f t="shared" si="0"/>
        <v>0.34000000000000008</v>
      </c>
    </row>
    <row r="19" spans="1:14" outlineLevel="1">
      <c r="A19" s="14" t="s">
        <v>65</v>
      </c>
      <c r="B19" s="31">
        <v>0.44700000000000001</v>
      </c>
      <c r="C19" s="31">
        <v>0.26</v>
      </c>
      <c r="D19" s="14">
        <v>0.2</v>
      </c>
      <c r="E19" s="14">
        <v>0.1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outlineLevel="1">
      <c r="A20" s="14" t="s">
        <v>118</v>
      </c>
      <c r="B20" s="31"/>
      <c r="C20" s="31"/>
      <c r="D20" s="26">
        <v>0.1</v>
      </c>
      <c r="E20" s="26">
        <v>0.1</v>
      </c>
      <c r="F20" s="26">
        <v>0.1</v>
      </c>
      <c r="G20" s="26">
        <v>0.1</v>
      </c>
      <c r="H20" s="26">
        <v>0.1</v>
      </c>
      <c r="I20" s="26">
        <v>0.1</v>
      </c>
      <c r="J20" s="26">
        <v>0.1</v>
      </c>
      <c r="K20" s="26">
        <v>0.1</v>
      </c>
      <c r="L20" s="26">
        <v>0.1</v>
      </c>
      <c r="M20" s="26">
        <v>0.1</v>
      </c>
      <c r="N20" s="26">
        <v>0.1</v>
      </c>
    </row>
    <row r="21" spans="1:14" outlineLevel="1">
      <c r="A21" s="14" t="s">
        <v>67</v>
      </c>
      <c r="B21" s="31"/>
      <c r="C21" s="31">
        <f>C77</f>
        <v>51.533999999999999</v>
      </c>
      <c r="D21" s="14">
        <v>50</v>
      </c>
      <c r="E21" s="14">
        <v>40</v>
      </c>
      <c r="F21" s="14">
        <v>30</v>
      </c>
      <c r="G21" s="14">
        <v>20</v>
      </c>
      <c r="H21" s="14">
        <v>35</v>
      </c>
      <c r="I21" s="14">
        <v>45</v>
      </c>
      <c r="J21" s="14">
        <v>50</v>
      </c>
      <c r="K21" s="14">
        <v>50</v>
      </c>
      <c r="L21" s="14">
        <v>50</v>
      </c>
      <c r="M21" s="14">
        <v>40</v>
      </c>
      <c r="N21" s="14">
        <v>30</v>
      </c>
    </row>
    <row r="22" spans="1:14" outlineLevel="1">
      <c r="A22" s="14" t="s">
        <v>135</v>
      </c>
      <c r="B22" s="31"/>
      <c r="C22" s="17">
        <f>C39/C21</f>
        <v>-3.7121123918189933E-2</v>
      </c>
      <c r="D22" s="26">
        <v>0.05</v>
      </c>
      <c r="E22" s="26">
        <v>0.05</v>
      </c>
      <c r="F22" s="26">
        <v>0.05</v>
      </c>
      <c r="G22" s="26">
        <v>0.05</v>
      </c>
      <c r="H22" s="26">
        <v>0.05</v>
      </c>
      <c r="I22" s="26">
        <v>0.05</v>
      </c>
      <c r="J22" s="26">
        <v>0.05</v>
      </c>
      <c r="K22" s="26">
        <v>0.05</v>
      </c>
      <c r="L22" s="26">
        <v>0.05</v>
      </c>
      <c r="M22" s="26">
        <v>0.05</v>
      </c>
      <c r="N22" s="26">
        <v>0.05</v>
      </c>
    </row>
    <row r="23" spans="1:14" outlineLevel="1">
      <c r="A23" s="14" t="s">
        <v>136</v>
      </c>
      <c r="B23" s="31"/>
      <c r="C23" s="17">
        <f>C121/C43</f>
        <v>-0.29740274791073795</v>
      </c>
      <c r="D23" s="26">
        <v>0.3</v>
      </c>
      <c r="E23" s="26">
        <v>0.3</v>
      </c>
      <c r="F23" s="26">
        <v>0.3</v>
      </c>
      <c r="G23" s="26">
        <v>0.3</v>
      </c>
      <c r="H23" s="26">
        <v>0.3</v>
      </c>
      <c r="I23" s="26">
        <v>0.3</v>
      </c>
      <c r="J23" s="26">
        <v>0.3</v>
      </c>
      <c r="K23" s="26">
        <v>0.3</v>
      </c>
      <c r="L23" s="26">
        <v>0.3</v>
      </c>
      <c r="M23" s="26">
        <v>0.3</v>
      </c>
      <c r="N23" s="26">
        <v>0.3</v>
      </c>
    </row>
    <row r="24" spans="1:14" outlineLevel="1">
      <c r="A24" s="14" t="s">
        <v>145</v>
      </c>
      <c r="B24" s="31"/>
      <c r="C24" s="31"/>
      <c r="D24" s="14">
        <v>13.514901566719942</v>
      </c>
      <c r="E24" s="14">
        <v>10.994901566719903</v>
      </c>
      <c r="F24" s="14">
        <v>8.9849015667199694</v>
      </c>
      <c r="G24" s="14">
        <v>7.484901566719941</v>
      </c>
      <c r="H24" s="14">
        <v>6.484901566719941</v>
      </c>
      <c r="I24" s="14">
        <v>4.7349015667199978</v>
      </c>
      <c r="J24" s="14">
        <v>2.4849015667198842</v>
      </c>
      <c r="K24" s="14">
        <v>-1.5098433279945311E-2</v>
      </c>
      <c r="L24" s="14">
        <v>-2.515098433280059</v>
      </c>
      <c r="M24" s="14">
        <v>-5.015098433280059</v>
      </c>
      <c r="N24" s="14">
        <v>-7.015098433280059</v>
      </c>
    </row>
    <row r="26" spans="1:14" s="14" customFormat="1"/>
    <row r="27" spans="1:14" s="14" customFormat="1"/>
    <row r="28" spans="1:14" s="14" customFormat="1" ht="18.75">
      <c r="A28" s="38" t="s">
        <v>218</v>
      </c>
      <c r="B28" s="39"/>
      <c r="C28" s="21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s="14" customFormat="1" outlineLevel="1">
      <c r="A29" s="14" t="s">
        <v>1</v>
      </c>
      <c r="B29" s="14">
        <v>127.747</v>
      </c>
      <c r="C29" s="14">
        <v>145.14400000000001</v>
      </c>
      <c r="D29" s="14">
        <f t="shared" ref="D29:N29" si="1">C29*(D6+1)</f>
        <v>152.40120000000002</v>
      </c>
      <c r="E29" s="14">
        <f t="shared" si="1"/>
        <v>160.02126000000001</v>
      </c>
      <c r="F29" s="14">
        <f t="shared" si="1"/>
        <v>168.02232300000003</v>
      </c>
      <c r="G29" s="14">
        <f t="shared" si="1"/>
        <v>176.42343915000004</v>
      </c>
      <c r="H29" s="14">
        <f t="shared" si="1"/>
        <v>185.24461110750005</v>
      </c>
      <c r="I29" s="14">
        <f t="shared" si="1"/>
        <v>194.50684166287505</v>
      </c>
      <c r="J29" s="14">
        <f t="shared" si="1"/>
        <v>204.23218374601882</v>
      </c>
      <c r="K29" s="14">
        <f t="shared" si="1"/>
        <v>214.44379293331977</v>
      </c>
      <c r="L29" s="14">
        <f t="shared" si="1"/>
        <v>225.16598257998578</v>
      </c>
      <c r="M29" s="14">
        <f t="shared" si="1"/>
        <v>236.42428170898509</v>
      </c>
      <c r="N29" s="14">
        <f t="shared" si="1"/>
        <v>248.24549579443436</v>
      </c>
    </row>
    <row r="30" spans="1:14" s="14" customFormat="1" outlineLevel="1">
      <c r="A30" s="14" t="s">
        <v>11</v>
      </c>
      <c r="B30" s="14">
        <v>-45.484999999999999</v>
      </c>
      <c r="C30" s="14">
        <v>-48.725000000000001</v>
      </c>
      <c r="D30" s="14">
        <f t="shared" ref="D30:N30" si="2">-D29*D7</f>
        <v>-45.720360000000007</v>
      </c>
      <c r="E30" s="14">
        <f t="shared" si="2"/>
        <v>-48.006378000000005</v>
      </c>
      <c r="F30" s="14">
        <f t="shared" si="2"/>
        <v>-50.406696900000007</v>
      </c>
      <c r="G30" s="14">
        <f t="shared" si="2"/>
        <v>-52.927031745000008</v>
      </c>
      <c r="H30" s="14">
        <f t="shared" si="2"/>
        <v>-55.57338333225001</v>
      </c>
      <c r="I30" s="14">
        <f t="shared" si="2"/>
        <v>-58.352052498862513</v>
      </c>
      <c r="J30" s="14">
        <f t="shared" si="2"/>
        <v>-61.269655123805641</v>
      </c>
      <c r="K30" s="14">
        <f t="shared" si="2"/>
        <v>-64.333137879995931</v>
      </c>
      <c r="L30" s="14">
        <f t="shared" si="2"/>
        <v>-67.549794773995728</v>
      </c>
      <c r="M30" s="14">
        <f t="shared" si="2"/>
        <v>-70.927284512695522</v>
      </c>
      <c r="N30" s="14">
        <f t="shared" si="2"/>
        <v>-74.473648738330311</v>
      </c>
    </row>
    <row r="31" spans="1:14" s="14" customFormat="1" outlineLevel="1">
      <c r="A31" s="29" t="s">
        <v>2</v>
      </c>
      <c r="B31" s="29">
        <f t="shared" ref="B31:D31" si="3">SUM(B29:B30)</f>
        <v>82.262</v>
      </c>
      <c r="C31" s="29">
        <f t="shared" si="3"/>
        <v>96.419000000000011</v>
      </c>
      <c r="D31" s="29">
        <f t="shared" si="3"/>
        <v>106.68084000000002</v>
      </c>
      <c r="E31" s="29">
        <f t="shared" ref="E31:N31" si="4">SUM(E29:E30)</f>
        <v>112.014882</v>
      </c>
      <c r="F31" s="29">
        <f t="shared" si="4"/>
        <v>117.61562610000001</v>
      </c>
      <c r="G31" s="29">
        <f t="shared" si="4"/>
        <v>123.49640740500003</v>
      </c>
      <c r="H31" s="29">
        <f t="shared" si="4"/>
        <v>129.67122777525003</v>
      </c>
      <c r="I31" s="29">
        <f t="shared" si="4"/>
        <v>136.15478916401253</v>
      </c>
      <c r="J31" s="29">
        <f t="shared" si="4"/>
        <v>142.96252862221317</v>
      </c>
      <c r="K31" s="29">
        <f t="shared" si="4"/>
        <v>150.11065505332385</v>
      </c>
      <c r="L31" s="29">
        <f t="shared" si="4"/>
        <v>157.61618780599005</v>
      </c>
      <c r="M31" s="29">
        <f t="shared" si="4"/>
        <v>165.49699719628956</v>
      </c>
      <c r="N31" s="29">
        <f t="shared" si="4"/>
        <v>173.77184705610404</v>
      </c>
    </row>
    <row r="32" spans="1:14" s="14" customFormat="1" outlineLevel="1">
      <c r="A32" s="14" t="s">
        <v>3</v>
      </c>
      <c r="B32" s="14">
        <v>-4.1159999999999997</v>
      </c>
      <c r="C32" s="14">
        <v>-4.2210000000000001</v>
      </c>
      <c r="D32" s="14">
        <f t="shared" ref="D32:N32" si="5">-D29*D8</f>
        <v>-4.5720360000000007</v>
      </c>
      <c r="E32" s="14">
        <f t="shared" si="5"/>
        <v>-4.8006378000000005</v>
      </c>
      <c r="F32" s="14">
        <f t="shared" si="5"/>
        <v>-5.0406696900000005</v>
      </c>
      <c r="G32" s="14">
        <f t="shared" si="5"/>
        <v>-5.2927031745000006</v>
      </c>
      <c r="H32" s="14">
        <f t="shared" si="5"/>
        <v>-5.557338333225001</v>
      </c>
      <c r="I32" s="14">
        <f t="shared" si="5"/>
        <v>-5.8352052498862514</v>
      </c>
      <c r="J32" s="14">
        <f t="shared" si="5"/>
        <v>-6.126965512380564</v>
      </c>
      <c r="K32" s="14">
        <f t="shared" si="5"/>
        <v>-6.4333137879995927</v>
      </c>
      <c r="L32" s="14">
        <f t="shared" si="5"/>
        <v>-6.7549794773995728</v>
      </c>
      <c r="M32" s="14">
        <f t="shared" si="5"/>
        <v>-7.0927284512695525</v>
      </c>
      <c r="N32" s="14">
        <f t="shared" si="5"/>
        <v>-7.4473648738330303</v>
      </c>
    </row>
    <row r="33" spans="1:14" s="14" customFormat="1" outlineLevel="1">
      <c r="A33" s="14" t="s">
        <v>4</v>
      </c>
      <c r="B33" s="14">
        <v>-3.7440000000000002</v>
      </c>
      <c r="C33" s="14">
        <v>-3.4049999999999998</v>
      </c>
      <c r="D33" s="14">
        <f>D148</f>
        <v>-2.5776719529984016</v>
      </c>
      <c r="E33" s="14">
        <f t="shared" ref="E33:N33" si="6">E148</f>
        <v>-2.5003417944084494</v>
      </c>
      <c r="F33" s="14">
        <f t="shared" si="6"/>
        <v>-2.4253315405761962</v>
      </c>
      <c r="G33" s="14">
        <f t="shared" si="6"/>
        <v>-2.3525715943589098</v>
      </c>
      <c r="H33" s="14">
        <f t="shared" si="6"/>
        <v>-2.2819944465281425</v>
      </c>
      <c r="I33" s="14">
        <f t="shared" si="6"/>
        <v>-2.2135346131322984</v>
      </c>
      <c r="J33" s="14">
        <f t="shared" si="6"/>
        <v>-2.1471285747383293</v>
      </c>
      <c r="K33" s="14">
        <f t="shared" si="6"/>
        <v>-2.0827147174961795</v>
      </c>
      <c r="L33" s="14">
        <f t="shared" si="6"/>
        <v>-2.020233275971294</v>
      </c>
      <c r="M33" s="14">
        <f t="shared" si="6"/>
        <v>-1.9596262776921554</v>
      </c>
      <c r="N33" s="14">
        <f t="shared" si="6"/>
        <v>-1.9008374893613906</v>
      </c>
    </row>
    <row r="34" spans="1:14" s="14" customFormat="1" outlineLevel="1">
      <c r="A34" s="14" t="s">
        <v>5</v>
      </c>
      <c r="B34" s="14">
        <v>-52.113</v>
      </c>
      <c r="C34" s="14">
        <v>-41.125</v>
      </c>
      <c r="D34" s="14">
        <f t="shared" ref="D34:N34" si="7">-D29*D11</f>
        <v>-38.100300000000004</v>
      </c>
      <c r="E34" s="14">
        <f t="shared" si="7"/>
        <v>-40.005315000000003</v>
      </c>
      <c r="F34" s="14">
        <f t="shared" si="7"/>
        <v>-42.005580750000007</v>
      </c>
      <c r="G34" s="14">
        <f t="shared" si="7"/>
        <v>-44.105859787500009</v>
      </c>
      <c r="H34" s="14">
        <f t="shared" si="7"/>
        <v>-46.311152776875012</v>
      </c>
      <c r="I34" s="14">
        <f t="shared" si="7"/>
        <v>-48.626710415718762</v>
      </c>
      <c r="J34" s="14">
        <f t="shared" si="7"/>
        <v>-51.058045936504705</v>
      </c>
      <c r="K34" s="14">
        <f t="shared" si="7"/>
        <v>-53.610948233329943</v>
      </c>
      <c r="L34" s="14">
        <f t="shared" si="7"/>
        <v>-56.291495644996445</v>
      </c>
      <c r="M34" s="14">
        <f t="shared" si="7"/>
        <v>-59.106070427246273</v>
      </c>
      <c r="N34" s="14">
        <f t="shared" si="7"/>
        <v>-62.06137394860859</v>
      </c>
    </row>
    <row r="35" spans="1:14" s="14" customFormat="1" outlineLevel="1">
      <c r="A35" s="29" t="s">
        <v>6</v>
      </c>
      <c r="B35" s="29">
        <f>SUM(B31:B34)</f>
        <v>22.289000000000001</v>
      </c>
      <c r="C35" s="29">
        <f>SUM(C31:C34)</f>
        <v>47.668000000000006</v>
      </c>
      <c r="D35" s="29">
        <f>SUM(D31:D34)</f>
        <v>61.430832047001616</v>
      </c>
      <c r="E35" s="29">
        <f t="shared" ref="E35:N35" si="8">SUM(E31:E34)</f>
        <v>64.708587405591544</v>
      </c>
      <c r="F35" s="29">
        <f t="shared" si="8"/>
        <v>68.14404411942381</v>
      </c>
      <c r="G35" s="29">
        <f t="shared" si="8"/>
        <v>71.745272848641108</v>
      </c>
      <c r="H35" s="29">
        <f t="shared" si="8"/>
        <v>75.520742218621876</v>
      </c>
      <c r="I35" s="29">
        <f t="shared" si="8"/>
        <v>79.479338885275197</v>
      </c>
      <c r="J35" s="29">
        <f t="shared" si="8"/>
        <v>83.630388598589576</v>
      </c>
      <c r="K35" s="29">
        <f t="shared" si="8"/>
        <v>87.98367831449815</v>
      </c>
      <c r="L35" s="29">
        <f t="shared" si="8"/>
        <v>92.549479407622727</v>
      </c>
      <c r="M35" s="29">
        <f t="shared" si="8"/>
        <v>97.338572040081573</v>
      </c>
      <c r="N35" s="29">
        <f t="shared" si="8"/>
        <v>102.36227074430103</v>
      </c>
    </row>
    <row r="36" spans="1:14" s="14" customFormat="1" outlineLevel="1">
      <c r="A36" s="14" t="s">
        <v>7</v>
      </c>
      <c r="B36" s="14">
        <v>0</v>
      </c>
      <c r="C36" s="14">
        <v>1</v>
      </c>
      <c r="D36" s="14">
        <f t="shared" ref="D36:N36" si="9">D35*D12</f>
        <v>3.0715416023500808</v>
      </c>
      <c r="E36" s="14">
        <f t="shared" si="9"/>
        <v>3.2354293702795776</v>
      </c>
      <c r="F36" s="14">
        <f t="shared" si="9"/>
        <v>3.4072022059711906</v>
      </c>
      <c r="G36" s="14">
        <f t="shared" si="9"/>
        <v>3.5872636424320556</v>
      </c>
      <c r="H36" s="14">
        <f t="shared" si="9"/>
        <v>3.7760371109310942</v>
      </c>
      <c r="I36" s="14">
        <f t="shared" si="9"/>
        <v>3.97396694426376</v>
      </c>
      <c r="J36" s="14">
        <f t="shared" si="9"/>
        <v>4.1815194299294793</v>
      </c>
      <c r="K36" s="14">
        <f t="shared" si="9"/>
        <v>4.3991839157249073</v>
      </c>
      <c r="L36" s="14">
        <f t="shared" si="9"/>
        <v>4.6274739703811365</v>
      </c>
      <c r="M36" s="14">
        <f t="shared" si="9"/>
        <v>4.8669286020040792</v>
      </c>
      <c r="N36" s="14">
        <f t="shared" si="9"/>
        <v>5.1181135372150521</v>
      </c>
    </row>
    <row r="37" spans="1:14" s="14" customFormat="1" outlineLevel="1">
      <c r="A37" s="29" t="s">
        <v>8</v>
      </c>
      <c r="B37" s="29">
        <f>B35-B36</f>
        <v>22.289000000000001</v>
      </c>
      <c r="C37" s="29">
        <f>C35-C36</f>
        <v>46.668000000000006</v>
      </c>
      <c r="D37" s="29">
        <f>D35-D36</f>
        <v>58.359290444651535</v>
      </c>
      <c r="E37" s="29">
        <f t="shared" ref="E37:N37" si="10">E35-E36</f>
        <v>61.473158035311968</v>
      </c>
      <c r="F37" s="29">
        <f t="shared" si="10"/>
        <v>64.736841913452622</v>
      </c>
      <c r="G37" s="29">
        <f t="shared" si="10"/>
        <v>68.158009206209059</v>
      </c>
      <c r="H37" s="29">
        <f t="shared" si="10"/>
        <v>71.744705107690777</v>
      </c>
      <c r="I37" s="29">
        <f t="shared" si="10"/>
        <v>75.505371941011433</v>
      </c>
      <c r="J37" s="29">
        <f t="shared" si="10"/>
        <v>79.448869168660096</v>
      </c>
      <c r="K37" s="29">
        <f t="shared" si="10"/>
        <v>83.584494398773245</v>
      </c>
      <c r="L37" s="29">
        <f t="shared" si="10"/>
        <v>87.922005437241594</v>
      </c>
      <c r="M37" s="29">
        <f t="shared" si="10"/>
        <v>92.471643438077493</v>
      </c>
      <c r="N37" s="29">
        <f t="shared" si="10"/>
        <v>97.244157207085976</v>
      </c>
    </row>
    <row r="38" spans="1:14" s="14" customFormat="1" outlineLevel="1">
      <c r="A38" s="14" t="s">
        <v>12</v>
      </c>
      <c r="B38" s="14">
        <v>2.1999999999999999E-2</v>
      </c>
      <c r="C38" s="14">
        <v>1.2999999999999999E-2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</row>
    <row r="39" spans="1:14" s="14" customFormat="1" outlineLevel="1">
      <c r="A39" s="14" t="s">
        <v>117</v>
      </c>
      <c r="C39" s="14">
        <v>-1.913</v>
      </c>
      <c r="D39" s="14">
        <f>D162</f>
        <v>-2.6027</v>
      </c>
      <c r="E39" s="14">
        <f t="shared" ref="E39:N39" si="11">E162</f>
        <v>-2.52</v>
      </c>
      <c r="F39" s="14">
        <f t="shared" si="11"/>
        <v>-2.0099999999999998</v>
      </c>
      <c r="G39" s="14">
        <f t="shared" si="11"/>
        <v>-1.5</v>
      </c>
      <c r="H39" s="14">
        <f t="shared" si="11"/>
        <v>-1</v>
      </c>
      <c r="I39" s="14">
        <f t="shared" si="11"/>
        <v>-1.75</v>
      </c>
      <c r="J39" s="14">
        <f t="shared" si="11"/>
        <v>-2.25</v>
      </c>
      <c r="K39" s="14">
        <f t="shared" si="11"/>
        <v>-2.5</v>
      </c>
      <c r="L39" s="14">
        <f t="shared" si="11"/>
        <v>-2.5</v>
      </c>
      <c r="M39" s="14">
        <f t="shared" si="11"/>
        <v>-2.5</v>
      </c>
      <c r="N39" s="14">
        <f t="shared" si="11"/>
        <v>-2</v>
      </c>
    </row>
    <row r="40" spans="1:14" s="14" customFormat="1" outlineLevel="1">
      <c r="A40" s="14" t="s">
        <v>13</v>
      </c>
      <c r="B40" s="14">
        <v>6.423</v>
      </c>
      <c r="C40" s="14">
        <v>0.14799999999999999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</row>
    <row r="41" spans="1:14" s="14" customFormat="1" outlineLevel="1">
      <c r="A41" s="14" t="s">
        <v>228</v>
      </c>
      <c r="B41" s="14" t="s">
        <v>9</v>
      </c>
      <c r="C41" s="14">
        <v>29.863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</row>
    <row r="42" spans="1:14" s="14" customFormat="1" outlineLevel="1">
      <c r="A42" s="14" t="s">
        <v>228</v>
      </c>
      <c r="B42" s="14" t="s">
        <v>9</v>
      </c>
      <c r="C42" s="14">
        <v>2.88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</row>
    <row r="43" spans="1:14" s="14" customFormat="1" outlineLevel="1">
      <c r="A43" s="29" t="s">
        <v>10</v>
      </c>
      <c r="B43" s="29">
        <f>SUM(B37:B42)</f>
        <v>28.734000000000002</v>
      </c>
      <c r="C43" s="29">
        <f>SUM(C37:C42)</f>
        <v>77.659000000000006</v>
      </c>
      <c r="D43" s="29">
        <f>SUM(D37:D42)</f>
        <v>55.756590444651536</v>
      </c>
      <c r="E43" s="29">
        <f t="shared" ref="E43:N43" si="12">SUM(E37:E42)</f>
        <v>58.953158035311965</v>
      </c>
      <c r="F43" s="29">
        <f t="shared" si="12"/>
        <v>62.726841913452624</v>
      </c>
      <c r="G43" s="29">
        <f t="shared" si="12"/>
        <v>66.658009206209059</v>
      </c>
      <c r="H43" s="29">
        <f t="shared" si="12"/>
        <v>70.744705107690777</v>
      </c>
      <c r="I43" s="29">
        <f t="shared" si="12"/>
        <v>73.755371941011433</v>
      </c>
      <c r="J43" s="29">
        <f t="shared" si="12"/>
        <v>77.198869168660096</v>
      </c>
      <c r="K43" s="29">
        <f t="shared" si="12"/>
        <v>81.084494398773245</v>
      </c>
      <c r="L43" s="29">
        <f t="shared" si="12"/>
        <v>85.422005437241594</v>
      </c>
      <c r="M43" s="29">
        <f t="shared" si="12"/>
        <v>89.971643438077493</v>
      </c>
      <c r="N43" s="29">
        <f t="shared" si="12"/>
        <v>95.244157207085976</v>
      </c>
    </row>
    <row r="44" spans="1:14" s="14" customFormat="1" outlineLevel="1"/>
    <row r="45" spans="1:14" s="14" customFormat="1" outlineLevel="1"/>
    <row r="46" spans="1:14" s="14" customFormat="1" outlineLevel="1">
      <c r="A46" s="29" t="s">
        <v>54</v>
      </c>
    </row>
    <row r="47" spans="1:14" s="14" customFormat="1" outlineLevel="1">
      <c r="A47" s="29" t="s">
        <v>55</v>
      </c>
      <c r="B47" s="29">
        <f>B43-B39</f>
        <v>28.734000000000002</v>
      </c>
      <c r="C47" s="29">
        <f>C43-C39</f>
        <v>79.572000000000003</v>
      </c>
      <c r="D47" s="29">
        <f t="shared" ref="D47:N47" si="13">D43-D39</f>
        <v>58.359290444651535</v>
      </c>
      <c r="E47" s="29">
        <f t="shared" si="13"/>
        <v>61.473158035311968</v>
      </c>
      <c r="F47" s="29">
        <f t="shared" si="13"/>
        <v>64.736841913452622</v>
      </c>
      <c r="G47" s="29">
        <f t="shared" si="13"/>
        <v>68.158009206209059</v>
      </c>
      <c r="H47" s="29">
        <f t="shared" si="13"/>
        <v>71.744705107690777</v>
      </c>
      <c r="I47" s="29">
        <f t="shared" si="13"/>
        <v>75.505371941011433</v>
      </c>
      <c r="J47" s="29">
        <f t="shared" si="13"/>
        <v>79.448869168660096</v>
      </c>
      <c r="K47" s="29">
        <f t="shared" si="13"/>
        <v>83.584494398773245</v>
      </c>
      <c r="L47" s="29">
        <f t="shared" si="13"/>
        <v>87.922005437241594</v>
      </c>
      <c r="M47" s="29">
        <f t="shared" si="13"/>
        <v>92.471643438077493</v>
      </c>
      <c r="N47" s="29">
        <f t="shared" si="13"/>
        <v>97.244157207085976</v>
      </c>
    </row>
    <row r="48" spans="1:14" s="14" customFormat="1" outlineLevel="1">
      <c r="A48" s="14" t="s">
        <v>48</v>
      </c>
      <c r="B48" s="14">
        <f>B39</f>
        <v>0</v>
      </c>
      <c r="C48" s="14">
        <f>C39</f>
        <v>-1.913</v>
      </c>
      <c r="D48" s="14">
        <f t="shared" ref="D48:N48" si="14">D39</f>
        <v>-2.6027</v>
      </c>
      <c r="E48" s="14">
        <f t="shared" si="14"/>
        <v>-2.52</v>
      </c>
      <c r="F48" s="14">
        <f t="shared" si="14"/>
        <v>-2.0099999999999998</v>
      </c>
      <c r="G48" s="14">
        <f t="shared" si="14"/>
        <v>-1.5</v>
      </c>
      <c r="H48" s="14">
        <f t="shared" si="14"/>
        <v>-1</v>
      </c>
      <c r="I48" s="14">
        <f t="shared" si="14"/>
        <v>-1.75</v>
      </c>
      <c r="J48" s="14">
        <f t="shared" si="14"/>
        <v>-2.25</v>
      </c>
      <c r="K48" s="14">
        <f t="shared" si="14"/>
        <v>-2.5</v>
      </c>
      <c r="L48" s="14">
        <f t="shared" si="14"/>
        <v>-2.5</v>
      </c>
      <c r="M48" s="14">
        <f t="shared" si="14"/>
        <v>-2.5</v>
      </c>
      <c r="N48" s="14">
        <f t="shared" si="14"/>
        <v>-2</v>
      </c>
    </row>
    <row r="49" spans="1:14" s="14" customFormat="1" outlineLevel="1">
      <c r="A49" s="29" t="s">
        <v>10</v>
      </c>
      <c r="B49" s="29">
        <f>SUM(B47:B48)</f>
        <v>28.734000000000002</v>
      </c>
      <c r="C49" s="29">
        <f t="shared" ref="C49:N49" si="15">SUM(C47:C48)</f>
        <v>77.659000000000006</v>
      </c>
      <c r="D49" s="29">
        <f t="shared" si="15"/>
        <v>55.756590444651536</v>
      </c>
      <c r="E49" s="29">
        <f t="shared" si="15"/>
        <v>58.953158035311965</v>
      </c>
      <c r="F49" s="29">
        <f t="shared" si="15"/>
        <v>62.726841913452624</v>
      </c>
      <c r="G49" s="29">
        <f t="shared" si="15"/>
        <v>66.658009206209059</v>
      </c>
      <c r="H49" s="29">
        <f t="shared" si="15"/>
        <v>70.744705107690777</v>
      </c>
      <c r="I49" s="29">
        <f t="shared" si="15"/>
        <v>73.755371941011433</v>
      </c>
      <c r="J49" s="29">
        <f t="shared" si="15"/>
        <v>77.198869168660096</v>
      </c>
      <c r="K49" s="29">
        <f t="shared" si="15"/>
        <v>81.084494398773245</v>
      </c>
      <c r="L49" s="29">
        <f t="shared" si="15"/>
        <v>85.422005437241594</v>
      </c>
      <c r="M49" s="29">
        <f t="shared" si="15"/>
        <v>89.971643438077493</v>
      </c>
      <c r="N49" s="29">
        <f t="shared" si="15"/>
        <v>95.244157207085976</v>
      </c>
    </row>
    <row r="50" spans="1:14" s="14" customFormat="1"/>
    <row r="51" spans="1:14" s="14" customFormat="1"/>
    <row r="52" spans="1:14" s="14" customFormat="1" ht="18.75">
      <c r="A52" s="38" t="s">
        <v>219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1:14" s="14" customFormat="1" outlineLevel="1">
      <c r="A53" s="14" t="s">
        <v>94</v>
      </c>
      <c r="B53" s="14">
        <f>525/1000</f>
        <v>0.52500000000000002</v>
      </c>
      <c r="C53" s="14">
        <f>332/1000</f>
        <v>0.33200000000000002</v>
      </c>
      <c r="D53" s="14">
        <f>D13*-D30/D5</f>
        <v>0.37578378082191788</v>
      </c>
      <c r="E53" s="14">
        <f t="shared" ref="E53:N53" si="16">E13*-E30/E5</f>
        <v>0.39457296986301371</v>
      </c>
      <c r="F53" s="14">
        <f t="shared" si="16"/>
        <v>0.41430161835616441</v>
      </c>
      <c r="G53" s="14">
        <f t="shared" si="16"/>
        <v>0.43501669927397263</v>
      </c>
      <c r="H53" s="14">
        <f t="shared" si="16"/>
        <v>0.4567675342376713</v>
      </c>
      <c r="I53" s="14">
        <f t="shared" si="16"/>
        <v>0.4796059109495549</v>
      </c>
      <c r="J53" s="14">
        <f t="shared" si="16"/>
        <v>0.50358620649703267</v>
      </c>
      <c r="K53" s="14">
        <f t="shared" si="16"/>
        <v>0.52876551682188433</v>
      </c>
      <c r="L53" s="14">
        <f t="shared" si="16"/>
        <v>0.55520379266297859</v>
      </c>
      <c r="M53" s="14">
        <f t="shared" si="16"/>
        <v>0.58296398229612767</v>
      </c>
      <c r="N53" s="14">
        <f t="shared" si="16"/>
        <v>0.61211218141093404</v>
      </c>
    </row>
    <row r="54" spans="1:14" s="14" customFormat="1" outlineLevel="1">
      <c r="A54" s="14" t="s">
        <v>95</v>
      </c>
      <c r="B54" s="14">
        <f>69576/1000</f>
        <v>69.575999999999993</v>
      </c>
      <c r="C54" s="14">
        <f>75975/1000</f>
        <v>75.974999999999994</v>
      </c>
      <c r="D54" s="14">
        <f>D14*D29/D5</f>
        <v>62.630630136986312</v>
      </c>
      <c r="E54" s="14">
        <f t="shared" ref="E54:N54" si="17">E14*E29/E5</f>
        <v>65.762161643835626</v>
      </c>
      <c r="F54" s="14">
        <f t="shared" si="17"/>
        <v>69.050269726027409</v>
      </c>
      <c r="G54" s="14">
        <f t="shared" si="17"/>
        <v>72.502783212328779</v>
      </c>
      <c r="H54" s="14">
        <f t="shared" si="17"/>
        <v>76.127922372945221</v>
      </c>
      <c r="I54" s="14">
        <f t="shared" si="17"/>
        <v>79.934318491592478</v>
      </c>
      <c r="J54" s="14">
        <f t="shared" si="17"/>
        <v>83.931034416172125</v>
      </c>
      <c r="K54" s="14">
        <f t="shared" si="17"/>
        <v>88.127586136980725</v>
      </c>
      <c r="L54" s="14">
        <f t="shared" si="17"/>
        <v>92.533965443829771</v>
      </c>
      <c r="M54" s="14">
        <f t="shared" si="17"/>
        <v>97.160663716021261</v>
      </c>
      <c r="N54" s="14">
        <f t="shared" si="17"/>
        <v>102.01869690182234</v>
      </c>
    </row>
    <row r="55" spans="1:14" s="14" customFormat="1" outlineLevel="1">
      <c r="A55" s="14" t="s">
        <v>134</v>
      </c>
      <c r="B55" s="14">
        <f>(28405+10535)/1000</f>
        <v>38.94</v>
      </c>
      <c r="C55" s="14">
        <f>(16646+7653)/1000</f>
        <v>24.298999999999999</v>
      </c>
      <c r="D55" s="14">
        <f>D130</f>
        <v>56.649127510829807</v>
      </c>
      <c r="E55" s="14">
        <f t="shared" ref="E55:M55" si="18">E130</f>
        <v>92.184187042285402</v>
      </c>
      <c r="F55" s="14">
        <f t="shared" si="18"/>
        <v>129.74269039022363</v>
      </c>
      <c r="G55" s="14">
        <f t="shared" si="18"/>
        <v>169.53547002027136</v>
      </c>
      <c r="H55" s="14">
        <f t="shared" si="18"/>
        <v>236.58183971309265</v>
      </c>
      <c r="I55" s="14">
        <f t="shared" si="18"/>
        <v>301.37887043938804</v>
      </c>
      <c r="J55" s="14">
        <f t="shared" si="18"/>
        <v>363.97967997436626</v>
      </c>
      <c r="K55" s="14">
        <f t="shared" si="18"/>
        <v>424.44373694029042</v>
      </c>
      <c r="L55" s="14">
        <f t="shared" si="18"/>
        <v>487.8371800000819</v>
      </c>
      <c r="M55" s="14">
        <f t="shared" si="18"/>
        <v>544.30815296106687</v>
      </c>
      <c r="N55" s="14">
        <f>N130</f>
        <v>603.862156585859</v>
      </c>
    </row>
    <row r="56" spans="1:14" s="14" customFormat="1" outlineLevel="1">
      <c r="A56" s="29" t="s">
        <v>17</v>
      </c>
      <c r="B56" s="29">
        <f>SUM(B53:B55)</f>
        <v>109.041</v>
      </c>
      <c r="C56" s="29">
        <f t="shared" ref="C56:N56" si="19">SUM(C53:C55)</f>
        <v>100.60599999999999</v>
      </c>
      <c r="D56" s="29">
        <f t="shared" si="19"/>
        <v>119.65554142863803</v>
      </c>
      <c r="E56" s="29">
        <f t="shared" si="19"/>
        <v>158.34092165598406</v>
      </c>
      <c r="F56" s="29">
        <f t="shared" si="19"/>
        <v>199.20726173460719</v>
      </c>
      <c r="G56" s="29">
        <f t="shared" si="19"/>
        <v>242.47326993187411</v>
      </c>
      <c r="H56" s="29">
        <f t="shared" si="19"/>
        <v>313.16652962027553</v>
      </c>
      <c r="I56" s="29">
        <f t="shared" si="19"/>
        <v>381.79279484193006</v>
      </c>
      <c r="J56" s="29">
        <f t="shared" si="19"/>
        <v>448.41430059703544</v>
      </c>
      <c r="K56" s="29">
        <f t="shared" si="19"/>
        <v>513.10008859409299</v>
      </c>
      <c r="L56" s="29">
        <f t="shared" si="19"/>
        <v>580.92634923657465</v>
      </c>
      <c r="M56" s="29">
        <f t="shared" si="19"/>
        <v>642.05178065938424</v>
      </c>
      <c r="N56" s="29">
        <f t="shared" si="19"/>
        <v>706.49296566909231</v>
      </c>
    </row>
    <row r="57" spans="1:14" s="14" customFormat="1" outlineLevel="1">
      <c r="A57" s="14" t="s">
        <v>96</v>
      </c>
      <c r="B57" s="14">
        <f>102504/1000</f>
        <v>102.504</v>
      </c>
      <c r="C57" s="14">
        <f>92375/1000</f>
        <v>92.375</v>
      </c>
      <c r="D57" s="14">
        <f>D15*-D30/D5</f>
        <v>75.156756164383566</v>
      </c>
      <c r="E57" s="14">
        <f t="shared" ref="E57:N57" si="20">E15*-E30/E5</f>
        <v>78.914593972602745</v>
      </c>
      <c r="F57" s="14">
        <f t="shared" si="20"/>
        <v>82.860323671232891</v>
      </c>
      <c r="G57" s="14">
        <f t="shared" si="20"/>
        <v>87.003339854794532</v>
      </c>
      <c r="H57" s="14">
        <f t="shared" si="20"/>
        <v>91.353506847534263</v>
      </c>
      <c r="I57" s="14">
        <f t="shared" si="20"/>
        <v>95.921182189910979</v>
      </c>
      <c r="J57" s="14">
        <f t="shared" si="20"/>
        <v>100.71724129940654</v>
      </c>
      <c r="K57" s="14">
        <f t="shared" si="20"/>
        <v>105.75310336437687</v>
      </c>
      <c r="L57" s="14">
        <f t="shared" si="20"/>
        <v>111.04075853259573</v>
      </c>
      <c r="M57" s="14">
        <f t="shared" si="20"/>
        <v>116.59279645922553</v>
      </c>
      <c r="N57" s="14">
        <f t="shared" si="20"/>
        <v>122.42243628218682</v>
      </c>
    </row>
    <row r="58" spans="1:14" s="14" customFormat="1" outlineLevel="1">
      <c r="A58" s="29" t="s">
        <v>18</v>
      </c>
      <c r="B58" s="29">
        <f t="shared" ref="B58" si="21">B57</f>
        <v>102.504</v>
      </c>
      <c r="C58" s="29">
        <f>C57</f>
        <v>92.375</v>
      </c>
      <c r="D58" s="29">
        <f>D57</f>
        <v>75.156756164383566</v>
      </c>
      <c r="E58" s="29">
        <f t="shared" ref="E58:N58" si="22">E57</f>
        <v>78.914593972602745</v>
      </c>
      <c r="F58" s="29">
        <f t="shared" si="22"/>
        <v>82.860323671232891</v>
      </c>
      <c r="G58" s="29">
        <f t="shared" si="22"/>
        <v>87.003339854794532</v>
      </c>
      <c r="H58" s="29">
        <f t="shared" si="22"/>
        <v>91.353506847534263</v>
      </c>
      <c r="I58" s="29">
        <f t="shared" si="22"/>
        <v>95.921182189910979</v>
      </c>
      <c r="J58" s="29">
        <f t="shared" si="22"/>
        <v>100.71724129940654</v>
      </c>
      <c r="K58" s="29">
        <f t="shared" si="22"/>
        <v>105.75310336437687</v>
      </c>
      <c r="L58" s="29">
        <f t="shared" si="22"/>
        <v>111.04075853259573</v>
      </c>
      <c r="M58" s="29">
        <f t="shared" si="22"/>
        <v>116.59279645922553</v>
      </c>
      <c r="N58" s="29">
        <f t="shared" si="22"/>
        <v>122.42243628218682</v>
      </c>
    </row>
    <row r="59" spans="1:14" s="14" customFormat="1" outlineLevel="1">
      <c r="A59" s="29" t="s">
        <v>19</v>
      </c>
      <c r="B59" s="29">
        <f t="shared" ref="B59" si="23">B56-B58</f>
        <v>6.5369999999999919</v>
      </c>
      <c r="C59" s="29">
        <f>C56-C58</f>
        <v>8.2309999999999945</v>
      </c>
      <c r="D59" s="29">
        <f>D56-D58</f>
        <v>44.498785264254465</v>
      </c>
      <c r="E59" s="29">
        <f t="shared" ref="E59:M59" si="24">E56-E58</f>
        <v>79.426327683381317</v>
      </c>
      <c r="F59" s="29">
        <f t="shared" si="24"/>
        <v>116.3469380633743</v>
      </c>
      <c r="G59" s="29">
        <f t="shared" si="24"/>
        <v>155.4699300770796</v>
      </c>
      <c r="H59" s="29">
        <f t="shared" si="24"/>
        <v>221.81302277274125</v>
      </c>
      <c r="I59" s="29">
        <f t="shared" si="24"/>
        <v>285.87161265201905</v>
      </c>
      <c r="J59" s="29">
        <f t="shared" si="24"/>
        <v>347.69705929762893</v>
      </c>
      <c r="K59" s="29">
        <f t="shared" si="24"/>
        <v>407.3469852297161</v>
      </c>
      <c r="L59" s="29">
        <f t="shared" si="24"/>
        <v>469.88559070397889</v>
      </c>
      <c r="M59" s="29">
        <f t="shared" si="24"/>
        <v>525.45898420015874</v>
      </c>
      <c r="N59" s="29">
        <f>N56-N58</f>
        <v>584.07052938690549</v>
      </c>
    </row>
    <row r="60" spans="1:14" s="14" customFormat="1" outlineLevel="1">
      <c r="A60" s="14" t="s">
        <v>97</v>
      </c>
      <c r="B60" s="14">
        <f>21379/1000</f>
        <v>21.379000000000001</v>
      </c>
      <c r="C60" s="14">
        <f>21782/1000</f>
        <v>21.782</v>
      </c>
      <c r="D60" s="14">
        <f>D137</f>
        <v>25.400200000000002</v>
      </c>
      <c r="E60" s="14">
        <f t="shared" ref="E60:N60" si="25">E137</f>
        <v>26.670210000000001</v>
      </c>
      <c r="F60" s="14">
        <f t="shared" si="25"/>
        <v>28.003720500000004</v>
      </c>
      <c r="G60" s="14">
        <f t="shared" si="25"/>
        <v>29.403906525000007</v>
      </c>
      <c r="H60" s="14">
        <f t="shared" si="25"/>
        <v>30.874101851250007</v>
      </c>
      <c r="I60" s="14">
        <f t="shared" si="25"/>
        <v>32.417806943812508</v>
      </c>
      <c r="J60" s="14">
        <f t="shared" si="25"/>
        <v>34.038697291003139</v>
      </c>
      <c r="K60" s="14">
        <f t="shared" si="25"/>
        <v>35.740632155553293</v>
      </c>
      <c r="L60" s="14">
        <f t="shared" si="25"/>
        <v>37.527663763330963</v>
      </c>
      <c r="M60" s="14">
        <f t="shared" si="25"/>
        <v>39.404046951497513</v>
      </c>
      <c r="N60" s="14">
        <f t="shared" si="25"/>
        <v>41.374249299072396</v>
      </c>
    </row>
    <row r="61" spans="1:14" s="14" customFormat="1" outlineLevel="1">
      <c r="A61" s="14" t="s">
        <v>98</v>
      </c>
      <c r="B61" s="14">
        <f>6511/1000</f>
        <v>6.5110000000000001</v>
      </c>
      <c r="C61" s="14">
        <f>4407/1000</f>
        <v>4.407</v>
      </c>
    </row>
    <row r="62" spans="1:14" s="14" customFormat="1" outlineLevel="1">
      <c r="A62" s="14" t="s">
        <v>99</v>
      </c>
      <c r="B62" s="14">
        <f>57353/1000</f>
        <v>57.353000000000002</v>
      </c>
      <c r="C62" s="14" t="s">
        <v>20</v>
      </c>
    </row>
    <row r="63" spans="1:14" s="14" customFormat="1" outlineLevel="1">
      <c r="A63" s="29" t="s">
        <v>21</v>
      </c>
      <c r="B63" s="29">
        <f>SUM(B59:B62)</f>
        <v>91.78</v>
      </c>
      <c r="C63" s="29">
        <f>SUM(C59:C62)</f>
        <v>34.419999999999995</v>
      </c>
      <c r="D63" s="29">
        <f>SUM(D59:D62)</f>
        <v>69.898985264254463</v>
      </c>
      <c r="E63" s="29">
        <f t="shared" ref="E63:M63" si="26">SUM(E59:E62)</f>
        <v>106.09653768338131</v>
      </c>
      <c r="F63" s="29">
        <f t="shared" si="26"/>
        <v>144.35065856337431</v>
      </c>
      <c r="G63" s="29">
        <f t="shared" si="26"/>
        <v>184.87383660207959</v>
      </c>
      <c r="H63" s="29">
        <f t="shared" si="26"/>
        <v>252.68712462399125</v>
      </c>
      <c r="I63" s="29">
        <f t="shared" si="26"/>
        <v>318.28941959583153</v>
      </c>
      <c r="J63" s="29">
        <f t="shared" si="26"/>
        <v>381.73575658863206</v>
      </c>
      <c r="K63" s="29">
        <f t="shared" si="26"/>
        <v>443.08761738526937</v>
      </c>
      <c r="L63" s="29">
        <f t="shared" si="26"/>
        <v>507.41325446730986</v>
      </c>
      <c r="M63" s="29">
        <f t="shared" si="26"/>
        <v>564.86303115165629</v>
      </c>
      <c r="N63" s="29">
        <f>SUM(N59:N62)</f>
        <v>625.44477868597789</v>
      </c>
    </row>
    <row r="64" spans="1:14" s="14" customFormat="1" outlineLevel="1">
      <c r="A64" s="14" t="s">
        <v>100</v>
      </c>
      <c r="B64" s="14">
        <f>35717/1000</f>
        <v>35.716999999999999</v>
      </c>
      <c r="C64" s="14">
        <f>35990/1000</f>
        <v>35.99</v>
      </c>
      <c r="D64" s="14">
        <f>D147</f>
        <v>33.832725480281646</v>
      </c>
      <c r="E64" s="14">
        <f t="shared" ref="E64:N64" si="27">E147</f>
        <v>32.817743715873199</v>
      </c>
      <c r="F64" s="14">
        <f t="shared" si="27"/>
        <v>31.833211404397002</v>
      </c>
      <c r="G64" s="14">
        <f t="shared" si="27"/>
        <v>30.878215062265092</v>
      </c>
      <c r="H64" s="14">
        <f t="shared" si="27"/>
        <v>29.951868610397138</v>
      </c>
      <c r="I64" s="14">
        <f t="shared" si="27"/>
        <v>29.053312552085224</v>
      </c>
      <c r="J64" s="14">
        <f t="shared" si="27"/>
        <v>28.181713175522667</v>
      </c>
      <c r="K64" s="14">
        <f t="shared" si="27"/>
        <v>27.336261780256986</v>
      </c>
      <c r="L64" s="14">
        <f t="shared" si="27"/>
        <v>26.516173926849277</v>
      </c>
      <c r="M64" s="14">
        <f t="shared" si="27"/>
        <v>25.720688709043799</v>
      </c>
      <c r="N64" s="14">
        <f t="shared" si="27"/>
        <v>24.949068047772485</v>
      </c>
    </row>
    <row r="65" spans="1:14" s="14" customFormat="1" outlineLevel="1">
      <c r="A65" s="14" t="s">
        <v>101</v>
      </c>
      <c r="B65" s="14">
        <f>52085/1000</f>
        <v>52.085000000000001</v>
      </c>
      <c r="C65" s="14">
        <f>57668/1000</f>
        <v>57.667999999999999</v>
      </c>
      <c r="D65" s="14">
        <f>D142</f>
        <v>49.512001000000005</v>
      </c>
      <c r="E65" s="14">
        <f t="shared" ref="E65:N65" si="28">E142</f>
        <v>48.026640970000003</v>
      </c>
      <c r="F65" s="14">
        <f t="shared" si="28"/>
        <v>46.585841740900001</v>
      </c>
      <c r="G65" s="14">
        <f t="shared" si="28"/>
        <v>45.188266488673001</v>
      </c>
      <c r="H65" s="14">
        <f t="shared" si="28"/>
        <v>43.832618494012813</v>
      </c>
      <c r="I65" s="14">
        <f t="shared" si="28"/>
        <v>42.517639939192428</v>
      </c>
      <c r="J65" s="14">
        <f t="shared" si="28"/>
        <v>41.242110741016653</v>
      </c>
      <c r="K65" s="14">
        <f t="shared" si="28"/>
        <v>40.004847418786156</v>
      </c>
      <c r="L65" s="14">
        <f t="shared" si="28"/>
        <v>38.804701996222569</v>
      </c>
      <c r="M65" s="14">
        <f t="shared" si="28"/>
        <v>37.640560936335895</v>
      </c>
      <c r="N65" s="14">
        <f t="shared" si="28"/>
        <v>36.511344108245815</v>
      </c>
    </row>
    <row r="66" spans="1:14" s="14" customFormat="1" outlineLevel="1">
      <c r="A66" s="29" t="s">
        <v>22</v>
      </c>
      <c r="B66" s="29">
        <f t="shared" ref="B66" si="29">SUM(B63:B65)</f>
        <v>179.58199999999999</v>
      </c>
      <c r="C66" s="29">
        <f>SUM(C63:C65)</f>
        <v>128.078</v>
      </c>
      <c r="D66" s="29">
        <f>SUM(D63:D65)</f>
        <v>153.24371174453611</v>
      </c>
      <c r="E66" s="29">
        <f t="shared" ref="E66:N66" si="30">SUM(E63:E65)</f>
        <v>186.94092236925451</v>
      </c>
      <c r="F66" s="29">
        <f t="shared" si="30"/>
        <v>222.76971170867131</v>
      </c>
      <c r="G66" s="29">
        <f t="shared" si="30"/>
        <v>260.9403181530177</v>
      </c>
      <c r="H66" s="29">
        <f t="shared" si="30"/>
        <v>326.47161172840123</v>
      </c>
      <c r="I66" s="29">
        <f t="shared" si="30"/>
        <v>389.86037208710917</v>
      </c>
      <c r="J66" s="29">
        <f t="shared" si="30"/>
        <v>451.15958050517133</v>
      </c>
      <c r="K66" s="29">
        <f t="shared" si="30"/>
        <v>510.42872658431247</v>
      </c>
      <c r="L66" s="29">
        <f t="shared" si="30"/>
        <v>572.73413039038167</v>
      </c>
      <c r="M66" s="29">
        <f t="shared" si="30"/>
        <v>628.22428079703593</v>
      </c>
      <c r="N66" s="29">
        <f t="shared" si="30"/>
        <v>686.90519084199616</v>
      </c>
    </row>
    <row r="67" spans="1:14" s="14" customFormat="1" outlineLevel="1"/>
    <row r="68" spans="1:14" s="14" customFormat="1" outlineLevel="1">
      <c r="A68" s="14" t="s">
        <v>102</v>
      </c>
      <c r="B68" s="14" t="s">
        <v>20</v>
      </c>
      <c r="C68" s="14">
        <f>6739/1000</f>
        <v>6.7389999999999999</v>
      </c>
      <c r="D68" s="14">
        <f>6739/1000</f>
        <v>6.7389999999999999</v>
      </c>
      <c r="E68" s="14">
        <f t="shared" ref="E68:N68" si="31">6739/1000</f>
        <v>6.7389999999999999</v>
      </c>
      <c r="F68" s="14">
        <f t="shared" si="31"/>
        <v>6.7389999999999999</v>
      </c>
      <c r="G68" s="14">
        <f t="shared" si="31"/>
        <v>6.7389999999999999</v>
      </c>
      <c r="H68" s="14">
        <f t="shared" si="31"/>
        <v>6.7389999999999999</v>
      </c>
      <c r="I68" s="14">
        <f t="shared" si="31"/>
        <v>6.7389999999999999</v>
      </c>
      <c r="J68" s="14">
        <f t="shared" si="31"/>
        <v>6.7389999999999999</v>
      </c>
      <c r="K68" s="14">
        <f t="shared" si="31"/>
        <v>6.7389999999999999</v>
      </c>
      <c r="L68" s="14">
        <f t="shared" si="31"/>
        <v>6.7389999999999999</v>
      </c>
      <c r="M68" s="14">
        <f t="shared" si="31"/>
        <v>6.7389999999999999</v>
      </c>
      <c r="N68" s="14">
        <f t="shared" si="31"/>
        <v>6.7389999999999999</v>
      </c>
    </row>
    <row r="69" spans="1:14" s="14" customFormat="1" outlineLevel="1">
      <c r="A69" s="14" t="s">
        <v>103</v>
      </c>
      <c r="B69" s="14" t="s">
        <v>20</v>
      </c>
      <c r="C69" s="14">
        <f>750/1000</f>
        <v>0.75</v>
      </c>
    </row>
    <row r="70" spans="1:14" s="14" customFormat="1" outlineLevel="1">
      <c r="A70" s="14" t="s">
        <v>104</v>
      </c>
      <c r="B70" s="14">
        <f>2832/1000</f>
        <v>2.8319999999999999</v>
      </c>
      <c r="C70" s="14">
        <f>4191/1000</f>
        <v>4.1909999999999998</v>
      </c>
    </row>
    <row r="71" spans="1:14" s="14" customFormat="1" outlineLevel="1">
      <c r="A71" s="29" t="s">
        <v>23</v>
      </c>
      <c r="B71" s="29">
        <f t="shared" ref="B71" si="32">SUM(B66:B70)</f>
        <v>182.41399999999999</v>
      </c>
      <c r="C71" s="29">
        <f>SUM(C66:C70)</f>
        <v>139.75800000000001</v>
      </c>
      <c r="D71" s="29">
        <f>SUM(D66:D70)</f>
        <v>159.98271174453612</v>
      </c>
      <c r="E71" s="29">
        <f t="shared" ref="E71:N71" si="33">SUM(E66:E70)</f>
        <v>193.67992236925451</v>
      </c>
      <c r="F71" s="29">
        <f t="shared" si="33"/>
        <v>229.50871170867131</v>
      </c>
      <c r="G71" s="29">
        <f t="shared" si="33"/>
        <v>267.67931815301768</v>
      </c>
      <c r="H71" s="29">
        <f t="shared" si="33"/>
        <v>333.2106117284012</v>
      </c>
      <c r="I71" s="29">
        <f t="shared" si="33"/>
        <v>396.59937208710915</v>
      </c>
      <c r="J71" s="29">
        <f t="shared" si="33"/>
        <v>457.89858050517131</v>
      </c>
      <c r="K71" s="29">
        <f t="shared" si="33"/>
        <v>517.1677265843125</v>
      </c>
      <c r="L71" s="29">
        <f t="shared" si="33"/>
        <v>579.4731303903817</v>
      </c>
      <c r="M71" s="29">
        <f t="shared" si="33"/>
        <v>634.96328079703596</v>
      </c>
      <c r="N71" s="29">
        <f t="shared" si="33"/>
        <v>693.64419084199619</v>
      </c>
    </row>
    <row r="72" spans="1:14" s="14" customFormat="1" outlineLevel="1"/>
    <row r="73" spans="1:14" s="14" customFormat="1" outlineLevel="1">
      <c r="A73" s="29" t="s">
        <v>24</v>
      </c>
    </row>
    <row r="74" spans="1:14" s="14" customFormat="1" outlineLevel="1">
      <c r="A74" s="14" t="s">
        <v>105</v>
      </c>
      <c r="B74" s="14">
        <f>12500/1000</f>
        <v>12.5</v>
      </c>
      <c r="C74" s="14" t="s">
        <v>9</v>
      </c>
    </row>
    <row r="75" spans="1:14" s="14" customFormat="1" outlineLevel="1">
      <c r="A75" s="14" t="s">
        <v>106</v>
      </c>
      <c r="B75" s="14">
        <f>(1462+4285)/1000</f>
        <v>5.7469999999999999</v>
      </c>
      <c r="C75" s="14">
        <f>1000/1000</f>
        <v>1</v>
      </c>
      <c r="D75" s="14">
        <f>1000/1000</f>
        <v>1</v>
      </c>
      <c r="E75" s="14">
        <f t="shared" ref="E75:N75" si="34">1000/1000</f>
        <v>1</v>
      </c>
      <c r="F75" s="14">
        <f t="shared" si="34"/>
        <v>1</v>
      </c>
      <c r="G75" s="14">
        <f t="shared" si="34"/>
        <v>1</v>
      </c>
      <c r="H75" s="14">
        <f t="shared" si="34"/>
        <v>1</v>
      </c>
      <c r="I75" s="14">
        <f t="shared" si="34"/>
        <v>1</v>
      </c>
      <c r="J75" s="14">
        <f t="shared" si="34"/>
        <v>1</v>
      </c>
      <c r="K75" s="14">
        <f t="shared" si="34"/>
        <v>1</v>
      </c>
      <c r="L75" s="14">
        <f t="shared" si="34"/>
        <v>1</v>
      </c>
      <c r="M75" s="14">
        <f t="shared" si="34"/>
        <v>1</v>
      </c>
      <c r="N75" s="14">
        <f t="shared" si="34"/>
        <v>1</v>
      </c>
    </row>
    <row r="76" spans="1:14" s="14" customFormat="1" outlineLevel="1">
      <c r="A76" s="14" t="s">
        <v>107</v>
      </c>
      <c r="B76" s="14">
        <f>(194+253)/1000</f>
        <v>0.44700000000000001</v>
      </c>
      <c r="C76" s="14">
        <f>(200+60)/1000</f>
        <v>0.26</v>
      </c>
      <c r="D76" s="14">
        <f>D154</f>
        <v>0.2</v>
      </c>
      <c r="E76" s="14">
        <f t="shared" ref="E76:N76" si="35">E154</f>
        <v>0.1</v>
      </c>
      <c r="F76" s="14">
        <f t="shared" si="35"/>
        <v>0</v>
      </c>
      <c r="G76" s="14">
        <f t="shared" si="35"/>
        <v>0</v>
      </c>
      <c r="H76" s="14">
        <f t="shared" si="35"/>
        <v>0</v>
      </c>
      <c r="I76" s="14">
        <f t="shared" si="35"/>
        <v>0</v>
      </c>
      <c r="J76" s="14">
        <f t="shared" si="35"/>
        <v>0</v>
      </c>
      <c r="K76" s="14">
        <f t="shared" si="35"/>
        <v>0</v>
      </c>
      <c r="L76" s="14">
        <f t="shared" si="35"/>
        <v>0</v>
      </c>
      <c r="M76" s="14">
        <f t="shared" si="35"/>
        <v>0</v>
      </c>
      <c r="N76" s="14">
        <f t="shared" si="35"/>
        <v>0</v>
      </c>
    </row>
    <row r="77" spans="1:14" s="14" customFormat="1" outlineLevel="1">
      <c r="A77" s="14" t="s">
        <v>108</v>
      </c>
      <c r="B77" s="14">
        <f>(63627+22956)/1000</f>
        <v>86.582999999999998</v>
      </c>
      <c r="C77" s="14">
        <f>(39643+11891)/1000</f>
        <v>51.533999999999999</v>
      </c>
      <c r="D77" s="14">
        <f>D160</f>
        <v>50</v>
      </c>
      <c r="E77" s="14">
        <f t="shared" ref="E77:N77" si="36">E160</f>
        <v>40</v>
      </c>
      <c r="F77" s="14">
        <f t="shared" si="36"/>
        <v>30</v>
      </c>
      <c r="G77" s="14">
        <f t="shared" si="36"/>
        <v>20</v>
      </c>
      <c r="H77" s="14">
        <f t="shared" si="36"/>
        <v>35</v>
      </c>
      <c r="I77" s="14">
        <f t="shared" si="36"/>
        <v>45</v>
      </c>
      <c r="J77" s="14">
        <f t="shared" si="36"/>
        <v>50</v>
      </c>
      <c r="K77" s="14">
        <f t="shared" si="36"/>
        <v>50</v>
      </c>
      <c r="L77" s="14">
        <f t="shared" si="36"/>
        <v>50</v>
      </c>
      <c r="M77" s="14">
        <f t="shared" si="36"/>
        <v>40</v>
      </c>
      <c r="N77" s="14">
        <f t="shared" si="36"/>
        <v>30</v>
      </c>
    </row>
    <row r="78" spans="1:14" s="14" customFormat="1" outlineLevel="1">
      <c r="A78" s="14" t="s">
        <v>109</v>
      </c>
      <c r="B78" s="14">
        <f>40866/1000</f>
        <v>40.866</v>
      </c>
      <c r="C78" s="14" t="s">
        <v>9</v>
      </c>
    </row>
    <row r="79" spans="1:14" s="14" customFormat="1" outlineLevel="1">
      <c r="A79" s="14" t="s">
        <v>110</v>
      </c>
      <c r="B79" s="14">
        <f>2971/1000</f>
        <v>2.9710000000000001</v>
      </c>
      <c r="C79" s="14">
        <f>3706/1000</f>
        <v>3.706</v>
      </c>
    </row>
    <row r="80" spans="1:14" s="14" customFormat="1" outlineLevel="1">
      <c r="A80" s="29" t="s">
        <v>25</v>
      </c>
      <c r="B80" s="29">
        <f>SUM(B74:B79)</f>
        <v>149.114</v>
      </c>
      <c r="C80" s="29">
        <f>SUM(C74:C79)</f>
        <v>56.5</v>
      </c>
      <c r="D80" s="29">
        <f>SUM(D74:D79)</f>
        <v>51.2</v>
      </c>
      <c r="E80" s="29">
        <f t="shared" ref="E80:N80" si="37">SUM(E74:E79)</f>
        <v>41.1</v>
      </c>
      <c r="F80" s="29">
        <f t="shared" si="37"/>
        <v>31</v>
      </c>
      <c r="G80" s="29">
        <f t="shared" si="37"/>
        <v>21</v>
      </c>
      <c r="H80" s="29">
        <f t="shared" si="37"/>
        <v>36</v>
      </c>
      <c r="I80" s="29">
        <f t="shared" si="37"/>
        <v>46</v>
      </c>
      <c r="J80" s="29">
        <f t="shared" si="37"/>
        <v>51</v>
      </c>
      <c r="K80" s="29">
        <f t="shared" si="37"/>
        <v>51</v>
      </c>
      <c r="L80" s="29">
        <f t="shared" si="37"/>
        <v>51</v>
      </c>
      <c r="M80" s="29">
        <f t="shared" si="37"/>
        <v>41</v>
      </c>
      <c r="N80" s="29">
        <f t="shared" si="37"/>
        <v>31</v>
      </c>
    </row>
    <row r="81" spans="1:14" s="14" customFormat="1" outlineLevel="1">
      <c r="A81" s="14" t="s">
        <v>111</v>
      </c>
      <c r="B81" s="14">
        <f>229/1000</f>
        <v>0.22900000000000001</v>
      </c>
      <c r="C81" s="14">
        <f>230/1000</f>
        <v>0.23</v>
      </c>
      <c r="D81" s="14">
        <f>D18</f>
        <v>0.24000000000000002</v>
      </c>
      <c r="E81" s="14">
        <f t="shared" ref="E81:N81" si="38">E18</f>
        <v>0.25</v>
      </c>
      <c r="F81" s="14">
        <f t="shared" si="38"/>
        <v>0.26</v>
      </c>
      <c r="G81" s="14">
        <f t="shared" si="38"/>
        <v>0.27</v>
      </c>
      <c r="H81" s="14">
        <f t="shared" si="38"/>
        <v>0.28000000000000003</v>
      </c>
      <c r="I81" s="14">
        <f t="shared" si="38"/>
        <v>0.29000000000000004</v>
      </c>
      <c r="J81" s="14">
        <f t="shared" si="38"/>
        <v>0.30000000000000004</v>
      </c>
      <c r="K81" s="14">
        <f t="shared" si="38"/>
        <v>0.31000000000000005</v>
      </c>
      <c r="L81" s="14">
        <f t="shared" si="38"/>
        <v>0.32000000000000006</v>
      </c>
      <c r="M81" s="14">
        <f t="shared" si="38"/>
        <v>0.33000000000000007</v>
      </c>
      <c r="N81" s="14">
        <f t="shared" si="38"/>
        <v>0.34000000000000008</v>
      </c>
    </row>
    <row r="82" spans="1:14" s="14" customFormat="1" outlineLevel="1">
      <c r="A82" s="14" t="s">
        <v>112</v>
      </c>
      <c r="B82" s="14">
        <f>4975/1000</f>
        <v>4.9749999999999996</v>
      </c>
      <c r="C82" s="14">
        <f>1000/1000</f>
        <v>1</v>
      </c>
      <c r="D82" s="14">
        <f>1000/1000</f>
        <v>1</v>
      </c>
      <c r="E82" s="14">
        <f t="shared" ref="E82:N82" si="39">1000/1000</f>
        <v>1</v>
      </c>
      <c r="F82" s="14">
        <f t="shared" si="39"/>
        <v>1</v>
      </c>
      <c r="G82" s="14">
        <f t="shared" si="39"/>
        <v>1</v>
      </c>
      <c r="H82" s="14">
        <f t="shared" si="39"/>
        <v>1</v>
      </c>
      <c r="I82" s="14">
        <f t="shared" si="39"/>
        <v>1</v>
      </c>
      <c r="J82" s="14">
        <f t="shared" si="39"/>
        <v>1</v>
      </c>
      <c r="K82" s="14">
        <f t="shared" si="39"/>
        <v>1</v>
      </c>
      <c r="L82" s="14">
        <f t="shared" si="39"/>
        <v>1</v>
      </c>
      <c r="M82" s="14">
        <f t="shared" si="39"/>
        <v>1</v>
      </c>
      <c r="N82" s="14">
        <f t="shared" si="39"/>
        <v>1</v>
      </c>
    </row>
    <row r="83" spans="1:14" s="14" customFormat="1" outlineLevel="1">
      <c r="A83" s="14" t="s">
        <v>113</v>
      </c>
      <c r="B83" s="14">
        <f>999/1000</f>
        <v>0.999</v>
      </c>
      <c r="C83" s="14">
        <f>999/1000</f>
        <v>0.999</v>
      </c>
      <c r="D83" s="14">
        <f>999/1000</f>
        <v>0.999</v>
      </c>
      <c r="E83" s="14">
        <f t="shared" ref="E83:N83" si="40">999/1000</f>
        <v>0.999</v>
      </c>
      <c r="F83" s="14">
        <f t="shared" si="40"/>
        <v>0.999</v>
      </c>
      <c r="G83" s="14">
        <f t="shared" si="40"/>
        <v>0.999</v>
      </c>
      <c r="H83" s="14">
        <f t="shared" si="40"/>
        <v>0.999</v>
      </c>
      <c r="I83" s="14">
        <f t="shared" si="40"/>
        <v>0.999</v>
      </c>
      <c r="J83" s="14">
        <f t="shared" si="40"/>
        <v>0.999</v>
      </c>
      <c r="K83" s="14">
        <f t="shared" si="40"/>
        <v>0.999</v>
      </c>
      <c r="L83" s="14">
        <f t="shared" si="40"/>
        <v>0.999</v>
      </c>
      <c r="M83" s="14">
        <f t="shared" si="40"/>
        <v>0.999</v>
      </c>
      <c r="N83" s="14">
        <f t="shared" si="40"/>
        <v>0.999</v>
      </c>
    </row>
    <row r="84" spans="1:14" s="14" customFormat="1" outlineLevel="1">
      <c r="A84" s="14" t="s">
        <v>114</v>
      </c>
      <c r="B84" s="14">
        <f>2005/1000</f>
        <v>2.0049999999999999</v>
      </c>
      <c r="C84" s="14">
        <f>1570/1000</f>
        <v>1.57</v>
      </c>
      <c r="D84" s="14">
        <f>1570/1000</f>
        <v>1.57</v>
      </c>
      <c r="E84" s="14">
        <f t="shared" ref="E84:N84" si="41">1570/1000</f>
        <v>1.57</v>
      </c>
      <c r="F84" s="14">
        <f t="shared" si="41"/>
        <v>1.57</v>
      </c>
      <c r="G84" s="14">
        <f t="shared" si="41"/>
        <v>1.57</v>
      </c>
      <c r="H84" s="14">
        <f t="shared" si="41"/>
        <v>1.57</v>
      </c>
      <c r="I84" s="14">
        <f t="shared" si="41"/>
        <v>1.57</v>
      </c>
      <c r="J84" s="14">
        <f t="shared" si="41"/>
        <v>1.57</v>
      </c>
      <c r="K84" s="14">
        <f t="shared" si="41"/>
        <v>1.57</v>
      </c>
      <c r="L84" s="14">
        <f t="shared" si="41"/>
        <v>1.57</v>
      </c>
      <c r="M84" s="14">
        <f t="shared" si="41"/>
        <v>1.57</v>
      </c>
      <c r="N84" s="14">
        <f t="shared" si="41"/>
        <v>1.57</v>
      </c>
    </row>
    <row r="85" spans="1:14" s="14" customFormat="1" outlineLevel="1">
      <c r="A85" s="14" t="s">
        <v>115</v>
      </c>
      <c r="B85" s="14">
        <f>-1645/1000</f>
        <v>-1.645</v>
      </c>
      <c r="C85" s="14" t="s">
        <v>9</v>
      </c>
      <c r="D85" s="14">
        <f>-D24</f>
        <v>-13.514901566719942</v>
      </c>
      <c r="E85" s="14">
        <f t="shared" ref="E85:N85" si="42">-E24</f>
        <v>-10.994901566719903</v>
      </c>
      <c r="F85" s="14">
        <f t="shared" si="42"/>
        <v>-8.9849015667199694</v>
      </c>
      <c r="G85" s="14">
        <f t="shared" si="42"/>
        <v>-7.484901566719941</v>
      </c>
      <c r="H85" s="14">
        <f t="shared" si="42"/>
        <v>-6.484901566719941</v>
      </c>
      <c r="I85" s="14">
        <f t="shared" si="42"/>
        <v>-4.7349015667199978</v>
      </c>
      <c r="J85" s="14">
        <f t="shared" si="42"/>
        <v>-2.4849015667198842</v>
      </c>
      <c r="K85" s="14">
        <f t="shared" si="42"/>
        <v>1.5098433279945311E-2</v>
      </c>
      <c r="L85" s="14">
        <f t="shared" si="42"/>
        <v>2.515098433280059</v>
      </c>
      <c r="M85" s="14">
        <f t="shared" si="42"/>
        <v>5.015098433280059</v>
      </c>
      <c r="N85" s="14">
        <f t="shared" si="42"/>
        <v>7.015098433280059</v>
      </c>
    </row>
    <row r="86" spans="1:14" s="14" customFormat="1" outlineLevel="1">
      <c r="A86" s="14" t="s">
        <v>116</v>
      </c>
      <c r="B86" s="14">
        <f>26737/1000</f>
        <v>26.736999999999998</v>
      </c>
      <c r="C86" s="14">
        <f>79459/1000</f>
        <v>79.459000000000003</v>
      </c>
      <c r="D86" s="14">
        <f>D169</f>
        <v>118.48861331125606</v>
      </c>
      <c r="E86" s="14">
        <f t="shared" ref="E86:N86" si="43">E169</f>
        <v>159.75582393597443</v>
      </c>
      <c r="F86" s="14">
        <f t="shared" si="43"/>
        <v>203.66461327539128</v>
      </c>
      <c r="G86" s="14">
        <f t="shared" si="43"/>
        <v>250.32521971973762</v>
      </c>
      <c r="H86" s="14">
        <f t="shared" si="43"/>
        <v>299.84651329512116</v>
      </c>
      <c r="I86" s="14">
        <f t="shared" si="43"/>
        <v>351.47527365382916</v>
      </c>
      <c r="J86" s="14">
        <f t="shared" si="43"/>
        <v>405.51448207189122</v>
      </c>
      <c r="K86" s="14">
        <f t="shared" si="43"/>
        <v>462.27362815103248</v>
      </c>
      <c r="L86" s="14">
        <f t="shared" si="43"/>
        <v>522.06903195710163</v>
      </c>
      <c r="M86" s="14">
        <f t="shared" si="43"/>
        <v>585.0491823637559</v>
      </c>
      <c r="N86" s="14">
        <f t="shared" si="43"/>
        <v>651.72009240871614</v>
      </c>
    </row>
    <row r="87" spans="1:14" s="14" customFormat="1" outlineLevel="1">
      <c r="A87" s="14" t="s">
        <v>26</v>
      </c>
      <c r="B87" s="29">
        <f>SUM(B81:B86)</f>
        <v>33.299999999999997</v>
      </c>
      <c r="C87" s="29">
        <f>SUM(C81:C86)</f>
        <v>83.25800000000001</v>
      </c>
      <c r="D87" s="29">
        <f>SUM(D81:D86)</f>
        <v>108.78271174453612</v>
      </c>
      <c r="E87" s="29">
        <f t="shared" ref="E87:N87" si="44">SUM(E81:E86)</f>
        <v>152.57992236925452</v>
      </c>
      <c r="F87" s="29">
        <f t="shared" si="44"/>
        <v>198.50871170867131</v>
      </c>
      <c r="G87" s="29">
        <f t="shared" si="44"/>
        <v>246.67931815301768</v>
      </c>
      <c r="H87" s="29">
        <f t="shared" si="44"/>
        <v>297.2106117284012</v>
      </c>
      <c r="I87" s="29">
        <f t="shared" si="44"/>
        <v>350.59937208710915</v>
      </c>
      <c r="J87" s="29">
        <f t="shared" si="44"/>
        <v>406.89858050517137</v>
      </c>
      <c r="K87" s="29">
        <f t="shared" si="44"/>
        <v>466.16772658431245</v>
      </c>
      <c r="L87" s="29">
        <f t="shared" si="44"/>
        <v>528.4731303903817</v>
      </c>
      <c r="M87" s="29">
        <f t="shared" si="44"/>
        <v>593.96328079703596</v>
      </c>
      <c r="N87" s="29">
        <f t="shared" si="44"/>
        <v>662.64419084199619</v>
      </c>
    </row>
    <row r="88" spans="1:14" s="14" customFormat="1" outlineLevel="1">
      <c r="A88" s="29" t="s">
        <v>27</v>
      </c>
      <c r="B88" s="29">
        <f>B87+B80</f>
        <v>182.41399999999999</v>
      </c>
      <c r="C88" s="29">
        <f>C87+C80</f>
        <v>139.75800000000001</v>
      </c>
      <c r="D88" s="29">
        <f>D87+D80</f>
        <v>159.98271174453612</v>
      </c>
      <c r="E88" s="29">
        <f t="shared" ref="E88:N88" si="45">E87+E80</f>
        <v>193.67992236925451</v>
      </c>
      <c r="F88" s="29">
        <f t="shared" si="45"/>
        <v>229.50871170867131</v>
      </c>
      <c r="G88" s="29">
        <f t="shared" si="45"/>
        <v>267.67931815301768</v>
      </c>
      <c r="H88" s="29">
        <f t="shared" si="45"/>
        <v>333.2106117284012</v>
      </c>
      <c r="I88" s="29">
        <f t="shared" si="45"/>
        <v>396.59937208710915</v>
      </c>
      <c r="J88" s="29">
        <f t="shared" si="45"/>
        <v>457.89858050517137</v>
      </c>
      <c r="K88" s="29">
        <f t="shared" si="45"/>
        <v>517.1677265843125</v>
      </c>
      <c r="L88" s="29">
        <f t="shared" si="45"/>
        <v>579.4731303903817</v>
      </c>
      <c r="M88" s="29">
        <f t="shared" si="45"/>
        <v>634.96328079703596</v>
      </c>
      <c r="N88" s="29">
        <f t="shared" si="45"/>
        <v>693.64419084199619</v>
      </c>
    </row>
    <row r="89" spans="1:14" s="14" customFormat="1" outlineLevel="1"/>
    <row r="90" spans="1:14" s="14" customFormat="1" outlineLevel="1">
      <c r="A90" s="40" t="s">
        <v>142</v>
      </c>
      <c r="B90" s="40"/>
      <c r="C90" s="40">
        <f>C88-C71</f>
        <v>0</v>
      </c>
      <c r="D90" s="40">
        <f>D88-D71</f>
        <v>0</v>
      </c>
      <c r="E90" s="40">
        <f t="shared" ref="E90:N90" si="46">E88-E71</f>
        <v>0</v>
      </c>
      <c r="F90" s="40">
        <f t="shared" si="46"/>
        <v>0</v>
      </c>
      <c r="G90" s="40">
        <f t="shared" si="46"/>
        <v>0</v>
      </c>
      <c r="H90" s="40">
        <f t="shared" si="46"/>
        <v>0</v>
      </c>
      <c r="I90" s="40">
        <f t="shared" si="46"/>
        <v>0</v>
      </c>
      <c r="J90" s="40">
        <f t="shared" si="46"/>
        <v>0</v>
      </c>
      <c r="K90" s="40">
        <f t="shared" si="46"/>
        <v>0</v>
      </c>
      <c r="L90" s="40">
        <f t="shared" si="46"/>
        <v>0</v>
      </c>
      <c r="M90" s="40">
        <f t="shared" si="46"/>
        <v>0</v>
      </c>
      <c r="N90" s="40">
        <f t="shared" si="46"/>
        <v>0</v>
      </c>
    </row>
    <row r="91" spans="1:14" s="14" customFormat="1"/>
    <row r="92" spans="1:14" s="14" customFormat="1"/>
    <row r="93" spans="1:14" s="14" customFormat="1"/>
    <row r="94" spans="1:14" s="14" customFormat="1" ht="18.75">
      <c r="A94" s="38" t="s">
        <v>220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 spans="1:14" s="14" customFormat="1" outlineLevel="1">
      <c r="A95" s="14" t="s">
        <v>8</v>
      </c>
      <c r="B95" s="14">
        <v>22.289000000000001</v>
      </c>
      <c r="C95" s="14">
        <v>46.668000000000006</v>
      </c>
      <c r="D95" s="14">
        <f>D37</f>
        <v>58.359290444651535</v>
      </c>
      <c r="E95" s="14">
        <f t="shared" ref="E95:N95" si="47">E37</f>
        <v>61.473158035311968</v>
      </c>
      <c r="F95" s="14">
        <f t="shared" si="47"/>
        <v>64.736841913452622</v>
      </c>
      <c r="G95" s="14">
        <f t="shared" si="47"/>
        <v>68.158009206209059</v>
      </c>
      <c r="H95" s="14">
        <f t="shared" si="47"/>
        <v>71.744705107690777</v>
      </c>
      <c r="I95" s="14">
        <f t="shared" si="47"/>
        <v>75.505371941011433</v>
      </c>
      <c r="J95" s="14">
        <f t="shared" si="47"/>
        <v>79.448869168660096</v>
      </c>
      <c r="K95" s="14">
        <f t="shared" si="47"/>
        <v>83.584494398773245</v>
      </c>
      <c r="L95" s="14">
        <f t="shared" si="47"/>
        <v>87.922005437241594</v>
      </c>
      <c r="M95" s="14">
        <f t="shared" si="47"/>
        <v>92.471643438077493</v>
      </c>
      <c r="N95" s="14">
        <f t="shared" si="47"/>
        <v>97.244157207085976</v>
      </c>
    </row>
    <row r="96" spans="1:14" s="14" customFormat="1" outlineLevel="1">
      <c r="A96" s="14" t="s">
        <v>3</v>
      </c>
      <c r="B96" s="14">
        <v>4.1159999999999997</v>
      </c>
      <c r="C96" s="14">
        <v>4.2210000000000001</v>
      </c>
      <c r="D96" s="14">
        <f>-D32</f>
        <v>4.5720360000000007</v>
      </c>
      <c r="E96" s="14">
        <f t="shared" ref="E96:N97" si="48">-E32</f>
        <v>4.8006378000000005</v>
      </c>
      <c r="F96" s="14">
        <f t="shared" si="48"/>
        <v>5.0406696900000005</v>
      </c>
      <c r="G96" s="14">
        <f t="shared" si="48"/>
        <v>5.2927031745000006</v>
      </c>
      <c r="H96" s="14">
        <f t="shared" si="48"/>
        <v>5.557338333225001</v>
      </c>
      <c r="I96" s="14">
        <f t="shared" si="48"/>
        <v>5.8352052498862514</v>
      </c>
      <c r="J96" s="14">
        <f t="shared" si="48"/>
        <v>6.126965512380564</v>
      </c>
      <c r="K96" s="14">
        <f t="shared" si="48"/>
        <v>6.4333137879995927</v>
      </c>
      <c r="L96" s="14">
        <f t="shared" si="48"/>
        <v>6.7549794773995728</v>
      </c>
      <c r="M96" s="14">
        <f t="shared" si="48"/>
        <v>7.0927284512695525</v>
      </c>
      <c r="N96" s="14">
        <f t="shared" si="48"/>
        <v>7.4473648738330303</v>
      </c>
    </row>
    <row r="97" spans="1:14" s="14" customFormat="1" outlineLevel="1">
      <c r="A97" s="14" t="s">
        <v>4</v>
      </c>
      <c r="B97" s="14">
        <v>3.7440000000000002</v>
      </c>
      <c r="C97" s="14">
        <v>3.4049999999999998</v>
      </c>
      <c r="D97" s="14">
        <f>-D33</f>
        <v>2.5776719529984016</v>
      </c>
      <c r="E97" s="14">
        <f t="shared" si="48"/>
        <v>2.5003417944084494</v>
      </c>
      <c r="F97" s="14">
        <f t="shared" si="48"/>
        <v>2.4253315405761962</v>
      </c>
      <c r="G97" s="14">
        <f t="shared" si="48"/>
        <v>2.3525715943589098</v>
      </c>
      <c r="H97" s="14">
        <f t="shared" si="48"/>
        <v>2.2819944465281425</v>
      </c>
      <c r="I97" s="14">
        <f t="shared" si="48"/>
        <v>2.2135346131322984</v>
      </c>
      <c r="J97" s="14">
        <f t="shared" si="48"/>
        <v>2.1471285747383293</v>
      </c>
      <c r="K97" s="14">
        <f t="shared" si="48"/>
        <v>2.0827147174961795</v>
      </c>
      <c r="L97" s="14">
        <f t="shared" si="48"/>
        <v>2.020233275971294</v>
      </c>
      <c r="M97" s="14">
        <f t="shared" si="48"/>
        <v>1.9596262776921554</v>
      </c>
      <c r="N97" s="14">
        <f t="shared" si="48"/>
        <v>1.9008374893613906</v>
      </c>
    </row>
    <row r="98" spans="1:14" s="14" customFormat="1" outlineLevel="1">
      <c r="A98" s="29" t="s">
        <v>28</v>
      </c>
      <c r="B98" s="29">
        <f>SUM(B95:B97)</f>
        <v>30.149000000000001</v>
      </c>
      <c r="C98" s="29">
        <f>SUM(C95:C97)</f>
        <v>54.294000000000011</v>
      </c>
      <c r="D98" s="29">
        <f>SUM(D95:D97)</f>
        <v>65.508998397649933</v>
      </c>
      <c r="E98" s="29">
        <f t="shared" ref="E98:N98" si="49">SUM(E95:E97)</f>
        <v>68.774137629720428</v>
      </c>
      <c r="F98" s="29">
        <f t="shared" si="49"/>
        <v>72.202843144028819</v>
      </c>
      <c r="G98" s="29">
        <f t="shared" si="49"/>
        <v>75.80328397506797</v>
      </c>
      <c r="H98" s="29">
        <f t="shared" si="49"/>
        <v>79.584037887443927</v>
      </c>
      <c r="I98" s="29">
        <f t="shared" si="49"/>
        <v>83.554111804029986</v>
      </c>
      <c r="J98" s="29">
        <f t="shared" si="49"/>
        <v>87.722963255778993</v>
      </c>
      <c r="K98" s="29">
        <f t="shared" si="49"/>
        <v>92.100522904269013</v>
      </c>
      <c r="L98" s="29">
        <f t="shared" si="49"/>
        <v>96.69721819061246</v>
      </c>
      <c r="M98" s="29">
        <f t="shared" si="49"/>
        <v>101.5239981670392</v>
      </c>
      <c r="N98" s="29">
        <f t="shared" si="49"/>
        <v>106.59235957028039</v>
      </c>
    </row>
    <row r="99" spans="1:14" s="14" customFormat="1" outlineLevel="1">
      <c r="A99" s="14" t="s">
        <v>29</v>
      </c>
      <c r="B99" s="14">
        <v>0.69899999999999995</v>
      </c>
      <c r="C99" s="14">
        <f>-526/1000</f>
        <v>-0.52600000000000002</v>
      </c>
      <c r="D99" s="14">
        <f>-D54+C54</f>
        <v>13.344369863013682</v>
      </c>
      <c r="E99" s="14">
        <f t="shared" ref="E99:N99" si="50">-E54+D54</f>
        <v>-3.1315315068493135</v>
      </c>
      <c r="F99" s="14">
        <f t="shared" si="50"/>
        <v>-3.2881080821917834</v>
      </c>
      <c r="G99" s="14">
        <f t="shared" si="50"/>
        <v>-3.4525134863013704</v>
      </c>
      <c r="H99" s="14">
        <f t="shared" si="50"/>
        <v>-3.6251391606164418</v>
      </c>
      <c r="I99" s="14">
        <f t="shared" si="50"/>
        <v>-3.8063961186472568</v>
      </c>
      <c r="J99" s="14">
        <f t="shared" si="50"/>
        <v>-3.9967159245796466</v>
      </c>
      <c r="K99" s="14">
        <f t="shared" si="50"/>
        <v>-4.1965517208085998</v>
      </c>
      <c r="L99" s="14">
        <f t="shared" si="50"/>
        <v>-4.4063793068490469</v>
      </c>
      <c r="M99" s="14">
        <f t="shared" si="50"/>
        <v>-4.62669827219149</v>
      </c>
      <c r="N99" s="14">
        <f t="shared" si="50"/>
        <v>-4.8580331858010766</v>
      </c>
    </row>
    <row r="100" spans="1:14" s="14" customFormat="1" outlineLevel="1">
      <c r="A100" s="14" t="s">
        <v>30</v>
      </c>
      <c r="B100" s="14">
        <v>-0.76500000000000001</v>
      </c>
      <c r="C100" s="14">
        <f>6488/1000</f>
        <v>6.4880000000000004</v>
      </c>
      <c r="D100" s="14">
        <f>D57-C57</f>
        <v>-17.218243835616434</v>
      </c>
      <c r="E100" s="14">
        <f t="shared" ref="E100:N100" si="51">E57-D57</f>
        <v>3.757837808219179</v>
      </c>
      <c r="F100" s="14">
        <f t="shared" si="51"/>
        <v>3.9457296986301458</v>
      </c>
      <c r="G100" s="14">
        <f t="shared" si="51"/>
        <v>4.1430161835616417</v>
      </c>
      <c r="H100" s="14">
        <f t="shared" si="51"/>
        <v>4.3501669927397302</v>
      </c>
      <c r="I100" s="14">
        <f t="shared" si="51"/>
        <v>4.5676753423767167</v>
      </c>
      <c r="J100" s="14">
        <f t="shared" si="51"/>
        <v>4.7960591094955589</v>
      </c>
      <c r="K100" s="14">
        <f t="shared" si="51"/>
        <v>5.0358620649703312</v>
      </c>
      <c r="L100" s="14">
        <f t="shared" si="51"/>
        <v>5.2876551682188619</v>
      </c>
      <c r="M100" s="14">
        <f t="shared" si="51"/>
        <v>5.5520379266297937</v>
      </c>
      <c r="N100" s="14">
        <f t="shared" si="51"/>
        <v>5.8296398229612976</v>
      </c>
    </row>
    <row r="101" spans="1:14" s="14" customFormat="1" outlineLevel="1">
      <c r="A101" s="14" t="s">
        <v>31</v>
      </c>
      <c r="B101" s="14">
        <v>-1.0999999999999999E-2</v>
      </c>
      <c r="C101" s="14">
        <f>70/1000</f>
        <v>7.0000000000000007E-2</v>
      </c>
      <c r="D101" s="14">
        <f>-D53+C53</f>
        <v>-4.3783780821917861E-2</v>
      </c>
      <c r="E101" s="14">
        <f t="shared" ref="E101:N101" si="52">-E53+D53</f>
        <v>-1.8789189041095833E-2</v>
      </c>
      <c r="F101" s="14">
        <f t="shared" si="52"/>
        <v>-1.9728648493150702E-2</v>
      </c>
      <c r="G101" s="14">
        <f t="shared" si="52"/>
        <v>-2.0715080917808215E-2</v>
      </c>
      <c r="H101" s="14">
        <f t="shared" si="52"/>
        <v>-2.1750834963698673E-2</v>
      </c>
      <c r="I101" s="14">
        <f t="shared" si="52"/>
        <v>-2.2838376711883601E-2</v>
      </c>
      <c r="J101" s="14">
        <f t="shared" si="52"/>
        <v>-2.398029554747777E-2</v>
      </c>
      <c r="K101" s="14">
        <f t="shared" si="52"/>
        <v>-2.5179310324851656E-2</v>
      </c>
      <c r="L101" s="14">
        <f t="shared" si="52"/>
        <v>-2.6438275841094261E-2</v>
      </c>
      <c r="M101" s="14">
        <f t="shared" si="52"/>
        <v>-2.7760189633149079E-2</v>
      </c>
      <c r="N101" s="14">
        <f t="shared" si="52"/>
        <v>-2.9148199114806372E-2</v>
      </c>
    </row>
    <row r="102" spans="1:14" s="14" customFormat="1" outlineLevel="1">
      <c r="A102" s="14" t="s">
        <v>32</v>
      </c>
      <c r="B102" s="14">
        <v>0.59299999999999997</v>
      </c>
      <c r="C102" s="14">
        <f>4354/1000</f>
        <v>4.3540000000000001</v>
      </c>
      <c r="D102" s="14">
        <f>D61+C61</f>
        <v>4.407</v>
      </c>
      <c r="E102" s="14">
        <f t="shared" ref="E102:N102" si="53">E61+D61</f>
        <v>0</v>
      </c>
      <c r="F102" s="14">
        <f t="shared" si="53"/>
        <v>0</v>
      </c>
      <c r="G102" s="14">
        <f t="shared" si="53"/>
        <v>0</v>
      </c>
      <c r="H102" s="14">
        <f t="shared" si="53"/>
        <v>0</v>
      </c>
      <c r="I102" s="14">
        <f t="shared" si="53"/>
        <v>0</v>
      </c>
      <c r="J102" s="14">
        <f t="shared" si="53"/>
        <v>0</v>
      </c>
      <c r="K102" s="14">
        <f t="shared" si="53"/>
        <v>0</v>
      </c>
      <c r="L102" s="14">
        <f t="shared" si="53"/>
        <v>0</v>
      </c>
      <c r="M102" s="14">
        <f t="shared" si="53"/>
        <v>0</v>
      </c>
      <c r="N102" s="14">
        <f t="shared" si="53"/>
        <v>0</v>
      </c>
    </row>
    <row r="103" spans="1:14" s="14" customFormat="1" outlineLevel="1">
      <c r="A103" s="14" t="s">
        <v>33</v>
      </c>
      <c r="B103" s="14">
        <v>0.97199999999999998</v>
      </c>
      <c r="C103" s="14">
        <f>-24/1000</f>
        <v>-2.4E-2</v>
      </c>
    </row>
    <row r="104" spans="1:14" s="14" customFormat="1" outlineLevel="1">
      <c r="A104" s="14" t="s">
        <v>34</v>
      </c>
      <c r="B104" s="14">
        <v>-0.52900000000000003</v>
      </c>
      <c r="C104" s="14">
        <f>-684/1000</f>
        <v>-0.68400000000000005</v>
      </c>
    </row>
    <row r="105" spans="1:14" s="14" customFormat="1" outlineLevel="1">
      <c r="A105" s="14" t="s">
        <v>35</v>
      </c>
      <c r="B105" s="14">
        <v>0</v>
      </c>
      <c r="C105" s="14">
        <f>12500/1000</f>
        <v>12.5</v>
      </c>
    </row>
    <row r="106" spans="1:14" s="14" customFormat="1" outlineLevel="1">
      <c r="A106" s="14" t="s">
        <v>36</v>
      </c>
      <c r="B106" s="14">
        <v>2.1999999999999999E-2</v>
      </c>
      <c r="C106" s="14">
        <f>-7/1000</f>
        <v>-7.0000000000000001E-3</v>
      </c>
    </row>
    <row r="107" spans="1:14" s="14" customFormat="1" outlineLevel="1">
      <c r="A107" s="14" t="s">
        <v>37</v>
      </c>
      <c r="B107" s="14">
        <v>-3.2869999999999999</v>
      </c>
      <c r="C107" s="14">
        <f>-5185/1000</f>
        <v>-5.1849999999999996</v>
      </c>
      <c r="D107" s="14">
        <f>-D136</f>
        <v>-8.1902360000000023</v>
      </c>
      <c r="E107" s="14">
        <f t="shared" ref="E107:N107" si="54">-E136</f>
        <v>-6.0706477999999997</v>
      </c>
      <c r="F107" s="14">
        <f t="shared" si="54"/>
        <v>-6.3741801900000032</v>
      </c>
      <c r="G107" s="14">
        <f t="shared" si="54"/>
        <v>-6.6928891995000042</v>
      </c>
      <c r="H107" s="14">
        <f t="shared" si="54"/>
        <v>-7.0275336594750009</v>
      </c>
      <c r="I107" s="14">
        <f t="shared" si="54"/>
        <v>-7.3789103424487523</v>
      </c>
      <c r="J107" s="14">
        <f t="shared" si="54"/>
        <v>-7.747855859571195</v>
      </c>
      <c r="K107" s="14">
        <f t="shared" si="54"/>
        <v>-8.1352486525497465</v>
      </c>
      <c r="L107" s="14">
        <f t="shared" si="54"/>
        <v>-8.5420110851772435</v>
      </c>
      <c r="M107" s="14">
        <f t="shared" si="54"/>
        <v>-8.9691116394361021</v>
      </c>
      <c r="N107" s="14">
        <f t="shared" si="54"/>
        <v>-9.4175672214079142</v>
      </c>
    </row>
    <row r="108" spans="1:14" s="14" customFormat="1" outlineLevel="1">
      <c r="A108" s="29" t="s">
        <v>38</v>
      </c>
      <c r="B108" s="29">
        <f t="shared" ref="B108:N108" si="55">SUM(B98:B107)</f>
        <v>27.843000000000004</v>
      </c>
      <c r="C108" s="29">
        <f t="shared" si="55"/>
        <v>71.28</v>
      </c>
      <c r="D108" s="29">
        <f t="shared" si="55"/>
        <v>57.808104644225267</v>
      </c>
      <c r="E108" s="29">
        <f t="shared" si="55"/>
        <v>63.31100694204919</v>
      </c>
      <c r="F108" s="29">
        <f t="shared" si="55"/>
        <v>66.46655592197402</v>
      </c>
      <c r="G108" s="29">
        <f t="shared" si="55"/>
        <v>69.780182391910429</v>
      </c>
      <c r="H108" s="29">
        <f t="shared" si="55"/>
        <v>73.259781225128521</v>
      </c>
      <c r="I108" s="29">
        <f t="shared" si="55"/>
        <v>76.91364230859881</v>
      </c>
      <c r="J108" s="29">
        <f t="shared" si="55"/>
        <v>80.750470285576242</v>
      </c>
      <c r="K108" s="29">
        <f t="shared" si="55"/>
        <v>84.779405285556138</v>
      </c>
      <c r="L108" s="29">
        <f t="shared" si="55"/>
        <v>89.010044690963952</v>
      </c>
      <c r="M108" s="29">
        <f t="shared" si="55"/>
        <v>93.452465992408236</v>
      </c>
      <c r="N108" s="29">
        <f t="shared" si="55"/>
        <v>98.117250786917907</v>
      </c>
    </row>
    <row r="109" spans="1:14" s="14" customFormat="1" outlineLevel="1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</row>
    <row r="110" spans="1:14" s="14" customFormat="1" outlineLevel="1">
      <c r="A110" s="14" t="s">
        <v>39</v>
      </c>
      <c r="B110" s="14">
        <v>0.33200000000000002</v>
      </c>
      <c r="C110" s="14">
        <v>1.2999999999999999E-2</v>
      </c>
    </row>
    <row r="111" spans="1:14" s="14" customFormat="1" outlineLevel="1">
      <c r="A111" s="14" t="s">
        <v>40</v>
      </c>
      <c r="B111" s="14">
        <v>-3.2869999999999999</v>
      </c>
      <c r="C111" s="14">
        <v>-5.6269999999999998</v>
      </c>
    </row>
    <row r="112" spans="1:14" s="14" customFormat="1" outlineLevel="1">
      <c r="A112" s="14" t="s">
        <v>41</v>
      </c>
      <c r="B112" s="14">
        <v>-60.8</v>
      </c>
      <c r="C112" s="29">
        <f>-4.543-2.9</f>
        <v>-7.4429999999999996</v>
      </c>
    </row>
    <row r="113" spans="1:14" s="14" customFormat="1" outlineLevel="1">
      <c r="A113" s="14" t="s">
        <v>42</v>
      </c>
      <c r="C113" s="14">
        <v>-2</v>
      </c>
    </row>
    <row r="114" spans="1:14" s="14" customFormat="1" outlineLevel="1">
      <c r="A114" s="14" t="s">
        <v>43</v>
      </c>
      <c r="C114" s="14">
        <v>-6.7389999999999999</v>
      </c>
    </row>
    <row r="115" spans="1:14" s="14" customFormat="1" outlineLevel="1">
      <c r="A115" s="14" t="s">
        <v>44</v>
      </c>
      <c r="C115" s="14">
        <v>-0.75</v>
      </c>
      <c r="D115" s="14">
        <f>C69</f>
        <v>0.75</v>
      </c>
      <c r="E115" s="14">
        <f t="shared" ref="E115:N115" si="56">D69</f>
        <v>0</v>
      </c>
      <c r="F115" s="14">
        <f t="shared" si="56"/>
        <v>0</v>
      </c>
      <c r="G115" s="14">
        <f t="shared" si="56"/>
        <v>0</v>
      </c>
      <c r="H115" s="14">
        <f t="shared" si="56"/>
        <v>0</v>
      </c>
      <c r="I115" s="14">
        <f t="shared" si="56"/>
        <v>0</v>
      </c>
      <c r="J115" s="14">
        <f t="shared" si="56"/>
        <v>0</v>
      </c>
      <c r="K115" s="14">
        <f t="shared" si="56"/>
        <v>0</v>
      </c>
      <c r="L115" s="14">
        <f t="shared" si="56"/>
        <v>0</v>
      </c>
      <c r="M115" s="14">
        <f t="shared" si="56"/>
        <v>0</v>
      </c>
      <c r="N115" s="14">
        <f t="shared" si="56"/>
        <v>0</v>
      </c>
    </row>
    <row r="116" spans="1:14" s="14" customFormat="1" outlineLevel="1">
      <c r="A116" s="14" t="s">
        <v>45</v>
      </c>
      <c r="B116" s="14">
        <v>2.1000000000000001E-2</v>
      </c>
      <c r="C116" s="14">
        <v>20.158999999999999</v>
      </c>
    </row>
    <row r="117" spans="1:14" s="14" customFormat="1" outlineLevel="1">
      <c r="A117" s="29" t="s">
        <v>140</v>
      </c>
      <c r="B117" s="29">
        <f>SUM(B110:B116)</f>
        <v>-63.733999999999995</v>
      </c>
      <c r="C117" s="29">
        <f>SUM(C110:C116)</f>
        <v>-2.3870000000000005</v>
      </c>
      <c r="D117" s="29">
        <f>SUM(D110:D116)</f>
        <v>0.75</v>
      </c>
      <c r="E117" s="29">
        <f t="shared" ref="E117:N117" si="57">SUM(E110:E116)</f>
        <v>0</v>
      </c>
      <c r="F117" s="29">
        <f t="shared" si="57"/>
        <v>0</v>
      </c>
      <c r="G117" s="29">
        <f t="shared" si="57"/>
        <v>0</v>
      </c>
      <c r="H117" s="29">
        <f t="shared" si="57"/>
        <v>0</v>
      </c>
      <c r="I117" s="29">
        <f t="shared" si="57"/>
        <v>0</v>
      </c>
      <c r="J117" s="29">
        <f t="shared" si="57"/>
        <v>0</v>
      </c>
      <c r="K117" s="29">
        <f t="shared" si="57"/>
        <v>0</v>
      </c>
      <c r="L117" s="29">
        <f t="shared" si="57"/>
        <v>0</v>
      </c>
      <c r="M117" s="29">
        <f t="shared" si="57"/>
        <v>0</v>
      </c>
      <c r="N117" s="29">
        <f t="shared" si="57"/>
        <v>0</v>
      </c>
    </row>
    <row r="118" spans="1:14" s="14" customFormat="1" outlineLevel="1"/>
    <row r="119" spans="1:14" s="14" customFormat="1" outlineLevel="1">
      <c r="A119" s="14" t="s">
        <v>47</v>
      </c>
    </row>
    <row r="120" spans="1:14" s="14" customFormat="1" outlineLevel="1">
      <c r="A120" s="14" t="s">
        <v>48</v>
      </c>
      <c r="B120" s="14">
        <v>-1.54</v>
      </c>
      <c r="C120" s="14">
        <v>1.6670376996805101</v>
      </c>
      <c r="D120" s="14">
        <f t="shared" ref="D120:N120" si="58">D39</f>
        <v>-2.6027</v>
      </c>
      <c r="E120" s="14">
        <f t="shared" si="58"/>
        <v>-2.52</v>
      </c>
      <c r="F120" s="14">
        <f t="shared" si="58"/>
        <v>-2.0099999999999998</v>
      </c>
      <c r="G120" s="14">
        <f t="shared" si="58"/>
        <v>-1.5</v>
      </c>
      <c r="H120" s="14">
        <f t="shared" si="58"/>
        <v>-1</v>
      </c>
      <c r="I120" s="14">
        <f t="shared" si="58"/>
        <v>-1.75</v>
      </c>
      <c r="J120" s="14">
        <f t="shared" si="58"/>
        <v>-2.25</v>
      </c>
      <c r="K120" s="14">
        <f t="shared" si="58"/>
        <v>-2.5</v>
      </c>
      <c r="L120" s="14">
        <f t="shared" si="58"/>
        <v>-2.5</v>
      </c>
      <c r="M120" s="14">
        <f t="shared" si="58"/>
        <v>-2.5</v>
      </c>
      <c r="N120" s="14">
        <f t="shared" si="58"/>
        <v>-2</v>
      </c>
    </row>
    <row r="121" spans="1:14" s="14" customFormat="1" outlineLevel="1">
      <c r="A121" s="14" t="s">
        <v>49</v>
      </c>
      <c r="B121" s="14">
        <v>-21.385000000000002</v>
      </c>
      <c r="C121" s="14">
        <v>-23.096</v>
      </c>
      <c r="D121" s="14">
        <f t="shared" ref="D121:N121" si="59">D168-C70-C79</f>
        <v>-24.62397713339546</v>
      </c>
      <c r="E121" s="14">
        <f t="shared" si="59"/>
        <v>-17.685947410593588</v>
      </c>
      <c r="F121" s="14">
        <f t="shared" si="59"/>
        <v>-18.818052574035786</v>
      </c>
      <c r="G121" s="14">
        <f t="shared" si="59"/>
        <v>-19.997402761862716</v>
      </c>
      <c r="H121" s="14">
        <f t="shared" si="59"/>
        <v>-21.223411532307232</v>
      </c>
      <c r="I121" s="14">
        <f t="shared" si="59"/>
        <v>-22.126611582303429</v>
      </c>
      <c r="J121" s="14">
        <f t="shared" si="59"/>
        <v>-23.159660750598029</v>
      </c>
      <c r="K121" s="14">
        <f t="shared" si="59"/>
        <v>-24.325348319631974</v>
      </c>
      <c r="L121" s="14">
        <f t="shared" si="59"/>
        <v>-25.626601631172477</v>
      </c>
      <c r="M121" s="14">
        <f t="shared" si="59"/>
        <v>-26.991493031423246</v>
      </c>
      <c r="N121" s="14">
        <f t="shared" si="59"/>
        <v>-28.573247162125792</v>
      </c>
    </row>
    <row r="122" spans="1:14" s="14" customFormat="1" outlineLevel="1">
      <c r="A122" s="14" t="s">
        <v>50</v>
      </c>
      <c r="B122" s="14">
        <v>1E-3</v>
      </c>
      <c r="C122" s="14">
        <v>1E-3</v>
      </c>
      <c r="D122" s="14">
        <f t="shared" ref="D122:N122" si="60">D81-C81</f>
        <v>1.0000000000000009E-2</v>
      </c>
      <c r="E122" s="14">
        <f t="shared" si="60"/>
        <v>9.9999999999999811E-3</v>
      </c>
      <c r="F122" s="14">
        <f t="shared" si="60"/>
        <v>1.0000000000000009E-2</v>
      </c>
      <c r="G122" s="14">
        <f t="shared" si="60"/>
        <v>1.0000000000000009E-2</v>
      </c>
      <c r="H122" s="14">
        <f t="shared" si="60"/>
        <v>1.0000000000000009E-2</v>
      </c>
      <c r="I122" s="14">
        <f t="shared" si="60"/>
        <v>1.0000000000000009E-2</v>
      </c>
      <c r="J122" s="14">
        <f t="shared" si="60"/>
        <v>1.0000000000000009E-2</v>
      </c>
      <c r="K122" s="14">
        <f t="shared" si="60"/>
        <v>1.0000000000000009E-2</v>
      </c>
      <c r="L122" s="14">
        <f t="shared" si="60"/>
        <v>1.0000000000000009E-2</v>
      </c>
      <c r="M122" s="14">
        <f t="shared" si="60"/>
        <v>1.0000000000000009E-2</v>
      </c>
      <c r="N122" s="14">
        <f t="shared" si="60"/>
        <v>1.0000000000000009E-2</v>
      </c>
    </row>
    <row r="123" spans="1:14" s="14" customFormat="1" outlineLevel="1">
      <c r="A123" s="14" t="s">
        <v>51</v>
      </c>
      <c r="B123" s="14">
        <v>-70</v>
      </c>
      <c r="C123" s="14">
        <v>-61.469000000000001</v>
      </c>
      <c r="D123" s="14">
        <f>IF(D159&lt;0,D159,0)</f>
        <v>0</v>
      </c>
      <c r="E123" s="14">
        <f t="shared" ref="E123:N123" si="61">IF(E159&lt;0,E159,0)</f>
        <v>-7.5</v>
      </c>
      <c r="F123" s="14">
        <f t="shared" si="61"/>
        <v>-8</v>
      </c>
      <c r="G123" s="14">
        <f t="shared" si="61"/>
        <v>-8.5</v>
      </c>
      <c r="H123" s="14">
        <f t="shared" si="61"/>
        <v>0</v>
      </c>
      <c r="I123" s="14">
        <f t="shared" si="61"/>
        <v>0</v>
      </c>
      <c r="J123" s="14">
        <f t="shared" si="61"/>
        <v>0</v>
      </c>
      <c r="K123" s="14">
        <f t="shared" si="61"/>
        <v>0</v>
      </c>
      <c r="L123" s="14">
        <f t="shared" si="61"/>
        <v>0</v>
      </c>
      <c r="M123" s="14">
        <f t="shared" si="61"/>
        <v>-7.5</v>
      </c>
      <c r="N123" s="14">
        <f t="shared" si="61"/>
        <v>-8</v>
      </c>
    </row>
    <row r="124" spans="1:14" s="14" customFormat="1" outlineLevel="1">
      <c r="A124" s="14" t="s">
        <v>52</v>
      </c>
      <c r="B124" s="14">
        <v>81.259</v>
      </c>
      <c r="C124" s="14">
        <v>26.42</v>
      </c>
      <c r="D124" s="14">
        <f>IF(D159&gt;0,D159,0)</f>
        <v>1.0427000000000013</v>
      </c>
      <c r="E124" s="14">
        <f t="shared" ref="E124:N124" si="62">IF(E159&gt;0,E159,0)</f>
        <v>0</v>
      </c>
      <c r="F124" s="14">
        <f t="shared" si="62"/>
        <v>0</v>
      </c>
      <c r="G124" s="14">
        <f t="shared" si="62"/>
        <v>0</v>
      </c>
      <c r="H124" s="14">
        <f t="shared" si="62"/>
        <v>16</v>
      </c>
      <c r="I124" s="14">
        <f t="shared" si="62"/>
        <v>11.75</v>
      </c>
      <c r="J124" s="14">
        <f t="shared" si="62"/>
        <v>7.25</v>
      </c>
      <c r="K124" s="14">
        <f t="shared" si="62"/>
        <v>2.5</v>
      </c>
      <c r="L124" s="14">
        <f t="shared" si="62"/>
        <v>2.5</v>
      </c>
      <c r="M124" s="14">
        <f t="shared" si="62"/>
        <v>0</v>
      </c>
      <c r="N124" s="14">
        <f t="shared" si="62"/>
        <v>0</v>
      </c>
    </row>
    <row r="125" spans="1:14" s="14" customFormat="1" outlineLevel="1">
      <c r="A125" s="14" t="s">
        <v>53</v>
      </c>
      <c r="B125" s="14">
        <v>0.21099999999999999</v>
      </c>
      <c r="C125" s="14">
        <v>-0.24299999999999999</v>
      </c>
      <c r="D125" s="14">
        <f>D153</f>
        <v>-3.3999999999999996E-2</v>
      </c>
      <c r="E125" s="14">
        <f t="shared" ref="E125:N125" si="63">E153</f>
        <v>-0.08</v>
      </c>
      <c r="F125" s="14">
        <f t="shared" si="63"/>
        <v>-0.09</v>
      </c>
      <c r="G125" s="14">
        <f t="shared" si="63"/>
        <v>0</v>
      </c>
      <c r="H125" s="14">
        <f t="shared" si="63"/>
        <v>0</v>
      </c>
      <c r="I125" s="14">
        <f t="shared" si="63"/>
        <v>0</v>
      </c>
      <c r="J125" s="14">
        <f t="shared" si="63"/>
        <v>0</v>
      </c>
      <c r="K125" s="14">
        <f t="shared" si="63"/>
        <v>0</v>
      </c>
      <c r="L125" s="14">
        <f t="shared" si="63"/>
        <v>0</v>
      </c>
      <c r="M125" s="14">
        <f t="shared" si="63"/>
        <v>0</v>
      </c>
      <c r="N125" s="14">
        <f t="shared" si="63"/>
        <v>0</v>
      </c>
    </row>
    <row r="126" spans="1:14" s="14" customFormat="1" outlineLevel="1">
      <c r="A126" s="29" t="s">
        <v>141</v>
      </c>
      <c r="B126" s="29">
        <f>SUM(B120:B125)</f>
        <v>-11.454000000000006</v>
      </c>
      <c r="C126" s="29">
        <f>SUM(C120:C125)</f>
        <v>-56.719962300319487</v>
      </c>
      <c r="D126" s="29">
        <f>SUM(D120:D125)</f>
        <v>-26.207977133395456</v>
      </c>
      <c r="E126" s="29">
        <f t="shared" ref="E126:N126" si="64">SUM(E120:E125)</f>
        <v>-27.775947410593584</v>
      </c>
      <c r="F126" s="29">
        <f t="shared" si="64"/>
        <v>-28.908052574035786</v>
      </c>
      <c r="G126" s="29">
        <f t="shared" si="64"/>
        <v>-29.987402761862715</v>
      </c>
      <c r="H126" s="29">
        <f>SUM(H120:H125)</f>
        <v>-6.2134115323072301</v>
      </c>
      <c r="I126" s="29">
        <f t="shared" si="64"/>
        <v>-12.116611582303427</v>
      </c>
      <c r="J126" s="29">
        <f t="shared" si="64"/>
        <v>-18.149660750598027</v>
      </c>
      <c r="K126" s="29">
        <f t="shared" si="64"/>
        <v>-24.315348319631973</v>
      </c>
      <c r="L126" s="29">
        <f t="shared" si="64"/>
        <v>-25.616601631172475</v>
      </c>
      <c r="M126" s="29">
        <f t="shared" si="64"/>
        <v>-36.981493031423241</v>
      </c>
      <c r="N126" s="29">
        <f t="shared" si="64"/>
        <v>-38.563247162125791</v>
      </c>
    </row>
    <row r="127" spans="1:14" s="14" customFormat="1" outlineLevel="1"/>
    <row r="128" spans="1:14" s="14" customFormat="1" outlineLevel="1">
      <c r="A128" s="14" t="s">
        <v>143</v>
      </c>
      <c r="B128" s="14">
        <f t="shared" ref="B128:N128" si="65">B126+B117+B108</f>
        <v>-47.344999999999999</v>
      </c>
      <c r="C128" s="14">
        <f t="shared" si="65"/>
        <v>12.173037699680513</v>
      </c>
      <c r="D128" s="14">
        <f t="shared" si="65"/>
        <v>32.350127510829807</v>
      </c>
      <c r="E128" s="14">
        <f t="shared" si="65"/>
        <v>35.535059531455602</v>
      </c>
      <c r="F128" s="14">
        <f t="shared" si="65"/>
        <v>37.558503347938235</v>
      </c>
      <c r="G128" s="14">
        <f t="shared" si="65"/>
        <v>39.792779630047718</v>
      </c>
      <c r="H128" s="14">
        <f t="shared" si="65"/>
        <v>67.046369692821287</v>
      </c>
      <c r="I128" s="14">
        <f t="shared" si="65"/>
        <v>64.79703072629539</v>
      </c>
      <c r="J128" s="14">
        <f t="shared" si="65"/>
        <v>62.600809534978211</v>
      </c>
      <c r="K128" s="14">
        <f t="shared" si="65"/>
        <v>60.464056965924165</v>
      </c>
      <c r="L128" s="14">
        <f t="shared" si="65"/>
        <v>63.39344305979148</v>
      </c>
      <c r="M128" s="14">
        <f t="shared" si="65"/>
        <v>56.470972960984994</v>
      </c>
      <c r="N128" s="14">
        <f t="shared" si="65"/>
        <v>59.554003624792117</v>
      </c>
    </row>
    <row r="129" spans="1:14" s="14" customFormat="1" outlineLevel="1">
      <c r="A129" s="14" t="s">
        <v>144</v>
      </c>
      <c r="B129" s="14">
        <f>B130-B128</f>
        <v>86.284999999999997</v>
      </c>
      <c r="C129" s="14">
        <f>C130-C128</f>
        <v>12.125962300319486</v>
      </c>
      <c r="D129" s="14">
        <f t="shared" ref="D129:N129" si="66">C55</f>
        <v>24.298999999999999</v>
      </c>
      <c r="E129" s="14">
        <f t="shared" si="66"/>
        <v>56.649127510829807</v>
      </c>
      <c r="F129" s="14">
        <f t="shared" si="66"/>
        <v>92.184187042285402</v>
      </c>
      <c r="G129" s="14">
        <f t="shared" si="66"/>
        <v>129.74269039022363</v>
      </c>
      <c r="H129" s="14">
        <f t="shared" si="66"/>
        <v>169.53547002027136</v>
      </c>
      <c r="I129" s="14">
        <f t="shared" si="66"/>
        <v>236.58183971309265</v>
      </c>
      <c r="J129" s="14">
        <f t="shared" si="66"/>
        <v>301.37887043938804</v>
      </c>
      <c r="K129" s="14">
        <f t="shared" si="66"/>
        <v>363.97967997436626</v>
      </c>
      <c r="L129" s="14">
        <f t="shared" si="66"/>
        <v>424.44373694029042</v>
      </c>
      <c r="M129" s="14">
        <f t="shared" si="66"/>
        <v>487.8371800000819</v>
      </c>
      <c r="N129" s="14">
        <f t="shared" si="66"/>
        <v>544.30815296106687</v>
      </c>
    </row>
    <row r="130" spans="1:14" s="29" customFormat="1" outlineLevel="1">
      <c r="A130" s="29" t="s">
        <v>46</v>
      </c>
      <c r="B130" s="29">
        <f>B55</f>
        <v>38.94</v>
      </c>
      <c r="C130" s="29">
        <f>C55</f>
        <v>24.298999999999999</v>
      </c>
      <c r="D130" s="29">
        <f>SUM(D128:D129)</f>
        <v>56.649127510829807</v>
      </c>
      <c r="E130" s="29">
        <f t="shared" ref="E130:N130" si="67">SUM(E128:E129)</f>
        <v>92.184187042285402</v>
      </c>
      <c r="F130" s="29">
        <f t="shared" si="67"/>
        <v>129.74269039022363</v>
      </c>
      <c r="G130" s="29">
        <f t="shared" si="67"/>
        <v>169.53547002027136</v>
      </c>
      <c r="H130" s="29">
        <f t="shared" si="67"/>
        <v>236.58183971309265</v>
      </c>
      <c r="I130" s="29">
        <f t="shared" si="67"/>
        <v>301.37887043938804</v>
      </c>
      <c r="J130" s="29">
        <f t="shared" si="67"/>
        <v>363.97967997436626</v>
      </c>
      <c r="K130" s="29">
        <f t="shared" si="67"/>
        <v>424.44373694029042</v>
      </c>
      <c r="L130" s="29">
        <f t="shared" si="67"/>
        <v>487.8371800000819</v>
      </c>
      <c r="M130" s="29">
        <f t="shared" si="67"/>
        <v>544.30815296106687</v>
      </c>
      <c r="N130" s="29">
        <f t="shared" si="67"/>
        <v>603.862156585859</v>
      </c>
    </row>
    <row r="131" spans="1:14" s="14" customFormat="1"/>
    <row r="132" spans="1:14" s="14" customFormat="1" ht="18.75">
      <c r="A132" s="38" t="s">
        <v>262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1:14" s="14" customFormat="1" outlineLevel="1">
      <c r="A133" s="41" t="s">
        <v>121</v>
      </c>
    </row>
    <row r="134" spans="1:14" s="14" customFormat="1" outlineLevel="1">
      <c r="A134" s="14" t="s">
        <v>128</v>
      </c>
      <c r="C134" s="14">
        <f>B137</f>
        <v>21.379000000000001</v>
      </c>
      <c r="D134" s="14">
        <f>C137</f>
        <v>21.782</v>
      </c>
      <c r="E134" s="14">
        <f t="shared" ref="E134:N134" si="68">D137</f>
        <v>25.400200000000002</v>
      </c>
      <c r="F134" s="14">
        <f t="shared" si="68"/>
        <v>26.670210000000001</v>
      </c>
      <c r="G134" s="14">
        <f t="shared" si="68"/>
        <v>28.003720500000004</v>
      </c>
      <c r="H134" s="14">
        <f t="shared" si="68"/>
        <v>29.403906525000007</v>
      </c>
      <c r="I134" s="14">
        <f t="shared" si="68"/>
        <v>30.874101851250007</v>
      </c>
      <c r="J134" s="14">
        <f t="shared" si="68"/>
        <v>32.417806943812508</v>
      </c>
      <c r="K134" s="14">
        <f t="shared" si="68"/>
        <v>34.038697291003139</v>
      </c>
      <c r="L134" s="14">
        <f t="shared" si="68"/>
        <v>35.740632155553293</v>
      </c>
      <c r="M134" s="14">
        <f t="shared" si="68"/>
        <v>37.527663763330963</v>
      </c>
      <c r="N134" s="14">
        <f t="shared" si="68"/>
        <v>39.404046951497513</v>
      </c>
    </row>
    <row r="135" spans="1:14" s="14" customFormat="1" outlineLevel="1">
      <c r="A135" s="14" t="s">
        <v>125</v>
      </c>
      <c r="C135" s="14">
        <f t="shared" ref="C135:N135" si="69">C32</f>
        <v>-4.2210000000000001</v>
      </c>
      <c r="D135" s="14">
        <f t="shared" si="69"/>
        <v>-4.5720360000000007</v>
      </c>
      <c r="E135" s="14">
        <f t="shared" si="69"/>
        <v>-4.8006378000000005</v>
      </c>
      <c r="F135" s="14">
        <f t="shared" si="69"/>
        <v>-5.0406696900000005</v>
      </c>
      <c r="G135" s="14">
        <f t="shared" si="69"/>
        <v>-5.2927031745000006</v>
      </c>
      <c r="H135" s="14">
        <f t="shared" si="69"/>
        <v>-5.557338333225001</v>
      </c>
      <c r="I135" s="14">
        <f t="shared" si="69"/>
        <v>-5.8352052498862514</v>
      </c>
      <c r="J135" s="14">
        <f t="shared" si="69"/>
        <v>-6.126965512380564</v>
      </c>
      <c r="K135" s="14">
        <f t="shared" si="69"/>
        <v>-6.4333137879995927</v>
      </c>
      <c r="L135" s="14">
        <f t="shared" si="69"/>
        <v>-6.7549794773995728</v>
      </c>
      <c r="M135" s="14">
        <f t="shared" si="69"/>
        <v>-7.0927284512695525</v>
      </c>
      <c r="N135" s="14">
        <f t="shared" si="69"/>
        <v>-7.4473648738330303</v>
      </c>
    </row>
    <row r="136" spans="1:14" s="14" customFormat="1" outlineLevel="1">
      <c r="A136" s="14" t="s">
        <v>126</v>
      </c>
      <c r="C136" s="14">
        <f>C137-C134-C135</f>
        <v>4.6239999999999988</v>
      </c>
      <c r="D136" s="14">
        <f>D137-D134-D135</f>
        <v>8.1902360000000023</v>
      </c>
      <c r="E136" s="14">
        <f t="shared" ref="E136:N136" si="70">E137-E134-E135</f>
        <v>6.0706477999999997</v>
      </c>
      <c r="F136" s="14">
        <f t="shared" si="70"/>
        <v>6.3741801900000032</v>
      </c>
      <c r="G136" s="14">
        <f t="shared" si="70"/>
        <v>6.6928891995000042</v>
      </c>
      <c r="H136" s="14">
        <f t="shared" si="70"/>
        <v>7.0275336594750009</v>
      </c>
      <c r="I136" s="14">
        <f t="shared" si="70"/>
        <v>7.3789103424487523</v>
      </c>
      <c r="J136" s="14">
        <f t="shared" si="70"/>
        <v>7.747855859571195</v>
      </c>
      <c r="K136" s="14">
        <f t="shared" si="70"/>
        <v>8.1352486525497465</v>
      </c>
      <c r="L136" s="14">
        <f t="shared" si="70"/>
        <v>8.5420110851772435</v>
      </c>
      <c r="M136" s="14">
        <f t="shared" si="70"/>
        <v>8.9691116394361021</v>
      </c>
      <c r="N136" s="14">
        <f t="shared" si="70"/>
        <v>9.4175672214079142</v>
      </c>
    </row>
    <row r="137" spans="1:14" s="29" customFormat="1" outlineLevel="1">
      <c r="A137" s="29" t="s">
        <v>127</v>
      </c>
      <c r="B137" s="29">
        <f>B60</f>
        <v>21.379000000000001</v>
      </c>
      <c r="C137" s="29">
        <f>C60</f>
        <v>21.782</v>
      </c>
      <c r="D137" s="29">
        <f t="shared" ref="D137:N137" si="71">D29/D16</f>
        <v>25.400200000000002</v>
      </c>
      <c r="E137" s="29">
        <f t="shared" si="71"/>
        <v>26.670210000000001</v>
      </c>
      <c r="F137" s="29">
        <f t="shared" si="71"/>
        <v>28.003720500000004</v>
      </c>
      <c r="G137" s="29">
        <f t="shared" si="71"/>
        <v>29.403906525000007</v>
      </c>
      <c r="H137" s="29">
        <f t="shared" si="71"/>
        <v>30.874101851250007</v>
      </c>
      <c r="I137" s="29">
        <f t="shared" si="71"/>
        <v>32.417806943812508</v>
      </c>
      <c r="J137" s="29">
        <f t="shared" si="71"/>
        <v>34.038697291003139</v>
      </c>
      <c r="K137" s="29">
        <f t="shared" si="71"/>
        <v>35.740632155553293</v>
      </c>
      <c r="L137" s="29">
        <f t="shared" si="71"/>
        <v>37.527663763330963</v>
      </c>
      <c r="M137" s="29">
        <f t="shared" si="71"/>
        <v>39.404046951497513</v>
      </c>
      <c r="N137" s="29">
        <f t="shared" si="71"/>
        <v>41.374249299072396</v>
      </c>
    </row>
    <row r="138" spans="1:14" s="14" customFormat="1" outlineLevel="1"/>
    <row r="139" spans="1:14" s="14" customFormat="1" outlineLevel="1">
      <c r="A139" s="41" t="s">
        <v>122</v>
      </c>
    </row>
    <row r="140" spans="1:14" s="14" customFormat="1" outlineLevel="1">
      <c r="A140" s="14" t="s">
        <v>128</v>
      </c>
      <c r="C140" s="14">
        <f>B142</f>
        <v>52.085000000000001</v>
      </c>
      <c r="D140" s="14">
        <f t="shared" ref="D140:N140" si="72">C142</f>
        <v>51.043300000000002</v>
      </c>
      <c r="E140" s="14">
        <f t="shared" si="72"/>
        <v>49.512001000000005</v>
      </c>
      <c r="F140" s="14">
        <f t="shared" si="72"/>
        <v>48.026640970000003</v>
      </c>
      <c r="G140" s="14">
        <f t="shared" si="72"/>
        <v>46.585841740900001</v>
      </c>
      <c r="H140" s="14">
        <f t="shared" si="72"/>
        <v>45.188266488673001</v>
      </c>
      <c r="I140" s="14">
        <f t="shared" si="72"/>
        <v>43.832618494012813</v>
      </c>
      <c r="J140" s="14">
        <f t="shared" si="72"/>
        <v>42.517639939192428</v>
      </c>
      <c r="K140" s="14">
        <f t="shared" si="72"/>
        <v>41.242110741016653</v>
      </c>
      <c r="L140" s="14">
        <f t="shared" si="72"/>
        <v>40.004847418786156</v>
      </c>
      <c r="M140" s="14">
        <f t="shared" si="72"/>
        <v>38.804701996222569</v>
      </c>
      <c r="N140" s="14">
        <f t="shared" si="72"/>
        <v>37.640560936335895</v>
      </c>
    </row>
    <row r="141" spans="1:14" s="14" customFormat="1" outlineLevel="1">
      <c r="A141" s="14" t="s">
        <v>4</v>
      </c>
      <c r="C141" s="14">
        <f t="shared" ref="C141:N141" si="73">-C140*C10</f>
        <v>-1.0417000000000001</v>
      </c>
      <c r="D141" s="14">
        <f t="shared" si="73"/>
        <v>-1.531299</v>
      </c>
      <c r="E141" s="14">
        <f t="shared" si="73"/>
        <v>-1.4853600300000001</v>
      </c>
      <c r="F141" s="14">
        <f t="shared" si="73"/>
        <v>-1.4407992291</v>
      </c>
      <c r="G141" s="14">
        <f t="shared" si="73"/>
        <v>-1.397575252227</v>
      </c>
      <c r="H141" s="14">
        <f t="shared" si="73"/>
        <v>-1.35564799466019</v>
      </c>
      <c r="I141" s="14">
        <f t="shared" si="73"/>
        <v>-1.3149785548203843</v>
      </c>
      <c r="J141" s="14">
        <f t="shared" si="73"/>
        <v>-1.2755291981757728</v>
      </c>
      <c r="K141" s="14">
        <f t="shared" si="73"/>
        <v>-1.2372633222304996</v>
      </c>
      <c r="L141" s="14">
        <f t="shared" si="73"/>
        <v>-1.2001454225635846</v>
      </c>
      <c r="M141" s="14">
        <f t="shared" si="73"/>
        <v>-1.164141059886677</v>
      </c>
      <c r="N141" s="14">
        <f t="shared" si="73"/>
        <v>-1.1292168280900767</v>
      </c>
    </row>
    <row r="142" spans="1:14" s="29" customFormat="1" outlineLevel="1">
      <c r="A142" s="29" t="s">
        <v>127</v>
      </c>
      <c r="B142" s="29">
        <f>B65</f>
        <v>52.085000000000001</v>
      </c>
      <c r="C142" s="29">
        <f>C140+C141</f>
        <v>51.043300000000002</v>
      </c>
      <c r="D142" s="29">
        <f t="shared" ref="D142:N142" si="74">D140+D141</f>
        <v>49.512001000000005</v>
      </c>
      <c r="E142" s="29">
        <f t="shared" si="74"/>
        <v>48.026640970000003</v>
      </c>
      <c r="F142" s="29">
        <f t="shared" si="74"/>
        <v>46.585841740900001</v>
      </c>
      <c r="G142" s="29">
        <f t="shared" si="74"/>
        <v>45.188266488673001</v>
      </c>
      <c r="H142" s="29">
        <f t="shared" si="74"/>
        <v>43.832618494012813</v>
      </c>
      <c r="I142" s="29">
        <f t="shared" si="74"/>
        <v>42.517639939192428</v>
      </c>
      <c r="J142" s="29">
        <f t="shared" si="74"/>
        <v>41.242110741016653</v>
      </c>
      <c r="K142" s="29">
        <f t="shared" si="74"/>
        <v>40.004847418786156</v>
      </c>
      <c r="L142" s="29">
        <f t="shared" si="74"/>
        <v>38.804701996222569</v>
      </c>
      <c r="M142" s="29">
        <f t="shared" si="74"/>
        <v>37.640560936335895</v>
      </c>
      <c r="N142" s="29">
        <f t="shared" si="74"/>
        <v>36.511344108245815</v>
      </c>
    </row>
    <row r="143" spans="1:14" s="14" customFormat="1" outlineLevel="1"/>
    <row r="144" spans="1:14" s="14" customFormat="1" outlineLevel="1">
      <c r="A144" s="41" t="s">
        <v>123</v>
      </c>
    </row>
    <row r="145" spans="1:14" s="14" customFormat="1" outlineLevel="1">
      <c r="A145" s="14" t="s">
        <v>128</v>
      </c>
      <c r="C145" s="14">
        <f>B147</f>
        <v>35.716999999999999</v>
      </c>
      <c r="D145" s="14">
        <f t="shared" ref="D145:N145" si="75">C147</f>
        <v>34.879098433280049</v>
      </c>
      <c r="E145" s="14">
        <f t="shared" si="75"/>
        <v>33.832725480281646</v>
      </c>
      <c r="F145" s="14">
        <f t="shared" si="75"/>
        <v>32.817743715873199</v>
      </c>
      <c r="G145" s="14">
        <f t="shared" si="75"/>
        <v>31.833211404397002</v>
      </c>
      <c r="H145" s="14">
        <f t="shared" si="75"/>
        <v>30.878215062265092</v>
      </c>
      <c r="I145" s="14">
        <f t="shared" si="75"/>
        <v>29.951868610397138</v>
      </c>
      <c r="J145" s="14">
        <f t="shared" si="75"/>
        <v>29.053312552085224</v>
      </c>
      <c r="K145" s="14">
        <f t="shared" si="75"/>
        <v>28.181713175522667</v>
      </c>
      <c r="L145" s="14">
        <f t="shared" si="75"/>
        <v>27.336261780256986</v>
      </c>
      <c r="M145" s="14">
        <f t="shared" si="75"/>
        <v>26.516173926849277</v>
      </c>
      <c r="N145" s="14">
        <f t="shared" si="75"/>
        <v>25.720688709043799</v>
      </c>
    </row>
    <row r="146" spans="1:14" s="14" customFormat="1" outlineLevel="1">
      <c r="A146" s="14" t="s">
        <v>4</v>
      </c>
      <c r="C146" s="14">
        <f t="shared" ref="C146:N146" si="76">-C145*C9</f>
        <v>-0.83790156671994698</v>
      </c>
      <c r="D146" s="14">
        <f t="shared" si="76"/>
        <v>-1.0463729529984014</v>
      </c>
      <c r="E146" s="14">
        <f t="shared" si="76"/>
        <v>-1.0149817644084493</v>
      </c>
      <c r="F146" s="14">
        <f t="shared" si="76"/>
        <v>-0.98453231147619591</v>
      </c>
      <c r="G146" s="14">
        <f t="shared" si="76"/>
        <v>-0.95499634213190998</v>
      </c>
      <c r="H146" s="14">
        <f t="shared" si="76"/>
        <v>-0.92634645186795272</v>
      </c>
      <c r="I146" s="14">
        <f t="shared" si="76"/>
        <v>-0.8985560583119141</v>
      </c>
      <c r="J146" s="14">
        <f t="shared" si="76"/>
        <v>-0.8715993765625567</v>
      </c>
      <c r="K146" s="14">
        <f t="shared" si="76"/>
        <v>-0.84545139526568003</v>
      </c>
      <c r="L146" s="14">
        <f t="shared" si="76"/>
        <v>-0.82008785340770951</v>
      </c>
      <c r="M146" s="14">
        <f t="shared" si="76"/>
        <v>-0.79548521780547832</v>
      </c>
      <c r="N146" s="14">
        <f t="shared" si="76"/>
        <v>-0.7716206612713139</v>
      </c>
    </row>
    <row r="147" spans="1:14" s="14" customFormat="1" outlineLevel="1">
      <c r="A147" s="14" t="s">
        <v>127</v>
      </c>
      <c r="B147" s="14">
        <f>B64</f>
        <v>35.716999999999999</v>
      </c>
      <c r="C147" s="14">
        <f>C145+C146</f>
        <v>34.879098433280049</v>
      </c>
      <c r="D147" s="14">
        <f t="shared" ref="D147:N147" si="77">D145+D146</f>
        <v>33.832725480281646</v>
      </c>
      <c r="E147" s="14">
        <f t="shared" si="77"/>
        <v>32.817743715873199</v>
      </c>
      <c r="F147" s="14">
        <f t="shared" si="77"/>
        <v>31.833211404397002</v>
      </c>
      <c r="G147" s="14">
        <f t="shared" si="77"/>
        <v>30.878215062265092</v>
      </c>
      <c r="H147" s="14">
        <f t="shared" si="77"/>
        <v>29.951868610397138</v>
      </c>
      <c r="I147" s="14">
        <f t="shared" si="77"/>
        <v>29.053312552085224</v>
      </c>
      <c r="J147" s="14">
        <f t="shared" si="77"/>
        <v>28.181713175522667</v>
      </c>
      <c r="K147" s="14">
        <f t="shared" si="77"/>
        <v>27.336261780256986</v>
      </c>
      <c r="L147" s="14">
        <f t="shared" si="77"/>
        <v>26.516173926849277</v>
      </c>
      <c r="M147" s="14">
        <f t="shared" si="77"/>
        <v>25.720688709043799</v>
      </c>
      <c r="N147" s="14">
        <f t="shared" si="77"/>
        <v>24.949068047772485</v>
      </c>
    </row>
    <row r="148" spans="1:14" s="29" customFormat="1" outlineLevel="1">
      <c r="A148" s="29" t="s">
        <v>129</v>
      </c>
      <c r="C148" s="29">
        <f>C146+C141</f>
        <v>-1.879601566719947</v>
      </c>
      <c r="D148" s="29">
        <f t="shared" ref="D148:N148" si="78">D146+D141</f>
        <v>-2.5776719529984016</v>
      </c>
      <c r="E148" s="29">
        <f t="shared" si="78"/>
        <v>-2.5003417944084494</v>
      </c>
      <c r="F148" s="29">
        <f t="shared" si="78"/>
        <v>-2.4253315405761962</v>
      </c>
      <c r="G148" s="29">
        <f t="shared" si="78"/>
        <v>-2.3525715943589098</v>
      </c>
      <c r="H148" s="29">
        <f t="shared" si="78"/>
        <v>-2.2819944465281425</v>
      </c>
      <c r="I148" s="29">
        <f t="shared" si="78"/>
        <v>-2.2135346131322984</v>
      </c>
      <c r="J148" s="29">
        <f t="shared" si="78"/>
        <v>-2.1471285747383293</v>
      </c>
      <c r="K148" s="29">
        <f t="shared" si="78"/>
        <v>-2.0827147174961795</v>
      </c>
      <c r="L148" s="29">
        <f t="shared" si="78"/>
        <v>-2.020233275971294</v>
      </c>
      <c r="M148" s="29">
        <f t="shared" si="78"/>
        <v>-1.9596262776921554</v>
      </c>
      <c r="N148" s="29">
        <f t="shared" si="78"/>
        <v>-1.9008374893613906</v>
      </c>
    </row>
    <row r="149" spans="1:14" s="14" customFormat="1" outlineLevel="1">
      <c r="A149" s="29"/>
    </row>
    <row r="150" spans="1:14" s="14" customFormat="1" outlineLevel="1">
      <c r="A150" s="41" t="s">
        <v>124</v>
      </c>
    </row>
    <row r="151" spans="1:14" s="14" customFormat="1" outlineLevel="1">
      <c r="A151" s="14" t="s">
        <v>128</v>
      </c>
      <c r="C151" s="14">
        <f>B154</f>
        <v>0.44700000000000001</v>
      </c>
      <c r="D151" s="14">
        <f>C154</f>
        <v>0.26</v>
      </c>
      <c r="E151" s="14">
        <f t="shared" ref="E151:N151" si="79">D154</f>
        <v>0.2</v>
      </c>
      <c r="F151" s="14">
        <f t="shared" si="79"/>
        <v>0.1</v>
      </c>
      <c r="G151" s="14">
        <f t="shared" si="79"/>
        <v>0</v>
      </c>
      <c r="H151" s="14">
        <f t="shared" si="79"/>
        <v>0</v>
      </c>
      <c r="I151" s="14">
        <f t="shared" si="79"/>
        <v>0</v>
      </c>
      <c r="J151" s="14">
        <f t="shared" si="79"/>
        <v>0</v>
      </c>
      <c r="K151" s="14">
        <f t="shared" si="79"/>
        <v>0</v>
      </c>
      <c r="L151" s="14">
        <f t="shared" si="79"/>
        <v>0</v>
      </c>
      <c r="M151" s="14">
        <f t="shared" si="79"/>
        <v>0</v>
      </c>
      <c r="N151" s="14">
        <f t="shared" si="79"/>
        <v>0</v>
      </c>
    </row>
    <row r="152" spans="1:14" s="14" customFormat="1" outlineLevel="1">
      <c r="A152" s="14" t="s">
        <v>130</v>
      </c>
      <c r="D152" s="14">
        <f t="shared" ref="D152:N152" si="80">-D151*D20</f>
        <v>-2.6000000000000002E-2</v>
      </c>
      <c r="E152" s="14">
        <f t="shared" si="80"/>
        <v>-2.0000000000000004E-2</v>
      </c>
      <c r="F152" s="14">
        <f t="shared" si="80"/>
        <v>-1.0000000000000002E-2</v>
      </c>
      <c r="G152" s="14">
        <f t="shared" si="80"/>
        <v>0</v>
      </c>
      <c r="H152" s="14">
        <f t="shared" si="80"/>
        <v>0</v>
      </c>
      <c r="I152" s="14">
        <f t="shared" si="80"/>
        <v>0</v>
      </c>
      <c r="J152" s="14">
        <f t="shared" si="80"/>
        <v>0</v>
      </c>
      <c r="K152" s="14">
        <f t="shared" si="80"/>
        <v>0</v>
      </c>
      <c r="L152" s="14">
        <f t="shared" si="80"/>
        <v>0</v>
      </c>
      <c r="M152" s="14">
        <f t="shared" si="80"/>
        <v>0</v>
      </c>
      <c r="N152" s="14">
        <f t="shared" si="80"/>
        <v>0</v>
      </c>
    </row>
    <row r="153" spans="1:14" s="14" customFormat="1" outlineLevel="1">
      <c r="A153" s="14" t="s">
        <v>131</v>
      </c>
      <c r="C153" s="14">
        <f>C154-C151-C152</f>
        <v>-0.187</v>
      </c>
      <c r="D153" s="14">
        <f>D154-D151-D152</f>
        <v>-3.3999999999999996E-2</v>
      </c>
      <c r="E153" s="14">
        <f t="shared" ref="E153:N153" si="81">E154-E151-E152</f>
        <v>-0.08</v>
      </c>
      <c r="F153" s="14">
        <f t="shared" si="81"/>
        <v>-0.09</v>
      </c>
      <c r="G153" s="14">
        <f t="shared" si="81"/>
        <v>0</v>
      </c>
      <c r="H153" s="14">
        <f t="shared" si="81"/>
        <v>0</v>
      </c>
      <c r="I153" s="14">
        <f t="shared" si="81"/>
        <v>0</v>
      </c>
      <c r="J153" s="14">
        <f t="shared" si="81"/>
        <v>0</v>
      </c>
      <c r="K153" s="14">
        <f t="shared" si="81"/>
        <v>0</v>
      </c>
      <c r="L153" s="14">
        <f t="shared" si="81"/>
        <v>0</v>
      </c>
      <c r="M153" s="14">
        <f t="shared" si="81"/>
        <v>0</v>
      </c>
      <c r="N153" s="14">
        <f t="shared" si="81"/>
        <v>0</v>
      </c>
    </row>
    <row r="154" spans="1:14" s="29" customFormat="1" outlineLevel="1">
      <c r="A154" s="29" t="s">
        <v>127</v>
      </c>
      <c r="B154" s="29">
        <f>B76</f>
        <v>0.44700000000000001</v>
      </c>
      <c r="C154" s="29">
        <f>C76</f>
        <v>0.26</v>
      </c>
      <c r="D154" s="29">
        <f t="shared" ref="D154:N154" si="82">D19</f>
        <v>0.2</v>
      </c>
      <c r="E154" s="29">
        <f t="shared" si="82"/>
        <v>0.1</v>
      </c>
      <c r="F154" s="29">
        <f t="shared" si="82"/>
        <v>0</v>
      </c>
      <c r="G154" s="29">
        <f t="shared" si="82"/>
        <v>0</v>
      </c>
      <c r="H154" s="29">
        <f t="shared" si="82"/>
        <v>0</v>
      </c>
      <c r="I154" s="29">
        <f t="shared" si="82"/>
        <v>0</v>
      </c>
      <c r="J154" s="29">
        <f t="shared" si="82"/>
        <v>0</v>
      </c>
      <c r="K154" s="29">
        <f t="shared" si="82"/>
        <v>0</v>
      </c>
      <c r="L154" s="29">
        <f t="shared" si="82"/>
        <v>0</v>
      </c>
      <c r="M154" s="29">
        <f t="shared" si="82"/>
        <v>0</v>
      </c>
      <c r="N154" s="29">
        <f t="shared" si="82"/>
        <v>0</v>
      </c>
    </row>
    <row r="155" spans="1:14" s="14" customFormat="1" outlineLevel="1"/>
    <row r="156" spans="1:14" s="14" customFormat="1" outlineLevel="1">
      <c r="A156" s="41" t="s">
        <v>132</v>
      </c>
    </row>
    <row r="157" spans="1:14" s="14" customFormat="1" outlineLevel="1">
      <c r="A157" s="14" t="s">
        <v>128</v>
      </c>
      <c r="D157" s="14">
        <f>C160</f>
        <v>51.533999999999999</v>
      </c>
      <c r="E157" s="14">
        <f t="shared" ref="E157:N157" si="83">D160</f>
        <v>50</v>
      </c>
      <c r="F157" s="14">
        <f t="shared" si="83"/>
        <v>40</v>
      </c>
      <c r="G157" s="14">
        <f t="shared" si="83"/>
        <v>30</v>
      </c>
      <c r="H157" s="14">
        <f t="shared" si="83"/>
        <v>20</v>
      </c>
      <c r="I157" s="14">
        <f t="shared" si="83"/>
        <v>35</v>
      </c>
      <c r="J157" s="14">
        <f t="shared" si="83"/>
        <v>45</v>
      </c>
      <c r="K157" s="14">
        <f t="shared" si="83"/>
        <v>50</v>
      </c>
      <c r="L157" s="14">
        <f t="shared" si="83"/>
        <v>50</v>
      </c>
      <c r="M157" s="14">
        <f t="shared" si="83"/>
        <v>50</v>
      </c>
      <c r="N157" s="14">
        <f t="shared" si="83"/>
        <v>40</v>
      </c>
    </row>
    <row r="158" spans="1:14" s="14" customFormat="1" outlineLevel="1">
      <c r="A158" s="14" t="s">
        <v>130</v>
      </c>
      <c r="D158" s="14">
        <f t="shared" ref="D158:N158" si="84">-D22*D157</f>
        <v>-2.5767000000000002</v>
      </c>
      <c r="E158" s="14">
        <f t="shared" si="84"/>
        <v>-2.5</v>
      </c>
      <c r="F158" s="14">
        <f t="shared" si="84"/>
        <v>-2</v>
      </c>
      <c r="G158" s="14">
        <f t="shared" si="84"/>
        <v>-1.5</v>
      </c>
      <c r="H158" s="14">
        <f t="shared" si="84"/>
        <v>-1</v>
      </c>
      <c r="I158" s="14">
        <f t="shared" si="84"/>
        <v>-1.75</v>
      </c>
      <c r="J158" s="14">
        <f t="shared" si="84"/>
        <v>-2.25</v>
      </c>
      <c r="K158" s="14">
        <f t="shared" si="84"/>
        <v>-2.5</v>
      </c>
      <c r="L158" s="14">
        <f t="shared" si="84"/>
        <v>-2.5</v>
      </c>
      <c r="M158" s="14">
        <f t="shared" si="84"/>
        <v>-2.5</v>
      </c>
      <c r="N158" s="14">
        <f t="shared" si="84"/>
        <v>-2</v>
      </c>
    </row>
    <row r="159" spans="1:14" s="14" customFormat="1" outlineLevel="1">
      <c r="A159" s="14" t="s">
        <v>131</v>
      </c>
      <c r="D159" s="14">
        <f>D160-D157-D158</f>
        <v>1.0427000000000013</v>
      </c>
      <c r="E159" s="14">
        <f t="shared" ref="E159:N159" si="85">E160-E157-E158</f>
        <v>-7.5</v>
      </c>
      <c r="F159" s="14">
        <f t="shared" si="85"/>
        <v>-8</v>
      </c>
      <c r="G159" s="14">
        <f t="shared" si="85"/>
        <v>-8.5</v>
      </c>
      <c r="H159" s="14">
        <f t="shared" si="85"/>
        <v>16</v>
      </c>
      <c r="I159" s="14">
        <f t="shared" si="85"/>
        <v>11.75</v>
      </c>
      <c r="J159" s="14">
        <f t="shared" si="85"/>
        <v>7.25</v>
      </c>
      <c r="K159" s="14">
        <f t="shared" si="85"/>
        <v>2.5</v>
      </c>
      <c r="L159" s="14">
        <f t="shared" si="85"/>
        <v>2.5</v>
      </c>
      <c r="M159" s="14">
        <f t="shared" si="85"/>
        <v>-7.5</v>
      </c>
      <c r="N159" s="14">
        <f t="shared" si="85"/>
        <v>-8</v>
      </c>
    </row>
    <row r="160" spans="1:14" s="29" customFormat="1" outlineLevel="1">
      <c r="A160" s="29" t="s">
        <v>127</v>
      </c>
      <c r="C160" s="29">
        <f t="shared" ref="C160:N160" si="86">C21</f>
        <v>51.533999999999999</v>
      </c>
      <c r="D160" s="29">
        <f t="shared" si="86"/>
        <v>50</v>
      </c>
      <c r="E160" s="29">
        <f t="shared" si="86"/>
        <v>40</v>
      </c>
      <c r="F160" s="29">
        <f t="shared" si="86"/>
        <v>30</v>
      </c>
      <c r="G160" s="29">
        <f t="shared" si="86"/>
        <v>20</v>
      </c>
      <c r="H160" s="29">
        <f t="shared" si="86"/>
        <v>35</v>
      </c>
      <c r="I160" s="29">
        <f t="shared" si="86"/>
        <v>45</v>
      </c>
      <c r="J160" s="29">
        <f t="shared" si="86"/>
        <v>50</v>
      </c>
      <c r="K160" s="29">
        <f t="shared" si="86"/>
        <v>50</v>
      </c>
      <c r="L160" s="29">
        <f t="shared" si="86"/>
        <v>50</v>
      </c>
      <c r="M160" s="29">
        <f t="shared" si="86"/>
        <v>40</v>
      </c>
      <c r="N160" s="29">
        <f t="shared" si="86"/>
        <v>30</v>
      </c>
    </row>
    <row r="161" spans="1:14" s="14" customFormat="1" outlineLevel="1"/>
    <row r="162" spans="1:14" s="29" customFormat="1" outlineLevel="1">
      <c r="A162" s="29" t="s">
        <v>133</v>
      </c>
      <c r="D162" s="29">
        <f>D158+D152</f>
        <v>-2.6027</v>
      </c>
      <c r="E162" s="29">
        <f t="shared" ref="E162:N162" si="87">E158+E152</f>
        <v>-2.52</v>
      </c>
      <c r="F162" s="29">
        <f t="shared" si="87"/>
        <v>-2.0099999999999998</v>
      </c>
      <c r="G162" s="29">
        <f t="shared" si="87"/>
        <v>-1.5</v>
      </c>
      <c r="H162" s="29">
        <f t="shared" si="87"/>
        <v>-1</v>
      </c>
      <c r="I162" s="29">
        <f t="shared" si="87"/>
        <v>-1.75</v>
      </c>
      <c r="J162" s="29">
        <f t="shared" si="87"/>
        <v>-2.25</v>
      </c>
      <c r="K162" s="29">
        <f t="shared" si="87"/>
        <v>-2.5</v>
      </c>
      <c r="L162" s="29">
        <f t="shared" si="87"/>
        <v>-2.5</v>
      </c>
      <c r="M162" s="29">
        <f t="shared" si="87"/>
        <v>-2.5</v>
      </c>
      <c r="N162" s="29">
        <f t="shared" si="87"/>
        <v>-2</v>
      </c>
    </row>
    <row r="163" spans="1:14" s="14" customFormat="1" outlineLevel="1"/>
    <row r="164" spans="1:14" s="14" customFormat="1" outlineLevel="1"/>
    <row r="165" spans="1:14" s="14" customFormat="1" outlineLevel="1">
      <c r="A165" s="41" t="s">
        <v>137</v>
      </c>
    </row>
    <row r="166" spans="1:14" s="14" customFormat="1" outlineLevel="1">
      <c r="A166" s="14" t="s">
        <v>128</v>
      </c>
      <c r="C166" s="14">
        <f>B86</f>
        <v>26.736999999999998</v>
      </c>
      <c r="D166" s="14">
        <f>C169</f>
        <v>79.459000000000003</v>
      </c>
      <c r="E166" s="14">
        <f t="shared" ref="E166:N166" si="88">D169</f>
        <v>118.48861331125606</v>
      </c>
      <c r="F166" s="14">
        <f t="shared" si="88"/>
        <v>159.75582393597443</v>
      </c>
      <c r="G166" s="14">
        <f t="shared" si="88"/>
        <v>203.66461327539128</v>
      </c>
      <c r="H166" s="14">
        <f t="shared" si="88"/>
        <v>250.32521971973762</v>
      </c>
      <c r="I166" s="14">
        <f t="shared" si="88"/>
        <v>299.84651329512116</v>
      </c>
      <c r="J166" s="14">
        <f t="shared" si="88"/>
        <v>351.47527365382916</v>
      </c>
      <c r="K166" s="14">
        <f t="shared" si="88"/>
        <v>405.51448207189122</v>
      </c>
      <c r="L166" s="14">
        <f t="shared" si="88"/>
        <v>462.27362815103248</v>
      </c>
      <c r="M166" s="14">
        <f t="shared" si="88"/>
        <v>522.06903195710163</v>
      </c>
      <c r="N166" s="14">
        <f t="shared" si="88"/>
        <v>585.0491823637559</v>
      </c>
    </row>
    <row r="167" spans="1:14" s="14" customFormat="1" outlineLevel="1">
      <c r="A167" s="14" t="s">
        <v>138</v>
      </c>
      <c r="C167" s="14">
        <f t="shared" ref="C167:N167" si="89">C49</f>
        <v>77.659000000000006</v>
      </c>
      <c r="D167" s="14">
        <f t="shared" si="89"/>
        <v>55.756590444651536</v>
      </c>
      <c r="E167" s="14">
        <f t="shared" si="89"/>
        <v>58.953158035311965</v>
      </c>
      <c r="F167" s="14">
        <f t="shared" si="89"/>
        <v>62.726841913452624</v>
      </c>
      <c r="G167" s="14">
        <f t="shared" si="89"/>
        <v>66.658009206209059</v>
      </c>
      <c r="H167" s="14">
        <f t="shared" si="89"/>
        <v>70.744705107690777</v>
      </c>
      <c r="I167" s="14">
        <f t="shared" si="89"/>
        <v>73.755371941011433</v>
      </c>
      <c r="J167" s="14">
        <f t="shared" si="89"/>
        <v>77.198869168660096</v>
      </c>
      <c r="K167" s="14">
        <f t="shared" si="89"/>
        <v>81.084494398773245</v>
      </c>
      <c r="L167" s="14">
        <f t="shared" si="89"/>
        <v>85.422005437241594</v>
      </c>
      <c r="M167" s="14">
        <f t="shared" si="89"/>
        <v>89.971643438077493</v>
      </c>
      <c r="N167" s="14">
        <f t="shared" si="89"/>
        <v>95.244157207085976</v>
      </c>
    </row>
    <row r="168" spans="1:14" s="14" customFormat="1" outlineLevel="1">
      <c r="A168" s="14" t="s">
        <v>139</v>
      </c>
      <c r="C168" s="14">
        <f>C169-C166-C167</f>
        <v>-24.936999999999998</v>
      </c>
      <c r="D168" s="14">
        <f t="shared" ref="D168:N168" si="90">-D167*D23</f>
        <v>-16.726977133395462</v>
      </c>
      <c r="E168" s="14">
        <f t="shared" si="90"/>
        <v>-17.685947410593588</v>
      </c>
      <c r="F168" s="14">
        <f t="shared" si="90"/>
        <v>-18.818052574035786</v>
      </c>
      <c r="G168" s="14">
        <f t="shared" si="90"/>
        <v>-19.997402761862716</v>
      </c>
      <c r="H168" s="14">
        <f t="shared" si="90"/>
        <v>-21.223411532307232</v>
      </c>
      <c r="I168" s="14">
        <f t="shared" si="90"/>
        <v>-22.126611582303429</v>
      </c>
      <c r="J168" s="14">
        <f t="shared" si="90"/>
        <v>-23.159660750598029</v>
      </c>
      <c r="K168" s="14">
        <f t="shared" si="90"/>
        <v>-24.325348319631974</v>
      </c>
      <c r="L168" s="14">
        <f t="shared" si="90"/>
        <v>-25.626601631172477</v>
      </c>
      <c r="M168" s="14">
        <f t="shared" si="90"/>
        <v>-26.991493031423246</v>
      </c>
      <c r="N168" s="14">
        <f t="shared" si="90"/>
        <v>-28.573247162125792</v>
      </c>
    </row>
    <row r="169" spans="1:14" s="29" customFormat="1" outlineLevel="1">
      <c r="A169" s="29" t="s">
        <v>127</v>
      </c>
      <c r="C169" s="29">
        <f>C86</f>
        <v>79.459000000000003</v>
      </c>
      <c r="D169" s="29">
        <f>SUM(D166:D168)</f>
        <v>118.48861331125606</v>
      </c>
      <c r="E169" s="29">
        <f t="shared" ref="E169:N169" si="91">SUM(E166:E168)</f>
        <v>159.75582393597443</v>
      </c>
      <c r="F169" s="29">
        <f t="shared" si="91"/>
        <v>203.66461327539128</v>
      </c>
      <c r="G169" s="29">
        <f t="shared" si="91"/>
        <v>250.32521971973762</v>
      </c>
      <c r="H169" s="29">
        <f t="shared" si="91"/>
        <v>299.84651329512116</v>
      </c>
      <c r="I169" s="29">
        <f t="shared" si="91"/>
        <v>351.47527365382916</v>
      </c>
      <c r="J169" s="29">
        <f t="shared" si="91"/>
        <v>405.51448207189122</v>
      </c>
      <c r="K169" s="29">
        <f t="shared" si="91"/>
        <v>462.27362815103248</v>
      </c>
      <c r="L169" s="29">
        <f t="shared" si="91"/>
        <v>522.06903195710163</v>
      </c>
      <c r="M169" s="29">
        <f t="shared" si="91"/>
        <v>585.0491823637559</v>
      </c>
      <c r="N169" s="29">
        <f t="shared" si="91"/>
        <v>651.72009240871614</v>
      </c>
    </row>
    <row r="170" spans="1:14" s="14" customFormat="1"/>
    <row r="171" spans="1:14" s="14" customFormat="1"/>
    <row r="172" spans="1:14" s="14" customFormat="1"/>
    <row r="173" spans="1:14" s="14" customFormat="1"/>
    <row r="174" spans="1:14" s="14" customFormat="1"/>
    <row r="175" spans="1:14" s="14" customFormat="1"/>
    <row r="176" spans="1:14" s="14" customFormat="1"/>
    <row r="177" s="14" customFormat="1"/>
    <row r="178" s="14" customFormat="1"/>
    <row r="179" s="14" customFormat="1"/>
    <row r="180" s="14" customFormat="1"/>
    <row r="181" s="14" customFormat="1"/>
    <row r="182" s="14" customFormat="1"/>
    <row r="183" s="14" customFormat="1"/>
    <row r="184" s="14" customFormat="1"/>
    <row r="185" s="14" customFormat="1"/>
    <row r="186" s="14" customFormat="1"/>
    <row r="187" s="14" customFormat="1"/>
    <row r="188" s="14" customFormat="1"/>
    <row r="189" s="14" customFormat="1"/>
    <row r="190" s="14" customFormat="1"/>
    <row r="191" s="14" customFormat="1"/>
    <row r="192" s="14" customFormat="1"/>
    <row r="193" s="14" customFormat="1"/>
    <row r="194" s="14" customFormat="1"/>
    <row r="195" s="14" customFormat="1"/>
    <row r="196" s="14" customFormat="1"/>
    <row r="197" s="14" customFormat="1"/>
    <row r="198" s="14" customFormat="1"/>
    <row r="199" s="14" customFormat="1"/>
    <row r="200" s="14" customFormat="1"/>
    <row r="201" s="14" customFormat="1"/>
    <row r="202" s="14" customFormat="1"/>
    <row r="203" s="14" customFormat="1"/>
    <row r="204" s="14" customFormat="1"/>
    <row r="205" s="14" customFormat="1"/>
    <row r="206" s="14" customFormat="1"/>
    <row r="207" s="14" customFormat="1"/>
    <row r="208" s="14" customFormat="1"/>
    <row r="209" s="14" customFormat="1"/>
    <row r="210" s="14" customFormat="1"/>
    <row r="211" s="14" customFormat="1"/>
    <row r="212" s="14" customFormat="1"/>
    <row r="213" s="14" customFormat="1"/>
    <row r="214" s="14" customFormat="1"/>
    <row r="215" s="14" customFormat="1"/>
    <row r="216" s="14" customFormat="1"/>
    <row r="217" s="14" customFormat="1"/>
    <row r="218" s="14" customFormat="1"/>
    <row r="219" s="14" customFormat="1"/>
    <row r="220" s="14" customFormat="1"/>
    <row r="221" s="14" customFormat="1"/>
    <row r="222" s="14" customFormat="1"/>
    <row r="223" s="14" customFormat="1"/>
    <row r="224" s="14" customForma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2E94-995A-494A-8772-5F67923B4C78}">
  <dimension ref="A1:N13"/>
  <sheetViews>
    <sheetView workbookViewId="0">
      <selection activeCell="C12" sqref="C12"/>
    </sheetView>
  </sheetViews>
  <sheetFormatPr defaultRowHeight="15.75"/>
  <cols>
    <col min="1" max="1" width="30.125" bestFit="1" customWidth="1"/>
  </cols>
  <sheetData>
    <row r="1" spans="1:14">
      <c r="A1" s="59"/>
      <c r="B1" s="33" t="s">
        <v>260</v>
      </c>
      <c r="C1" s="33"/>
      <c r="D1" s="33" t="s">
        <v>259</v>
      </c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>
      <c r="A2" s="59"/>
      <c r="B2" s="33" t="s">
        <v>261</v>
      </c>
      <c r="C2" s="33" t="s">
        <v>261</v>
      </c>
      <c r="D2" s="33" t="s">
        <v>261</v>
      </c>
      <c r="E2" s="33" t="s">
        <v>261</v>
      </c>
      <c r="F2" s="33" t="s">
        <v>261</v>
      </c>
      <c r="G2" s="33" t="s">
        <v>261</v>
      </c>
      <c r="H2" s="33" t="s">
        <v>261</v>
      </c>
      <c r="I2" s="33" t="s">
        <v>261</v>
      </c>
      <c r="J2" s="33" t="s">
        <v>261</v>
      </c>
      <c r="K2" s="33" t="s">
        <v>261</v>
      </c>
      <c r="L2" s="33" t="s">
        <v>261</v>
      </c>
      <c r="M2" s="33" t="s">
        <v>261</v>
      </c>
      <c r="N2" s="33" t="s">
        <v>261</v>
      </c>
    </row>
    <row r="3" spans="1:14" ht="16.5" thickBot="1">
      <c r="A3" s="59"/>
      <c r="B3" s="34">
        <v>2021</v>
      </c>
      <c r="C3" s="34">
        <v>2022</v>
      </c>
      <c r="D3" s="34">
        <v>2023</v>
      </c>
      <c r="E3" s="34">
        <v>2024</v>
      </c>
      <c r="F3" s="34">
        <v>2025</v>
      </c>
      <c r="G3" s="34">
        <v>2026</v>
      </c>
      <c r="H3" s="34">
        <v>2027</v>
      </c>
      <c r="I3" s="34">
        <v>2028</v>
      </c>
      <c r="J3" s="34">
        <v>2029</v>
      </c>
      <c r="K3" s="34">
        <v>2030</v>
      </c>
      <c r="L3" s="34">
        <v>2031</v>
      </c>
      <c r="M3" s="34">
        <v>2032</v>
      </c>
      <c r="N3" s="34">
        <v>2033</v>
      </c>
    </row>
    <row r="4" spans="1:14">
      <c r="A4" s="74" t="s">
        <v>8</v>
      </c>
      <c r="B4" s="73">
        <v>22.289000000000001</v>
      </c>
      <c r="C4" s="72">
        <v>46.668000000000006</v>
      </c>
      <c r="D4" s="68">
        <v>58.359290444651535</v>
      </c>
      <c r="E4" s="62">
        <v>61.473158035311968</v>
      </c>
      <c r="F4" s="62">
        <v>64.736841913452622</v>
      </c>
      <c r="G4" s="62">
        <v>68.158009206209059</v>
      </c>
      <c r="H4" s="62">
        <v>71.744705107690777</v>
      </c>
      <c r="I4" s="62">
        <v>75.505371941011433</v>
      </c>
      <c r="J4" s="62">
        <v>79.448869168660096</v>
      </c>
      <c r="K4" s="62">
        <v>83.584494398773245</v>
      </c>
      <c r="L4" s="62">
        <v>87.922005437241594</v>
      </c>
      <c r="M4" s="62">
        <v>92.471643438077493</v>
      </c>
      <c r="N4" s="63">
        <v>97.244157207085976</v>
      </c>
    </row>
    <row r="5" spans="1:14" s="10" customFormat="1">
      <c r="A5" s="75" t="s">
        <v>21</v>
      </c>
      <c r="B5" s="69">
        <v>91.78</v>
      </c>
      <c r="C5" s="64">
        <v>34.419999999999995</v>
      </c>
      <c r="D5" s="69">
        <v>69.898985264254463</v>
      </c>
      <c r="E5" s="60">
        <v>106.09653768338131</v>
      </c>
      <c r="F5" s="60">
        <v>144.35065856337431</v>
      </c>
      <c r="G5" s="60">
        <v>184.87383660207959</v>
      </c>
      <c r="H5" s="60">
        <v>252.68712462399125</v>
      </c>
      <c r="I5" s="60">
        <v>318.28941959583153</v>
      </c>
      <c r="J5" s="60">
        <v>381.73575658863206</v>
      </c>
      <c r="K5" s="60">
        <v>443.08761738526937</v>
      </c>
      <c r="L5" s="60">
        <v>507.41325446730986</v>
      </c>
      <c r="M5" s="60">
        <v>564.86303115165629</v>
      </c>
      <c r="N5" s="64">
        <v>625.44477868597789</v>
      </c>
    </row>
    <row r="6" spans="1:14">
      <c r="A6" s="75" t="s">
        <v>22</v>
      </c>
      <c r="B6" s="69">
        <v>179.58199999999999</v>
      </c>
      <c r="C6" s="64">
        <v>128.078</v>
      </c>
      <c r="D6" s="69">
        <v>153.24371174453611</v>
      </c>
      <c r="E6" s="60">
        <v>186.94092236925451</v>
      </c>
      <c r="F6" s="60">
        <v>222.76971170867131</v>
      </c>
      <c r="G6" s="60">
        <v>260.9403181530177</v>
      </c>
      <c r="H6" s="60">
        <v>326.47161172840123</v>
      </c>
      <c r="I6" s="60">
        <v>389.86037208710917</v>
      </c>
      <c r="J6" s="60">
        <v>451.15958050517133</v>
      </c>
      <c r="K6" s="60">
        <v>510.42872658431247</v>
      </c>
      <c r="L6" s="60">
        <v>572.73413039038167</v>
      </c>
      <c r="M6" s="60">
        <v>628.22428079703593</v>
      </c>
      <c r="N6" s="64">
        <v>686.90519084199616</v>
      </c>
    </row>
    <row r="7" spans="1:14">
      <c r="A7" s="75" t="s">
        <v>146</v>
      </c>
      <c r="B7" s="70">
        <f>B4/B5</f>
        <v>0.24285247330573112</v>
      </c>
      <c r="C7" s="65">
        <f>C4/C5</f>
        <v>1.3558396281231846</v>
      </c>
      <c r="D7" s="70">
        <f t="shared" ref="D7:N7" si="0">D4/D5</f>
        <v>0.83490897935103225</v>
      </c>
      <c r="E7" s="61">
        <f t="shared" si="0"/>
        <v>0.57940776746893752</v>
      </c>
      <c r="F7" s="61">
        <f t="shared" si="0"/>
        <v>0.44846932156552088</v>
      </c>
      <c r="G7" s="61">
        <f t="shared" si="0"/>
        <v>0.36867309327772324</v>
      </c>
      <c r="H7" s="61">
        <f t="shared" si="0"/>
        <v>0.28392703116334012</v>
      </c>
      <c r="I7" s="61">
        <f t="shared" si="0"/>
        <v>0.23722237464534396</v>
      </c>
      <c r="J7" s="61">
        <f t="shared" si="0"/>
        <v>0.20812530080664193</v>
      </c>
      <c r="K7" s="61">
        <f t="shared" si="0"/>
        <v>0.18864100714892162</v>
      </c>
      <c r="L7" s="61">
        <f t="shared" si="0"/>
        <v>0.17327494830528906</v>
      </c>
      <c r="M7" s="61">
        <f t="shared" si="0"/>
        <v>0.16370631168682448</v>
      </c>
      <c r="N7" s="65">
        <f t="shared" si="0"/>
        <v>0.15548000482375141</v>
      </c>
    </row>
    <row r="8" spans="1:14" ht="16.5" thickBot="1">
      <c r="A8" s="76" t="s">
        <v>147</v>
      </c>
      <c r="B8" s="71">
        <f>B4/B6</f>
        <v>0.12411600271742158</v>
      </c>
      <c r="C8" s="67">
        <f>C4/C6</f>
        <v>0.36437171098861637</v>
      </c>
      <c r="D8" s="71">
        <f t="shared" ref="D8:N8" si="1">D4/D6</f>
        <v>0.38082665696546814</v>
      </c>
      <c r="E8" s="66">
        <f t="shared" si="1"/>
        <v>0.32883735276478038</v>
      </c>
      <c r="F8" s="66">
        <f t="shared" si="1"/>
        <v>0.29059983701066461</v>
      </c>
      <c r="G8" s="66">
        <f t="shared" si="1"/>
        <v>0.26120152565400262</v>
      </c>
      <c r="H8" s="66">
        <f t="shared" si="1"/>
        <v>0.21975786723954652</v>
      </c>
      <c r="I8" s="66">
        <f t="shared" si="1"/>
        <v>0.19367285660964986</v>
      </c>
      <c r="J8" s="66">
        <f t="shared" si="1"/>
        <v>0.17609926199439185</v>
      </c>
      <c r="K8" s="66">
        <f t="shared" si="1"/>
        <v>0.16375350767991462</v>
      </c>
      <c r="L8" s="66">
        <f t="shared" si="1"/>
        <v>0.15351277455267598</v>
      </c>
      <c r="M8" s="66">
        <f t="shared" si="1"/>
        <v>0.14719527128234772</v>
      </c>
      <c r="N8" s="67">
        <f t="shared" si="1"/>
        <v>0.14156852867553063</v>
      </c>
    </row>
    <row r="13" spans="1:14">
      <c r="A13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5BC8-4B90-4DC4-92FB-37FB4986F8AB}">
  <dimension ref="A1:D6"/>
  <sheetViews>
    <sheetView workbookViewId="0">
      <selection activeCell="B7" sqref="B7"/>
    </sheetView>
  </sheetViews>
  <sheetFormatPr defaultRowHeight="15.75"/>
  <cols>
    <col min="1" max="1" width="18.5" customWidth="1"/>
  </cols>
  <sheetData>
    <row r="1" spans="1:4">
      <c r="A1" s="20"/>
      <c r="B1" s="21">
        <v>2022</v>
      </c>
      <c r="C1" s="21">
        <v>2021</v>
      </c>
      <c r="D1" s="21" t="s">
        <v>152</v>
      </c>
    </row>
    <row r="2" spans="1:4">
      <c r="A2" s="36" t="s">
        <v>1</v>
      </c>
      <c r="B2" s="45">
        <v>145.14400000000001</v>
      </c>
      <c r="C2" s="45">
        <v>127.747</v>
      </c>
      <c r="D2" s="77">
        <f>(B2-C2)/C2</f>
        <v>0.13618323717973813</v>
      </c>
    </row>
    <row r="3" spans="1:4">
      <c r="A3" s="20" t="s">
        <v>148</v>
      </c>
      <c r="B3" s="45">
        <v>47.668000000000006</v>
      </c>
      <c r="C3" s="45">
        <v>22.289000000000001</v>
      </c>
      <c r="D3" s="77">
        <f>(B3-C3)/C3</f>
        <v>1.1386334066131276</v>
      </c>
    </row>
    <row r="4" spans="1:4">
      <c r="A4" s="20" t="s">
        <v>151</v>
      </c>
      <c r="B4" s="47">
        <v>179.58199999999999</v>
      </c>
      <c r="C4" s="47">
        <v>128.078</v>
      </c>
      <c r="D4" s="77">
        <f>(B4-C4)/C4</f>
        <v>0.40212995206046309</v>
      </c>
    </row>
    <row r="5" spans="1:4">
      <c r="A5" s="21" t="s">
        <v>149</v>
      </c>
      <c r="B5" s="78">
        <f>B3/B2</f>
        <v>0.32841867386870971</v>
      </c>
      <c r="C5" s="78">
        <f>C3/C2</f>
        <v>0.17447767853648227</v>
      </c>
      <c r="D5" s="78">
        <f>(B5-C5)/C5</f>
        <v>0.8822962147564295</v>
      </c>
    </row>
    <row r="6" spans="1:4">
      <c r="A6" s="21" t="s">
        <v>150</v>
      </c>
      <c r="B6" s="78">
        <f>B2/B4</f>
        <v>0.8082324509137887</v>
      </c>
      <c r="C6" s="78">
        <f>C2/C4</f>
        <v>0.99741563734599226</v>
      </c>
      <c r="D6" s="78">
        <f>(B6-C6)/C6</f>
        <v>-0.1896733712092164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B734-3ADD-4C8D-A4C8-2199D999ABBA}">
  <dimension ref="A1:C12"/>
  <sheetViews>
    <sheetView workbookViewId="0">
      <selection activeCell="A7" sqref="A7:B7"/>
    </sheetView>
  </sheetViews>
  <sheetFormatPr defaultRowHeight="15.75"/>
  <cols>
    <col min="1" max="1" width="15.875" style="1" customWidth="1"/>
    <col min="2" max="2" width="20.25" style="1" customWidth="1"/>
    <col min="3" max="16384" width="9" style="1"/>
  </cols>
  <sheetData>
    <row r="1" spans="1:3">
      <c r="A1" s="163" t="s">
        <v>153</v>
      </c>
      <c r="B1" s="163">
        <v>2022</v>
      </c>
      <c r="C1" s="163">
        <v>2021</v>
      </c>
    </row>
    <row r="2" spans="1:3">
      <c r="A2" s="55" t="s">
        <v>148</v>
      </c>
      <c r="B2" s="46">
        <v>47.668000000000006</v>
      </c>
      <c r="C2" s="46">
        <v>22.289000000000001</v>
      </c>
    </row>
    <row r="3" spans="1:3">
      <c r="A3" s="55" t="s">
        <v>154</v>
      </c>
      <c r="B3" s="45">
        <v>1.913</v>
      </c>
      <c r="C3" s="55">
        <v>1.159</v>
      </c>
    </row>
    <row r="4" spans="1:3">
      <c r="A4" s="55" t="s">
        <v>155</v>
      </c>
      <c r="B4" s="79">
        <f>B2/B3</f>
        <v>24.917929952953479</v>
      </c>
      <c r="C4" s="79">
        <f>C2/C3</f>
        <v>19.23123382226057</v>
      </c>
    </row>
    <row r="7" spans="1:3">
      <c r="A7" s="163" t="s">
        <v>156</v>
      </c>
      <c r="B7" s="163">
        <v>2022</v>
      </c>
    </row>
    <row r="8" spans="1:3">
      <c r="A8" s="55" t="s">
        <v>157</v>
      </c>
      <c r="B8" s="77">
        <v>0.36437171098861637</v>
      </c>
    </row>
    <row r="9" spans="1:3">
      <c r="A9" s="55" t="s">
        <v>158</v>
      </c>
      <c r="B9" s="80">
        <v>3.7600000000000001E-2</v>
      </c>
    </row>
    <row r="10" spans="1:3">
      <c r="A10" s="55" t="s">
        <v>159</v>
      </c>
      <c r="B10" s="48">
        <v>56.5</v>
      </c>
    </row>
    <row r="11" spans="1:3">
      <c r="A11" s="55" t="s">
        <v>26</v>
      </c>
      <c r="B11" s="48">
        <v>83.25800000000001</v>
      </c>
    </row>
    <row r="12" spans="1:3">
      <c r="A12" s="55" t="s">
        <v>160</v>
      </c>
      <c r="B12" s="77">
        <f>B8+(B8-(1-19%)*B9*(B10/B11))</f>
        <v>0.7080755702392616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F873-C045-46ED-AAB7-5A8B9D4B894A}">
  <dimension ref="A1:G37"/>
  <sheetViews>
    <sheetView topLeftCell="A17" workbookViewId="0">
      <selection activeCell="A31" sqref="A31:E37"/>
    </sheetView>
  </sheetViews>
  <sheetFormatPr defaultRowHeight="15.75"/>
  <cols>
    <col min="1" max="1" width="45.125" style="1" bestFit="1" customWidth="1"/>
    <col min="2" max="2" width="11.375" style="1" bestFit="1" customWidth="1"/>
    <col min="3" max="3" width="9.25" style="1" bestFit="1" customWidth="1"/>
    <col min="4" max="4" width="12.125" style="1" bestFit="1" customWidth="1"/>
    <col min="5" max="5" width="11" style="1" bestFit="1" customWidth="1"/>
    <col min="6" max="16384" width="9" style="1"/>
  </cols>
  <sheetData>
    <row r="1" spans="1:4">
      <c r="A1" s="81" t="s">
        <v>161</v>
      </c>
      <c r="B1" s="82">
        <v>0.14380000000000001</v>
      </c>
    </row>
    <row r="2" spans="1:4">
      <c r="A2" s="83" t="s">
        <v>162</v>
      </c>
      <c r="B2" s="84">
        <v>3.6400000000000002E-2</v>
      </c>
    </row>
    <row r="3" spans="1:4">
      <c r="A3" s="83" t="s">
        <v>163</v>
      </c>
      <c r="B3" s="84">
        <f>B1-B2</f>
        <v>0.10740000000000001</v>
      </c>
    </row>
    <row r="4" spans="1:4">
      <c r="A4" s="83"/>
      <c r="B4" s="85"/>
    </row>
    <row r="5" spans="1:4">
      <c r="A5" s="83" t="s">
        <v>164</v>
      </c>
      <c r="B5" s="85">
        <v>2022</v>
      </c>
    </row>
    <row r="6" spans="1:4">
      <c r="A6" s="83" t="s">
        <v>165</v>
      </c>
      <c r="B6" s="84">
        <v>3.6400000000000002E-2</v>
      </c>
    </row>
    <row r="7" spans="1:4">
      <c r="A7" s="83" t="s">
        <v>166</v>
      </c>
      <c r="B7" s="84">
        <f>B3</f>
        <v>0.10740000000000001</v>
      </c>
    </row>
    <row r="8" spans="1:4">
      <c r="A8" s="83" t="s">
        <v>167</v>
      </c>
      <c r="B8" s="86">
        <v>0.23675521193605001</v>
      </c>
    </row>
    <row r="9" spans="1:4" ht="16.5" thickBot="1">
      <c r="A9" s="87" t="s">
        <v>168</v>
      </c>
      <c r="B9" s="88">
        <f>B6+(B8*B7)</f>
        <v>6.182750976193177E-2</v>
      </c>
      <c r="D9" s="1">
        <f>232133/1000</f>
        <v>232.13300000000001</v>
      </c>
    </row>
    <row r="10" spans="1:4">
      <c r="D10" s="1">
        <f>148875/1000</f>
        <v>148.875</v>
      </c>
    </row>
    <row r="11" spans="1:4" ht="16.5" thickBot="1">
      <c r="A11" s="168" t="s">
        <v>169</v>
      </c>
      <c r="B11" s="168"/>
    </row>
    <row r="12" spans="1:4">
      <c r="A12" s="83" t="s">
        <v>170</v>
      </c>
      <c r="B12" s="85"/>
    </row>
    <row r="13" spans="1:4">
      <c r="A13" s="83" t="s">
        <v>171</v>
      </c>
      <c r="B13" s="85">
        <v>2022</v>
      </c>
    </row>
    <row r="14" spans="1:4">
      <c r="A14" s="83" t="s">
        <v>172</v>
      </c>
      <c r="B14" s="89">
        <f>'Forecast model'!C58/232.133</f>
        <v>3.545812099098359E-2</v>
      </c>
    </row>
    <row r="15" spans="1:4">
      <c r="A15" s="83" t="s">
        <v>173</v>
      </c>
      <c r="B15" s="89">
        <f>'Forecast model'!C85/232.133</f>
        <v>0.34229945763850894</v>
      </c>
    </row>
    <row r="16" spans="1:4">
      <c r="A16" s="83" t="s">
        <v>174</v>
      </c>
      <c r="B16" s="89">
        <f>'Forecast model'!C34/232.133</f>
        <v>0.2053477963064278</v>
      </c>
    </row>
    <row r="17" spans="1:5">
      <c r="A17" s="83" t="s">
        <v>175</v>
      </c>
      <c r="B17" s="89">
        <f>343.181/148.875</f>
        <v>2.3051620486985724</v>
      </c>
    </row>
    <row r="18" spans="1:5">
      <c r="A18" s="83" t="s">
        <v>176</v>
      </c>
      <c r="B18" s="89">
        <f>'Forecast model'!C28/232.133</f>
        <v>0.62526224190442548</v>
      </c>
    </row>
    <row r="19" spans="1:5" ht="16.5" thickBot="1">
      <c r="A19" s="90" t="s">
        <v>177</v>
      </c>
      <c r="B19" s="91">
        <f>1.2*(B14)+1.4*(B15)+3.39*(B16)+0.6*(B17)+1*(B18)</f>
        <v>3.2262574864854523</v>
      </c>
    </row>
    <row r="20" spans="1:5">
      <c r="B20" s="92"/>
    </row>
    <row r="23" spans="1:5">
      <c r="A23" s="49" t="s">
        <v>178</v>
      </c>
      <c r="B23" s="49" t="s">
        <v>217</v>
      </c>
    </row>
    <row r="24" spans="1:5">
      <c r="A24" s="148" t="s">
        <v>165</v>
      </c>
      <c r="B24" s="149">
        <v>3.64</v>
      </c>
    </row>
    <row r="25" spans="1:5">
      <c r="A25" s="148" t="s">
        <v>179</v>
      </c>
      <c r="B25" s="148">
        <v>0.9</v>
      </c>
    </row>
    <row r="26" spans="1:5">
      <c r="A26" s="148" t="s">
        <v>180</v>
      </c>
      <c r="B26" s="150">
        <v>4.6399999999999997E-2</v>
      </c>
    </row>
    <row r="27" spans="1:5">
      <c r="A27" s="148" t="s">
        <v>181</v>
      </c>
      <c r="B27" s="151">
        <v>0.19</v>
      </c>
    </row>
    <row r="28" spans="1:5">
      <c r="A28" s="148" t="s">
        <v>158</v>
      </c>
      <c r="B28" s="152">
        <f>B26*(1-B27)</f>
        <v>3.7583999999999999E-2</v>
      </c>
    </row>
    <row r="31" spans="1:5" ht="16.5" thickBot="1">
      <c r="A31" s="168" t="s">
        <v>182</v>
      </c>
      <c r="B31" s="168" t="s">
        <v>185</v>
      </c>
      <c r="C31" s="168" t="s">
        <v>186</v>
      </c>
      <c r="D31" s="168" t="s">
        <v>164</v>
      </c>
      <c r="E31" s="168" t="s">
        <v>169</v>
      </c>
    </row>
    <row r="32" spans="1:5">
      <c r="A32" s="83" t="s">
        <v>26</v>
      </c>
      <c r="B32" s="55">
        <v>343.18099999999998</v>
      </c>
      <c r="C32" s="77">
        <f>B32/B34</f>
        <v>0.86943997567865428</v>
      </c>
      <c r="D32" s="80">
        <v>6.1800000000000001E-2</v>
      </c>
      <c r="E32" s="84"/>
    </row>
    <row r="33" spans="1:7">
      <c r="A33" s="83" t="s">
        <v>25</v>
      </c>
      <c r="B33" s="55">
        <v>51.533999999999999</v>
      </c>
      <c r="C33" s="77">
        <f>B33/B34</f>
        <v>0.13056002432134578</v>
      </c>
      <c r="D33" s="80"/>
      <c r="E33" s="84">
        <v>3.7600000000000001E-2</v>
      </c>
    </row>
    <row r="34" spans="1:7">
      <c r="A34" s="83" t="s">
        <v>183</v>
      </c>
      <c r="B34" s="55">
        <f>B33+B32</f>
        <v>394.71499999999997</v>
      </c>
      <c r="C34" s="94">
        <v>1</v>
      </c>
      <c r="D34" s="55"/>
      <c r="E34" s="85"/>
      <c r="G34" s="3"/>
    </row>
    <row r="35" spans="1:7">
      <c r="A35" s="83"/>
      <c r="B35" s="55"/>
      <c r="C35" s="55"/>
      <c r="D35" s="55"/>
      <c r="E35" s="85"/>
    </row>
    <row r="36" spans="1:7">
      <c r="A36" s="83" t="s">
        <v>184</v>
      </c>
      <c r="B36" s="80">
        <f>(C32*D32)+(C33*E33*(1-B27))</f>
        <v>5.7707726597671739E-2</v>
      </c>
      <c r="C36" s="55"/>
      <c r="D36" s="55"/>
      <c r="E36" s="85"/>
    </row>
    <row r="37" spans="1:7" ht="16.5" thickBot="1">
      <c r="A37" s="90" t="s">
        <v>157</v>
      </c>
      <c r="B37" s="95">
        <f>ROIC!C8</f>
        <v>0.36437171098861637</v>
      </c>
      <c r="C37" s="96"/>
      <c r="D37" s="96"/>
      <c r="E37" s="9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5051-706C-4299-B639-4A941F7A2479}">
  <dimension ref="A1:C11"/>
  <sheetViews>
    <sheetView workbookViewId="0">
      <selection sqref="A1:C1"/>
    </sheetView>
  </sheetViews>
  <sheetFormatPr defaultRowHeight="15.75"/>
  <cols>
    <col min="1" max="1" width="23.25" style="11" customWidth="1"/>
    <col min="2" max="16384" width="9" style="11"/>
  </cols>
  <sheetData>
    <row r="1" spans="1:3">
      <c r="A1" s="169" t="s">
        <v>189</v>
      </c>
      <c r="B1" s="170">
        <v>2022</v>
      </c>
      <c r="C1" s="171">
        <v>2023</v>
      </c>
    </row>
    <row r="2" spans="1:3">
      <c r="A2" s="99" t="s">
        <v>6</v>
      </c>
      <c r="B2" s="45">
        <v>47.668000000000006</v>
      </c>
      <c r="C2" s="100">
        <v>61.430832047001616</v>
      </c>
    </row>
    <row r="3" spans="1:3">
      <c r="A3" s="99" t="s">
        <v>193</v>
      </c>
      <c r="B3" s="98">
        <v>0.05</v>
      </c>
      <c r="C3" s="101">
        <v>0.05</v>
      </c>
    </row>
    <row r="4" spans="1:3" s="51" customFormat="1" ht="16.5" thickBot="1">
      <c r="A4" s="102" t="s">
        <v>189</v>
      </c>
      <c r="B4" s="108">
        <f>B3*B2</f>
        <v>2.3834000000000004</v>
      </c>
      <c r="C4" s="109">
        <f>C3*C2</f>
        <v>3.0715416023500808</v>
      </c>
    </row>
    <row r="5" spans="1:3" ht="16.5" thickBot="1"/>
    <row r="6" spans="1:3">
      <c r="A6" s="169" t="s">
        <v>190</v>
      </c>
      <c r="B6" s="170"/>
      <c r="C6" s="171"/>
    </row>
    <row r="7" spans="1:3">
      <c r="A7" s="99" t="s">
        <v>12</v>
      </c>
      <c r="B7" s="45">
        <v>1.2999999999999999E-2</v>
      </c>
      <c r="C7" s="100">
        <v>0</v>
      </c>
    </row>
    <row r="8" spans="1:3">
      <c r="A8" s="99" t="s">
        <v>117</v>
      </c>
      <c r="B8" s="45">
        <v>-1.6670376996805101</v>
      </c>
      <c r="C8" s="100">
        <v>-2.6027</v>
      </c>
    </row>
    <row r="9" spans="1:3">
      <c r="A9" s="99" t="s">
        <v>192</v>
      </c>
      <c r="B9" s="45">
        <v>-1.6670376996805101</v>
      </c>
      <c r="C9" s="100">
        <v>-2.6027</v>
      </c>
    </row>
    <row r="10" spans="1:3">
      <c r="A10" s="110" t="s">
        <v>191</v>
      </c>
      <c r="B10" s="111">
        <v>0.19</v>
      </c>
      <c r="C10" s="112">
        <v>0.19</v>
      </c>
    </row>
    <row r="11" spans="1:3" s="51" customFormat="1" ht="16.5" thickBot="1">
      <c r="A11" s="102" t="s">
        <v>190</v>
      </c>
      <c r="B11" s="108">
        <f>B10*B9</f>
        <v>-0.31673716293929693</v>
      </c>
      <c r="C11" s="109">
        <f>C10*C9</f>
        <v>-0.49451300000000004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EC40-07D4-41CA-9E9A-684FFB473ABD}">
  <dimension ref="A1:D20"/>
  <sheetViews>
    <sheetView workbookViewId="0">
      <selection activeCell="A14" sqref="A14:C14"/>
    </sheetView>
  </sheetViews>
  <sheetFormatPr defaultRowHeight="15.75"/>
  <cols>
    <col min="1" max="1" width="19.25" style="11" bestFit="1" customWidth="1"/>
    <col min="2" max="2" width="9" style="11"/>
    <col min="3" max="3" width="14.125" style="11" customWidth="1"/>
    <col min="4" max="4" width="14.875" style="11" bestFit="1" customWidth="1"/>
    <col min="5" max="16384" width="9" style="11"/>
  </cols>
  <sheetData>
    <row r="1" spans="1:4">
      <c r="A1" s="160"/>
      <c r="B1" s="170">
        <v>2022</v>
      </c>
      <c r="C1" s="172" t="s">
        <v>187</v>
      </c>
      <c r="D1" s="171" t="s">
        <v>194</v>
      </c>
    </row>
    <row r="2" spans="1:4">
      <c r="A2" s="99" t="s">
        <v>1</v>
      </c>
      <c r="B2" s="45">
        <v>145.14400000000001</v>
      </c>
      <c r="C2" s="45">
        <v>152.40120000000002</v>
      </c>
      <c r="D2" s="100">
        <v>248.24549579443436</v>
      </c>
    </row>
    <row r="3" spans="1:4">
      <c r="A3" s="99" t="s">
        <v>11</v>
      </c>
      <c r="B3" s="45">
        <v>-48.725000000000001</v>
      </c>
      <c r="C3" s="45">
        <v>-45.720360000000007</v>
      </c>
      <c r="D3" s="100">
        <v>-74.473648738330311</v>
      </c>
    </row>
    <row r="4" spans="1:4" s="51" customFormat="1">
      <c r="A4" s="103" t="s">
        <v>2</v>
      </c>
      <c r="B4" s="46">
        <v>96.419000000000011</v>
      </c>
      <c r="C4" s="46">
        <v>106.68084000000002</v>
      </c>
      <c r="D4" s="104">
        <v>173.77184705610404</v>
      </c>
    </row>
    <row r="5" spans="1:4">
      <c r="A5" s="99" t="s">
        <v>3</v>
      </c>
      <c r="B5" s="45">
        <v>-4.2210000000000001</v>
      </c>
      <c r="C5" s="45">
        <v>-4.5720360000000007</v>
      </c>
      <c r="D5" s="100">
        <v>-7.4473648738330303</v>
      </c>
    </row>
    <row r="6" spans="1:4">
      <c r="A6" s="99" t="s">
        <v>4</v>
      </c>
      <c r="B6" s="45">
        <v>-3.4049999999999998</v>
      </c>
      <c r="C6" s="45">
        <v>-2.5776719529984016</v>
      </c>
      <c r="D6" s="100">
        <v>-1.9008374893613906</v>
      </c>
    </row>
    <row r="7" spans="1:4">
      <c r="A7" s="99" t="s">
        <v>5</v>
      </c>
      <c r="B7" s="45">
        <v>-41.125</v>
      </c>
      <c r="C7" s="45">
        <v>-38.100300000000004</v>
      </c>
      <c r="D7" s="100">
        <v>-62.06137394860859</v>
      </c>
    </row>
    <row r="8" spans="1:4" s="51" customFormat="1">
      <c r="A8" s="103" t="s">
        <v>6</v>
      </c>
      <c r="B8" s="46">
        <v>47.668000000000006</v>
      </c>
      <c r="C8" s="46">
        <v>61.430832047001616</v>
      </c>
      <c r="D8" s="104">
        <v>102.36227074430103</v>
      </c>
    </row>
    <row r="9" spans="1:4">
      <c r="A9" s="99" t="s">
        <v>7</v>
      </c>
      <c r="B9" s="45">
        <v>1</v>
      </c>
      <c r="C9" s="45">
        <v>3.0715416023500808</v>
      </c>
      <c r="D9" s="100">
        <v>5.1181135372150521</v>
      </c>
    </row>
    <row r="10" spans="1:4" s="51" customFormat="1" ht="16.5" thickBot="1">
      <c r="A10" s="102" t="s">
        <v>8</v>
      </c>
      <c r="B10" s="105">
        <v>46.668000000000006</v>
      </c>
      <c r="C10" s="105">
        <v>58.359290444651535</v>
      </c>
      <c r="D10" s="106">
        <v>97.244157207085976</v>
      </c>
    </row>
    <row r="14" spans="1:4">
      <c r="A14" s="35" t="s">
        <v>137</v>
      </c>
      <c r="B14" s="148" t="s">
        <v>217</v>
      </c>
      <c r="C14" s="148" t="s">
        <v>187</v>
      </c>
    </row>
    <row r="15" spans="1:4">
      <c r="A15" s="4" t="s">
        <v>128</v>
      </c>
      <c r="B15" s="4">
        <v>26.736999999999998</v>
      </c>
      <c r="C15" s="4">
        <v>79.459000000000003</v>
      </c>
    </row>
    <row r="16" spans="1:4">
      <c r="A16" s="4" t="s">
        <v>138</v>
      </c>
      <c r="B16" s="4">
        <v>77.904962300319482</v>
      </c>
      <c r="C16" s="4">
        <v>55.756590444651536</v>
      </c>
    </row>
    <row r="17" spans="1:3">
      <c r="A17" s="4" t="s">
        <v>139</v>
      </c>
      <c r="B17" s="4">
        <v>-25.182962300319474</v>
      </c>
      <c r="C17" s="4">
        <v>-16.726977133395462</v>
      </c>
    </row>
    <row r="18" spans="1:3">
      <c r="A18" s="4" t="s">
        <v>127</v>
      </c>
      <c r="B18" s="4">
        <v>79.459000000000003</v>
      </c>
      <c r="C18" s="4">
        <v>118.48861331125606</v>
      </c>
    </row>
    <row r="20" spans="1:3">
      <c r="A20" s="11" t="s">
        <v>195</v>
      </c>
      <c r="B20" s="107">
        <f>-B17/B16</f>
        <v>0.32325235205480873</v>
      </c>
      <c r="C20" s="107">
        <f>-C17/C16</f>
        <v>0.3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953C-50AC-4B7C-9200-F1D6A1B47289}">
  <dimension ref="A1:D20"/>
  <sheetViews>
    <sheetView workbookViewId="0">
      <selection sqref="A1:D1"/>
    </sheetView>
  </sheetViews>
  <sheetFormatPr defaultRowHeight="15.75"/>
  <cols>
    <col min="1" max="1" width="33.375" style="7" bestFit="1" customWidth="1"/>
    <col min="3" max="3" width="12.25" bestFit="1" customWidth="1"/>
    <col min="4" max="4" width="14.875" bestFit="1" customWidth="1"/>
  </cols>
  <sheetData>
    <row r="1" spans="1:4">
      <c r="A1" s="160"/>
      <c r="B1" s="161">
        <v>2022</v>
      </c>
      <c r="C1" s="161" t="s">
        <v>187</v>
      </c>
      <c r="D1" s="162" t="s">
        <v>196</v>
      </c>
    </row>
    <row r="2" spans="1:4">
      <c r="A2" s="99" t="s">
        <v>94</v>
      </c>
      <c r="B2" s="47">
        <v>0.33200000000000002</v>
      </c>
      <c r="C2" s="47">
        <v>0.37578378082191788</v>
      </c>
      <c r="D2" s="113">
        <v>0.61211218141093404</v>
      </c>
    </row>
    <row r="3" spans="1:4">
      <c r="A3" s="99" t="s">
        <v>95</v>
      </c>
      <c r="B3" s="47">
        <v>75.974999999999994</v>
      </c>
      <c r="C3" s="47">
        <v>62.630630136986312</v>
      </c>
      <c r="D3" s="113">
        <v>102.01869690182234</v>
      </c>
    </row>
    <row r="4" spans="1:4">
      <c r="A4" s="99" t="s">
        <v>134</v>
      </c>
      <c r="B4" s="47">
        <v>24.298999999999999</v>
      </c>
      <c r="C4" s="47">
        <v>56.649127510829807</v>
      </c>
      <c r="D4" s="113">
        <v>603.862156585859</v>
      </c>
    </row>
    <row r="5" spans="1:4">
      <c r="A5" s="103" t="s">
        <v>17</v>
      </c>
      <c r="B5" s="48">
        <v>100.60599999999999</v>
      </c>
      <c r="C5" s="48">
        <v>119.65554142863803</v>
      </c>
      <c r="D5" s="114">
        <v>706.49296566909231</v>
      </c>
    </row>
    <row r="6" spans="1:4">
      <c r="A6" s="99" t="s">
        <v>96</v>
      </c>
      <c r="B6" s="47">
        <v>92.375</v>
      </c>
      <c r="C6" s="47">
        <v>75.156756164383566</v>
      </c>
      <c r="D6" s="113">
        <v>122.42243628218682</v>
      </c>
    </row>
    <row r="7" spans="1:4">
      <c r="A7" s="103" t="s">
        <v>18</v>
      </c>
      <c r="B7" s="48">
        <v>92.375</v>
      </c>
      <c r="C7" s="48">
        <v>75.156756164383566</v>
      </c>
      <c r="D7" s="114">
        <v>122.42243628218682</v>
      </c>
    </row>
    <row r="8" spans="1:4">
      <c r="A8" s="103" t="s">
        <v>19</v>
      </c>
      <c r="B8" s="48">
        <v>8.2309999999999945</v>
      </c>
      <c r="C8" s="48">
        <v>44.498785264254465</v>
      </c>
      <c r="D8" s="114">
        <v>584.07052938690549</v>
      </c>
    </row>
    <row r="9" spans="1:4">
      <c r="A9" s="99" t="s">
        <v>97</v>
      </c>
      <c r="B9" s="47">
        <v>21.782</v>
      </c>
      <c r="C9" s="47">
        <v>25.400200000000002</v>
      </c>
      <c r="D9" s="113">
        <v>41.374249299072396</v>
      </c>
    </row>
    <row r="10" spans="1:4">
      <c r="A10" s="99" t="s">
        <v>98</v>
      </c>
      <c r="B10" s="47">
        <v>4.407</v>
      </c>
      <c r="C10" s="47"/>
      <c r="D10" s="113"/>
    </row>
    <row r="11" spans="1:4">
      <c r="A11" s="99" t="s">
        <v>99</v>
      </c>
      <c r="B11" s="52" t="s">
        <v>20</v>
      </c>
      <c r="C11" s="47"/>
      <c r="D11" s="113"/>
    </row>
    <row r="12" spans="1:4">
      <c r="A12" s="103" t="s">
        <v>21</v>
      </c>
      <c r="B12" s="48">
        <v>34.419999999999995</v>
      </c>
      <c r="C12" s="48">
        <v>69.898985264254463</v>
      </c>
      <c r="D12" s="114">
        <v>625.44477868597789</v>
      </c>
    </row>
    <row r="13" spans="1:4">
      <c r="A13" s="99" t="s">
        <v>100</v>
      </c>
      <c r="B13" s="47">
        <v>35.99</v>
      </c>
      <c r="C13" s="47">
        <v>33.832725480281646</v>
      </c>
      <c r="D13" s="113">
        <v>24.949068047772485</v>
      </c>
    </row>
    <row r="14" spans="1:4">
      <c r="A14" s="99" t="s">
        <v>101</v>
      </c>
      <c r="B14" s="47">
        <v>57.667999999999999</v>
      </c>
      <c r="C14" s="47">
        <v>49.512001000000005</v>
      </c>
      <c r="D14" s="113">
        <v>36.511344108245815</v>
      </c>
    </row>
    <row r="15" spans="1:4">
      <c r="A15" s="103" t="s">
        <v>22</v>
      </c>
      <c r="B15" s="48">
        <v>128.078</v>
      </c>
      <c r="C15" s="48">
        <v>153.24371174453611</v>
      </c>
      <c r="D15" s="114">
        <v>686.90519084199616</v>
      </c>
    </row>
    <row r="16" spans="1:4">
      <c r="A16" s="99"/>
      <c r="B16" s="47"/>
      <c r="C16" s="47"/>
      <c r="D16" s="113"/>
    </row>
    <row r="17" spans="1:4">
      <c r="A17" s="99" t="s">
        <v>102</v>
      </c>
      <c r="B17" s="47">
        <v>6.7389999999999999</v>
      </c>
      <c r="C17" s="47">
        <v>6.7389999999999999</v>
      </c>
      <c r="D17" s="114">
        <v>6.7389999999999999</v>
      </c>
    </row>
    <row r="18" spans="1:4">
      <c r="A18" s="99" t="s">
        <v>103</v>
      </c>
      <c r="B18" s="47">
        <v>0.75</v>
      </c>
      <c r="C18" s="47"/>
      <c r="D18" s="113"/>
    </row>
    <row r="19" spans="1:4">
      <c r="A19" s="99" t="s">
        <v>104</v>
      </c>
      <c r="B19" s="47">
        <v>4.1909999999999998</v>
      </c>
      <c r="C19" s="47"/>
      <c r="D19" s="113"/>
    </row>
    <row r="20" spans="1:4" ht="16.5" thickBot="1">
      <c r="A20" s="102" t="s">
        <v>23</v>
      </c>
      <c r="B20" s="115">
        <v>139.75800000000001</v>
      </c>
      <c r="C20" s="115">
        <v>159.98271174453612</v>
      </c>
      <c r="D20" s="116">
        <v>693.64419084199619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877D-9FD8-49B2-96E5-1B37542303C7}">
  <dimension ref="A1:L95"/>
  <sheetViews>
    <sheetView showGridLines="0" topLeftCell="A80" workbookViewId="0">
      <selection activeCell="A73" sqref="A73:B91"/>
    </sheetView>
  </sheetViews>
  <sheetFormatPr defaultRowHeight="15.75"/>
  <cols>
    <col min="1" max="1" width="24.875" style="1" customWidth="1"/>
    <col min="2" max="2" width="14.875" style="1" bestFit="1" customWidth="1"/>
    <col min="3" max="3" width="20.5" style="1" bestFit="1" customWidth="1"/>
    <col min="4" max="4" width="11.875" style="1" bestFit="1" customWidth="1"/>
    <col min="5" max="11" width="9" style="1"/>
    <col min="12" max="12" width="15.375" style="1" bestFit="1" customWidth="1"/>
    <col min="13" max="16384" width="9" style="1"/>
  </cols>
  <sheetData>
    <row r="1" spans="1:10">
      <c r="A1" s="163" t="s">
        <v>197</v>
      </c>
      <c r="B1" s="163" t="s">
        <v>196</v>
      </c>
      <c r="C1" s="158">
        <v>0.05</v>
      </c>
      <c r="H1" s="22"/>
      <c r="I1" s="22"/>
      <c r="J1" s="22"/>
    </row>
    <row r="2" spans="1:10">
      <c r="A2" s="45" t="s">
        <v>8</v>
      </c>
      <c r="B2" s="45">
        <v>97.244157207085976</v>
      </c>
      <c r="I2" s="4"/>
      <c r="J2" s="4"/>
    </row>
    <row r="3" spans="1:10">
      <c r="A3" s="45" t="s">
        <v>22</v>
      </c>
      <c r="B3" s="47">
        <v>686.90519084199616</v>
      </c>
      <c r="I3" s="93"/>
      <c r="J3" s="93"/>
    </row>
    <row r="4" spans="1:10">
      <c r="A4" s="54" t="s">
        <v>197</v>
      </c>
      <c r="B4" s="78">
        <f>B2/B3</f>
        <v>0.14156852867553063</v>
      </c>
      <c r="I4" s="93"/>
      <c r="J4" s="93"/>
    </row>
    <row r="5" spans="1:10">
      <c r="H5" s="22"/>
      <c r="I5" s="15"/>
      <c r="J5" s="15"/>
    </row>
    <row r="6" spans="1:10">
      <c r="A6" s="163" t="s">
        <v>196</v>
      </c>
      <c r="B6" s="163"/>
    </row>
    <row r="7" spans="1:10">
      <c r="A7" s="45" t="s">
        <v>8</v>
      </c>
      <c r="B7" s="45">
        <f>'Noplat &amp; Retained Earning'!D10</f>
        <v>97.244157207085976</v>
      </c>
    </row>
    <row r="8" spans="1:10">
      <c r="A8" s="55" t="s">
        <v>152</v>
      </c>
      <c r="B8" s="80">
        <v>4.8599999999999997E-2</v>
      </c>
    </row>
    <row r="9" spans="1:10">
      <c r="A9" s="55" t="s">
        <v>197</v>
      </c>
      <c r="B9" s="77">
        <v>0.14156852867553063</v>
      </c>
    </row>
    <row r="10" spans="1:10">
      <c r="A10" s="55" t="s">
        <v>198</v>
      </c>
      <c r="B10" s="80">
        <v>5.7700000000000001E-2</v>
      </c>
    </row>
    <row r="11" spans="1:10">
      <c r="A11" s="54" t="s">
        <v>196</v>
      </c>
      <c r="B11" s="54">
        <f>B7*(1-(B8/B9))/(B10-B8)</f>
        <v>7017.6444980401029</v>
      </c>
    </row>
    <row r="14" spans="1:10">
      <c r="A14" s="163" t="s">
        <v>199</v>
      </c>
      <c r="B14" s="163" t="s">
        <v>200</v>
      </c>
      <c r="C14" s="163" t="s">
        <v>201</v>
      </c>
      <c r="D14" s="163" t="s">
        <v>202</v>
      </c>
      <c r="E14" s="163" t="s">
        <v>284</v>
      </c>
    </row>
    <row r="15" spans="1:10">
      <c r="A15" s="55">
        <v>2023</v>
      </c>
      <c r="B15" s="55">
        <f>'Forecast model'!D106</f>
        <v>57.808104644225267</v>
      </c>
      <c r="C15" s="55">
        <f>(1+$B$10)^-E15</f>
        <v>0.94544766947149472</v>
      </c>
      <c r="D15" s="55">
        <f>B15*C15</f>
        <v>54.654537812447067</v>
      </c>
      <c r="E15" s="55">
        <v>1</v>
      </c>
    </row>
    <row r="16" spans="1:10">
      <c r="A16" s="55">
        <v>2024</v>
      </c>
      <c r="B16" s="55">
        <f>'Forecast model'!E106</f>
        <v>63.31100694204919</v>
      </c>
      <c r="C16" s="55">
        <f t="shared" ref="C16:C24" si="0">(1+$B$10)^-E16</f>
        <v>0.89387129570908075</v>
      </c>
      <c r="D16" s="55">
        <f t="shared" ref="D16:D24" si="1">B16*C16</f>
        <v>56.591891807936115</v>
      </c>
      <c r="E16" s="55">
        <v>2</v>
      </c>
    </row>
    <row r="17" spans="1:6">
      <c r="A17" s="55">
        <v>2025</v>
      </c>
      <c r="B17" s="55">
        <f>'Forecast model'!F106</f>
        <v>66.46655592197402</v>
      </c>
      <c r="C17" s="55">
        <f t="shared" si="0"/>
        <v>0.84510853333561564</v>
      </c>
      <c r="D17" s="55">
        <f t="shared" si="1"/>
        <v>56.17145359108914</v>
      </c>
      <c r="E17" s="55">
        <v>3</v>
      </c>
    </row>
    <row r="18" spans="1:6">
      <c r="A18" s="55">
        <v>2026</v>
      </c>
      <c r="B18" s="55">
        <f>'Forecast model'!G106</f>
        <v>69.780182391910429</v>
      </c>
      <c r="C18" s="55">
        <f t="shared" si="0"/>
        <v>0.79900589329263083</v>
      </c>
      <c r="D18" s="55">
        <f t="shared" si="1"/>
        <v>55.7547769661711</v>
      </c>
      <c r="E18" s="55">
        <v>4</v>
      </c>
    </row>
    <row r="19" spans="1:6">
      <c r="A19" s="55">
        <v>2027</v>
      </c>
      <c r="B19" s="55">
        <f>'Forecast model'!H106</f>
        <v>73.259781225128521</v>
      </c>
      <c r="C19" s="55">
        <f t="shared" si="0"/>
        <v>0.75541825970750764</v>
      </c>
      <c r="D19" s="55">
        <f t="shared" si="1"/>
        <v>55.341776439639332</v>
      </c>
      <c r="E19" s="55">
        <v>5</v>
      </c>
    </row>
    <row r="20" spans="1:6">
      <c r="A20" s="55">
        <v>2028</v>
      </c>
      <c r="B20" s="55">
        <f>'Forecast model'!I106</f>
        <v>76.91364230859881</v>
      </c>
      <c r="C20" s="55">
        <f t="shared" si="0"/>
        <v>0.71420843311667537</v>
      </c>
      <c r="D20" s="55">
        <f t="shared" si="1"/>
        <v>54.932371958520783</v>
      </c>
      <c r="E20" s="55">
        <v>6</v>
      </c>
    </row>
    <row r="21" spans="1:6">
      <c r="A21" s="55">
        <v>2029</v>
      </c>
      <c r="B21" s="55">
        <f>'Forecast model'!J106</f>
        <v>80.750470285576242</v>
      </c>
      <c r="C21" s="55">
        <f t="shared" si="0"/>
        <v>0.67524669860704867</v>
      </c>
      <c r="D21" s="55">
        <f t="shared" si="1"/>
        <v>54.526488471301938</v>
      </c>
      <c r="E21" s="55">
        <v>7</v>
      </c>
    </row>
    <row r="22" spans="1:6">
      <c r="A22" s="55">
        <v>2030</v>
      </c>
      <c r="B22" s="55">
        <f>'Forecast model'!K106</f>
        <v>84.779405285556138</v>
      </c>
      <c r="C22" s="55">
        <f t="shared" si="0"/>
        <v>0.63841041751635497</v>
      </c>
      <c r="D22" s="55">
        <f t="shared" si="1"/>
        <v>54.124055525140164</v>
      </c>
      <c r="E22" s="55">
        <v>8</v>
      </c>
    </row>
    <row r="23" spans="1:6">
      <c r="A23" s="55">
        <v>2031</v>
      </c>
      <c r="B23" s="55">
        <f>'Forecast model'!L106</f>
        <v>89.010044690963952</v>
      </c>
      <c r="C23" s="55">
        <f t="shared" si="0"/>
        <v>0.6035836414071617</v>
      </c>
      <c r="D23" s="55">
        <f t="shared" si="1"/>
        <v>53.725006896386219</v>
      </c>
      <c r="E23" s="55">
        <v>9</v>
      </c>
    </row>
    <row r="24" spans="1:6">
      <c r="A24" s="55">
        <v>2032</v>
      </c>
      <c r="B24" s="55">
        <f>'Forecast model'!M106</f>
        <v>93.452465992408236</v>
      </c>
      <c r="C24" s="55">
        <f t="shared" si="0"/>
        <v>0.57065674709951941</v>
      </c>
      <c r="D24" s="55">
        <f t="shared" si="1"/>
        <v>53.329280251656144</v>
      </c>
      <c r="E24" s="55">
        <v>10</v>
      </c>
    </row>
    <row r="25" spans="1:6">
      <c r="A25" s="55"/>
      <c r="B25" s="55"/>
      <c r="C25" s="54" t="s">
        <v>203</v>
      </c>
      <c r="D25" s="54">
        <f>SUM(D15:D24)</f>
        <v>549.15163972028802</v>
      </c>
      <c r="E25" s="55"/>
    </row>
    <row r="27" spans="1:6">
      <c r="A27" s="54" t="s">
        <v>196</v>
      </c>
      <c r="B27" s="55">
        <f>B11</f>
        <v>7017.6444980401029</v>
      </c>
      <c r="C27" s="55">
        <f t="shared" ref="C27" si="2">(1+$B$10)^-E27</f>
        <v>0.57065674709951941</v>
      </c>
      <c r="D27" s="54">
        <f>B27*C27</f>
        <v>4004.6661815524049</v>
      </c>
      <c r="E27" s="55">
        <v>10</v>
      </c>
      <c r="F27" s="55">
        <v>3989.204495</v>
      </c>
    </row>
    <row r="28" spans="1:6">
      <c r="A28" s="54" t="s">
        <v>204</v>
      </c>
      <c r="B28" s="55"/>
      <c r="C28" s="55"/>
      <c r="D28" s="54">
        <f>D25+D27</f>
        <v>4553.8178212726925</v>
      </c>
      <c r="E28" s="55"/>
      <c r="F28" s="55">
        <v>12185.25477</v>
      </c>
    </row>
    <row r="29" spans="1:6">
      <c r="A29" s="55"/>
      <c r="B29" s="55"/>
      <c r="C29" s="55"/>
      <c r="D29" s="55"/>
      <c r="E29" s="55"/>
      <c r="F29" s="55">
        <f>F27+F28</f>
        <v>16174.459265</v>
      </c>
    </row>
    <row r="30" spans="1:6">
      <c r="A30" s="55" t="s">
        <v>205</v>
      </c>
      <c r="B30" s="55"/>
      <c r="C30" s="55"/>
      <c r="D30" s="55"/>
      <c r="E30" s="55"/>
      <c r="F30" s="55"/>
    </row>
    <row r="31" spans="1:6">
      <c r="A31" s="55" t="s">
        <v>206</v>
      </c>
      <c r="B31" s="55">
        <f>D25</f>
        <v>549.15163972028802</v>
      </c>
      <c r="C31" s="77">
        <f>B31/B33</f>
        <v>0.12059148197694305</v>
      </c>
      <c r="D31" s="55"/>
      <c r="E31" s="55"/>
      <c r="F31" s="55"/>
    </row>
    <row r="32" spans="1:6">
      <c r="A32" s="55" t="s">
        <v>207</v>
      </c>
      <c r="B32" s="55">
        <f>D27</f>
        <v>4004.6661815524049</v>
      </c>
      <c r="C32" s="77">
        <f>B32/B33</f>
        <v>0.87940851802305697</v>
      </c>
      <c r="D32" s="55"/>
      <c r="E32" s="55"/>
      <c r="F32" s="55"/>
    </row>
    <row r="33" spans="1:12">
      <c r="A33" s="54" t="s">
        <v>204</v>
      </c>
      <c r="B33" s="55">
        <f>SUM(B31:B32)</f>
        <v>4553.8178212726925</v>
      </c>
      <c r="C33" s="80">
        <f>SUM(C31:C32)</f>
        <v>1</v>
      </c>
      <c r="D33" s="55"/>
      <c r="E33" s="55"/>
      <c r="F33" s="55"/>
    </row>
    <row r="35" spans="1:12">
      <c r="A35" s="163" t="s">
        <v>208</v>
      </c>
      <c r="B35" s="163">
        <v>2023</v>
      </c>
      <c r="C35" s="163">
        <f>B35+1</f>
        <v>2024</v>
      </c>
      <c r="D35" s="163">
        <f t="shared" ref="D35:K35" si="3">C35+1</f>
        <v>2025</v>
      </c>
      <c r="E35" s="163">
        <f t="shared" si="3"/>
        <v>2026</v>
      </c>
      <c r="F35" s="163">
        <f t="shared" si="3"/>
        <v>2027</v>
      </c>
      <c r="G35" s="163">
        <f t="shared" si="3"/>
        <v>2028</v>
      </c>
      <c r="H35" s="163">
        <f t="shared" si="3"/>
        <v>2029</v>
      </c>
      <c r="I35" s="163">
        <f t="shared" si="3"/>
        <v>2030</v>
      </c>
      <c r="J35" s="163">
        <f t="shared" si="3"/>
        <v>2031</v>
      </c>
      <c r="K35" s="163">
        <f t="shared" si="3"/>
        <v>2032</v>
      </c>
      <c r="L35" s="163" t="s">
        <v>196</v>
      </c>
    </row>
    <row r="36" spans="1:12">
      <c r="A36" s="55" t="s">
        <v>151</v>
      </c>
      <c r="B36" s="47">
        <v>153.24371174453611</v>
      </c>
      <c r="C36" s="47">
        <v>186.94092236925451</v>
      </c>
      <c r="D36" s="47">
        <v>222.76971170867131</v>
      </c>
      <c r="E36" s="47">
        <v>260.9403181530177</v>
      </c>
      <c r="F36" s="47">
        <v>326.47161172840123</v>
      </c>
      <c r="G36" s="47">
        <v>389.86037208710917</v>
      </c>
      <c r="H36" s="47">
        <v>451.15958050517133</v>
      </c>
      <c r="I36" s="47">
        <v>510.42872658431247</v>
      </c>
      <c r="J36" s="47">
        <v>572.73413039038167</v>
      </c>
      <c r="K36" s="47">
        <v>628.22428079703593</v>
      </c>
      <c r="L36" s="47">
        <v>686.90519084199616</v>
      </c>
    </row>
    <row r="37" spans="1:12">
      <c r="A37" s="55" t="s">
        <v>157</v>
      </c>
      <c r="B37" s="80">
        <f>ROIC!D8</f>
        <v>0.38082665696546814</v>
      </c>
      <c r="C37" s="80">
        <v>0.32883735276478038</v>
      </c>
      <c r="D37" s="80">
        <v>0.29059983701066461</v>
      </c>
      <c r="E37" s="80">
        <v>0.26120152565400262</v>
      </c>
      <c r="F37" s="80">
        <v>0.21975786723954652</v>
      </c>
      <c r="G37" s="80">
        <v>0.19367285660964986</v>
      </c>
      <c r="H37" s="80">
        <v>0.17609926199439185</v>
      </c>
      <c r="I37" s="80">
        <v>0.16375350767991462</v>
      </c>
      <c r="J37" s="80">
        <v>0.15351277455267598</v>
      </c>
      <c r="K37" s="80">
        <v>0.14719527128234772</v>
      </c>
      <c r="L37" s="80">
        <f>ROIC!N8</f>
        <v>0.14156852867553063</v>
      </c>
    </row>
    <row r="38" spans="1:12">
      <c r="A38" s="55" t="s">
        <v>198</v>
      </c>
      <c r="B38" s="80">
        <f>B10</f>
        <v>5.7700000000000001E-2</v>
      </c>
      <c r="C38" s="80">
        <v>5.7700000000000001E-2</v>
      </c>
      <c r="D38" s="80">
        <v>5.7700000000000001E-2</v>
      </c>
      <c r="E38" s="80">
        <v>5.7700000000000001E-2</v>
      </c>
      <c r="F38" s="80">
        <v>5.7700000000000001E-2</v>
      </c>
      <c r="G38" s="80">
        <v>5.7700000000000001E-2</v>
      </c>
      <c r="H38" s="80">
        <v>5.7700000000000001E-2</v>
      </c>
      <c r="I38" s="80">
        <v>5.7700000000000001E-2</v>
      </c>
      <c r="J38" s="80">
        <v>5.7700000000000001E-2</v>
      </c>
      <c r="K38" s="80">
        <v>5.7700000000000001E-2</v>
      </c>
      <c r="L38" s="80">
        <v>5.7700000000000001E-2</v>
      </c>
    </row>
    <row r="39" spans="1:12">
      <c r="A39" s="54" t="s">
        <v>208</v>
      </c>
      <c r="B39" s="117">
        <f>B36*(B37-B38)</f>
        <v>49.517128276991805</v>
      </c>
      <c r="C39" s="117">
        <f t="shared" ref="C39:K39" si="4">C36*(C37-C38)</f>
        <v>50.686666814605978</v>
      </c>
      <c r="D39" s="117">
        <f t="shared" si="4"/>
        <v>51.883029547862293</v>
      </c>
      <c r="E39" s="117">
        <f t="shared" si="4"/>
        <v>53.101752848779938</v>
      </c>
      <c r="F39" s="117">
        <f t="shared" si="4"/>
        <v>52.907293110962023</v>
      </c>
      <c r="G39" s="117">
        <f t="shared" si="4"/>
        <v>53.010428471585236</v>
      </c>
      <c r="H39" s="117">
        <f t="shared" si="4"/>
        <v>53.416961373511704</v>
      </c>
      <c r="I39" s="117">
        <f t="shared" si="4"/>
        <v>54.132756874858423</v>
      </c>
      <c r="J39" s="117">
        <f t="shared" si="4"/>
        <v>54.875246113716564</v>
      </c>
      <c r="K39" s="117">
        <f t="shared" si="4"/>
        <v>56.223102436088517</v>
      </c>
      <c r="L39" s="117">
        <f>L36*(L37-L38)</f>
        <v>57.609727695502791</v>
      </c>
    </row>
    <row r="40" spans="1:1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>
      <c r="A41" s="163"/>
      <c r="B41" s="163" t="s">
        <v>196</v>
      </c>
    </row>
    <row r="42" spans="1:12">
      <c r="A42" s="55" t="s">
        <v>208</v>
      </c>
      <c r="B42" s="118">
        <f>L39</f>
        <v>57.609727695502791</v>
      </c>
    </row>
    <row r="43" spans="1:12">
      <c r="A43" s="55" t="s">
        <v>198</v>
      </c>
      <c r="B43" s="80">
        <f>B38</f>
        <v>5.7700000000000001E-2</v>
      </c>
    </row>
    <row r="44" spans="1:12">
      <c r="A44" s="55" t="s">
        <v>209</v>
      </c>
      <c r="B44" s="55">
        <f>B42/B43</f>
        <v>998.43548865689411</v>
      </c>
    </row>
    <row r="45" spans="1:12">
      <c r="A45" s="55"/>
      <c r="B45" s="55"/>
    </row>
    <row r="46" spans="1:12">
      <c r="A46" s="55" t="s">
        <v>8</v>
      </c>
      <c r="B46" s="47">
        <f>B7</f>
        <v>97.244157207085976</v>
      </c>
    </row>
    <row r="47" spans="1:12">
      <c r="A47" s="55" t="s">
        <v>152</v>
      </c>
      <c r="B47" s="80">
        <f>B8</f>
        <v>4.8599999999999997E-2</v>
      </c>
    </row>
    <row r="48" spans="1:12">
      <c r="A48" s="55" t="s">
        <v>197</v>
      </c>
      <c r="B48" s="80">
        <f t="shared" ref="B48:B49" si="5">B9</f>
        <v>0.14156852867553063</v>
      </c>
    </row>
    <row r="49" spans="1:5">
      <c r="A49" s="55" t="s">
        <v>198</v>
      </c>
      <c r="B49" s="80">
        <f t="shared" si="5"/>
        <v>5.7700000000000001E-2</v>
      </c>
    </row>
    <row r="51" spans="1:5">
      <c r="A51" s="163" t="s">
        <v>199</v>
      </c>
      <c r="B51" s="163" t="s">
        <v>208</v>
      </c>
      <c r="C51" s="163" t="s">
        <v>201</v>
      </c>
      <c r="D51" s="163" t="s">
        <v>202</v>
      </c>
      <c r="E51" s="163"/>
    </row>
    <row r="52" spans="1:5">
      <c r="A52" s="55">
        <v>2023</v>
      </c>
      <c r="B52" s="118">
        <f>B39</f>
        <v>49.517128276991805</v>
      </c>
      <c r="C52" s="55">
        <f>(1+$B$10)^-E52</f>
        <v>0.94544766947149472</v>
      </c>
      <c r="D52" s="55">
        <f>B52*C52</f>
        <v>46.815853528402954</v>
      </c>
      <c r="E52" s="55">
        <v>1</v>
      </c>
    </row>
    <row r="53" spans="1:5">
      <c r="A53" s="55">
        <v>2024</v>
      </c>
      <c r="B53" s="118">
        <f>C39</f>
        <v>50.686666814605978</v>
      </c>
      <c r="C53" s="55">
        <f t="shared" ref="C53:C61" si="6">(1+$B$10)^-E53</f>
        <v>0.89387129570908075</v>
      </c>
      <c r="D53" s="55">
        <f t="shared" ref="D53:D61" si="7">B53*C53</f>
        <v>45.307356540746312</v>
      </c>
      <c r="E53" s="55">
        <v>2</v>
      </c>
    </row>
    <row r="54" spans="1:5">
      <c r="A54" s="55">
        <v>2025</v>
      </c>
      <c r="B54" s="118">
        <f>D39</f>
        <v>51.883029547862293</v>
      </c>
      <c r="C54" s="55">
        <f t="shared" si="6"/>
        <v>0.84510853333561564</v>
      </c>
      <c r="D54" s="55">
        <f t="shared" si="7"/>
        <v>43.846791006202309</v>
      </c>
      <c r="E54" s="55">
        <v>3</v>
      </c>
    </row>
    <row r="55" spans="1:5">
      <c r="A55" s="55">
        <v>2026</v>
      </c>
      <c r="B55" s="118">
        <f>E39</f>
        <v>53.101752848779938</v>
      </c>
      <c r="C55" s="55">
        <f t="shared" si="6"/>
        <v>0.79900589329263083</v>
      </c>
      <c r="D55" s="55">
        <f t="shared" si="7"/>
        <v>42.428613470343919</v>
      </c>
      <c r="E55" s="55">
        <v>4</v>
      </c>
    </row>
    <row r="56" spans="1:5">
      <c r="A56" s="55">
        <v>2027</v>
      </c>
      <c r="B56" s="118">
        <f>F39</f>
        <v>52.907293110962023</v>
      </c>
      <c r="C56" s="55">
        <f t="shared" si="6"/>
        <v>0.75541825970750764</v>
      </c>
      <c r="D56" s="55">
        <f t="shared" si="7"/>
        <v>39.967135287717937</v>
      </c>
      <c r="E56" s="55">
        <v>5</v>
      </c>
    </row>
    <row r="57" spans="1:5">
      <c r="A57" s="55">
        <v>2028</v>
      </c>
      <c r="B57" s="118">
        <f>G39</f>
        <v>53.010428471585236</v>
      </c>
      <c r="C57" s="55">
        <f t="shared" si="6"/>
        <v>0.71420843311667537</v>
      </c>
      <c r="D57" s="55">
        <f t="shared" si="7"/>
        <v>37.860495057534486</v>
      </c>
      <c r="E57" s="55">
        <v>6</v>
      </c>
    </row>
    <row r="58" spans="1:5">
      <c r="A58" s="55">
        <v>2029</v>
      </c>
      <c r="B58" s="118">
        <f>H39</f>
        <v>53.416961373511704</v>
      </c>
      <c r="C58" s="55">
        <f t="shared" si="6"/>
        <v>0.67524669860704867</v>
      </c>
      <c r="D58" s="55">
        <f t="shared" si="7"/>
        <v>36.069626817084021</v>
      </c>
      <c r="E58" s="55">
        <v>7</v>
      </c>
    </row>
    <row r="59" spans="1:5">
      <c r="A59" s="55">
        <v>2030</v>
      </c>
      <c r="B59" s="118">
        <f>I39</f>
        <v>54.132756874858423</v>
      </c>
      <c r="C59" s="55">
        <f t="shared" si="6"/>
        <v>0.63841041751635497</v>
      </c>
      <c r="D59" s="55">
        <f t="shared" si="7"/>
        <v>34.558915917789697</v>
      </c>
      <c r="E59" s="55">
        <v>8</v>
      </c>
    </row>
    <row r="60" spans="1:5">
      <c r="A60" s="55">
        <v>2031</v>
      </c>
      <c r="B60" s="118">
        <f>J39</f>
        <v>54.875246113716564</v>
      </c>
      <c r="C60" s="55">
        <f t="shared" si="6"/>
        <v>0.6035836414071617</v>
      </c>
      <c r="D60" s="55">
        <f t="shared" si="7"/>
        <v>33.121800872431244</v>
      </c>
      <c r="E60" s="55">
        <v>9</v>
      </c>
    </row>
    <row r="61" spans="1:5">
      <c r="A61" s="55">
        <v>2032</v>
      </c>
      <c r="B61" s="118">
        <f>K39</f>
        <v>56.223102436088517</v>
      </c>
      <c r="C61" s="55">
        <f t="shared" si="6"/>
        <v>0.57065674709951941</v>
      </c>
      <c r="D61" s="55">
        <f t="shared" si="7"/>
        <v>32.084092748021341</v>
      </c>
      <c r="E61" s="55">
        <v>10</v>
      </c>
    </row>
    <row r="62" spans="1:5">
      <c r="A62" s="55"/>
      <c r="B62" s="55"/>
      <c r="C62" s="54" t="s">
        <v>203</v>
      </c>
      <c r="D62" s="54">
        <f>SUM(D52:D61)</f>
        <v>392.06068124627427</v>
      </c>
      <c r="E62" s="55"/>
    </row>
    <row r="64" spans="1:5">
      <c r="A64" s="55"/>
      <c r="B64" s="55"/>
      <c r="C64" s="54" t="s">
        <v>278</v>
      </c>
      <c r="D64" s="48">
        <f>B36</f>
        <v>153.24371174453611</v>
      </c>
    </row>
    <row r="65" spans="1:4">
      <c r="A65" s="55"/>
      <c r="B65" s="55"/>
      <c r="C65" s="54" t="s">
        <v>210</v>
      </c>
      <c r="D65" s="48">
        <f>D64+D62</f>
        <v>545.30439299081036</v>
      </c>
    </row>
    <row r="66" spans="1:4">
      <c r="A66" s="163" t="s">
        <v>205</v>
      </c>
      <c r="B66" s="163"/>
      <c r="C66" s="163"/>
      <c r="D66" s="163"/>
    </row>
    <row r="67" spans="1:4">
      <c r="A67" s="55" t="s">
        <v>211</v>
      </c>
      <c r="B67" s="47">
        <f>D64</f>
        <v>153.24371174453611</v>
      </c>
      <c r="C67" s="77">
        <f>B67/B70</f>
        <v>0.14001815254737379</v>
      </c>
      <c r="D67" s="55"/>
    </row>
    <row r="68" spans="1:4">
      <c r="A68" s="55" t="s">
        <v>212</v>
      </c>
      <c r="B68" s="55">
        <f>D62</f>
        <v>392.06068124627427</v>
      </c>
      <c r="C68" s="77">
        <f>B68/B70</f>
        <v>0.35822424065322483</v>
      </c>
      <c r="D68" s="55"/>
    </row>
    <row r="69" spans="1:4">
      <c r="A69" s="55" t="s">
        <v>213</v>
      </c>
      <c r="B69" s="55">
        <f>D25</f>
        <v>549.15163972028802</v>
      </c>
      <c r="C69" s="77">
        <f>B69/B70</f>
        <v>0.50175760679940129</v>
      </c>
      <c r="D69" s="55"/>
    </row>
    <row r="70" spans="1:4">
      <c r="A70" s="54" t="s">
        <v>210</v>
      </c>
      <c r="B70" s="47">
        <f>SUM(B67:B69)</f>
        <v>1094.4560327110985</v>
      </c>
      <c r="C70" s="80">
        <f>SUM(C67:C69)</f>
        <v>0.99999999999999989</v>
      </c>
      <c r="D70" s="55"/>
    </row>
    <row r="73" spans="1:4">
      <c r="A73" s="163" t="s">
        <v>214</v>
      </c>
      <c r="B73" s="163"/>
    </row>
    <row r="74" spans="1:4">
      <c r="A74" s="55" t="s">
        <v>214</v>
      </c>
      <c r="B74" s="55">
        <v>2022</v>
      </c>
    </row>
    <row r="75" spans="1:4">
      <c r="A75" s="55" t="s">
        <v>215</v>
      </c>
      <c r="B75" s="118">
        <f>D28</f>
        <v>4553.8178212726925</v>
      </c>
    </row>
    <row r="76" spans="1:4">
      <c r="A76" s="55"/>
      <c r="B76" s="55"/>
    </row>
    <row r="77" spans="1:4">
      <c r="A77" s="45" t="s">
        <v>102</v>
      </c>
      <c r="B77" s="47">
        <f>6739/1000</f>
        <v>6.7389999999999999</v>
      </c>
    </row>
    <row r="78" spans="1:4">
      <c r="A78" s="54" t="s">
        <v>214</v>
      </c>
      <c r="B78" s="48">
        <f>B75+B77</f>
        <v>4560.5568212726921</v>
      </c>
    </row>
    <row r="81" spans="1:10">
      <c r="A81" s="163" t="s">
        <v>216</v>
      </c>
      <c r="B81" s="163">
        <v>2022</v>
      </c>
    </row>
    <row r="82" spans="1:10">
      <c r="A82" s="55" t="s">
        <v>214</v>
      </c>
      <c r="B82" s="47">
        <f>B78</f>
        <v>4560.5568212726921</v>
      </c>
    </row>
    <row r="83" spans="1:10">
      <c r="A83" s="45" t="s">
        <v>108</v>
      </c>
      <c r="B83" s="47">
        <v>-51.533999999999999</v>
      </c>
    </row>
    <row r="84" spans="1:10">
      <c r="A84" s="45" t="s">
        <v>110</v>
      </c>
      <c r="B84" s="47">
        <v>-3.706</v>
      </c>
    </row>
    <row r="85" spans="1:10">
      <c r="A85" s="54" t="s">
        <v>216</v>
      </c>
      <c r="B85" s="48">
        <f>SUM(B82:B84)</f>
        <v>4505.3168212726923</v>
      </c>
    </row>
    <row r="87" spans="1:10" ht="16.5" thickBot="1"/>
    <row r="88" spans="1:10">
      <c r="A88" s="163" t="s">
        <v>221</v>
      </c>
      <c r="B88" s="163">
        <f>B81</f>
        <v>2022</v>
      </c>
      <c r="D88" s="173" t="s">
        <v>279</v>
      </c>
      <c r="E88" s="174"/>
      <c r="F88" s="174"/>
      <c r="G88" s="175"/>
      <c r="H88" s="175"/>
      <c r="I88" s="175"/>
      <c r="J88" s="176"/>
    </row>
    <row r="89" spans="1:10">
      <c r="A89" s="55" t="s">
        <v>216</v>
      </c>
      <c r="B89" s="118">
        <f>B85</f>
        <v>4505.3168212726923</v>
      </c>
      <c r="D89" s="177"/>
      <c r="E89" s="153"/>
      <c r="F89" s="154" t="s">
        <v>280</v>
      </c>
      <c r="G89" s="178"/>
      <c r="H89" s="178"/>
      <c r="I89" s="178"/>
      <c r="J89" s="179"/>
    </row>
    <row r="90" spans="1:10">
      <c r="A90" s="55" t="s">
        <v>222</v>
      </c>
      <c r="B90" s="118">
        <v>69.369</v>
      </c>
      <c r="D90" s="180"/>
      <c r="E90" s="181">
        <f>B91</f>
        <v>64.947120778340363</v>
      </c>
      <c r="F90" s="190">
        <v>0</v>
      </c>
      <c r="G90" s="191">
        <v>0.03</v>
      </c>
      <c r="H90" s="191">
        <v>0.05</v>
      </c>
      <c r="I90" s="191">
        <v>7.0000000000000007E-2</v>
      </c>
      <c r="J90" s="191">
        <v>0.1</v>
      </c>
    </row>
    <row r="91" spans="1:10">
      <c r="A91" s="54" t="str">
        <f>A88</f>
        <v>Value per Share</v>
      </c>
      <c r="B91" s="117">
        <f>B89/B90</f>
        <v>64.947120778340363</v>
      </c>
      <c r="D91" s="182"/>
      <c r="E91" s="192">
        <v>0.04</v>
      </c>
      <c r="F91" s="183">
        <f t="dataTable" ref="F91:J95" dt2D="1" dtr="1" r1="C1" r2="B10"/>
        <v>-66.265307149936305</v>
      </c>
      <c r="G91" s="183">
        <v>-65.167467366381132</v>
      </c>
      <c r="H91" s="183">
        <v>-64.325045724387351</v>
      </c>
      <c r="I91" s="183">
        <v>-63.381789762619185</v>
      </c>
      <c r="J91" s="184">
        <v>-61.751311800429903</v>
      </c>
    </row>
    <row r="92" spans="1:10">
      <c r="D92" s="185"/>
      <c r="E92" s="157">
        <v>0.05</v>
      </c>
      <c r="F92" s="183">
        <v>409.41412808198999</v>
      </c>
      <c r="G92" s="155">
        <v>410.44191328742028</v>
      </c>
      <c r="H92" s="155">
        <v>411.22950555443526</v>
      </c>
      <c r="I92" s="155">
        <v>412.11044895312938</v>
      </c>
      <c r="J92" s="184">
        <v>413.63131593098512</v>
      </c>
    </row>
    <row r="93" spans="1:10">
      <c r="D93" s="182" t="s">
        <v>198</v>
      </c>
      <c r="E93" s="159">
        <v>5.7700000000000001E-2</v>
      </c>
      <c r="F93" s="183">
        <v>63.221018494144715</v>
      </c>
      <c r="G93" s="155">
        <v>64.198705706062682</v>
      </c>
      <c r="H93" s="156">
        <v>64.947120778340363</v>
      </c>
      <c r="I93" s="155">
        <v>65.78356839166743</v>
      </c>
      <c r="J93" s="184">
        <v>67.226224242109481</v>
      </c>
    </row>
    <row r="94" spans="1:10">
      <c r="D94" s="185"/>
      <c r="E94" s="157">
        <v>7.0000000000000007E-2</v>
      </c>
      <c r="F94" s="183">
        <v>27.010736345124254</v>
      </c>
      <c r="G94" s="155">
        <v>27.914695559156353</v>
      </c>
      <c r="H94" s="155">
        <v>28.605508894487336</v>
      </c>
      <c r="I94" s="155">
        <v>29.376581895183829</v>
      </c>
      <c r="J94" s="184">
        <v>30.704425549690551</v>
      </c>
    </row>
    <row r="95" spans="1:10" ht="16.5" thickBot="1">
      <c r="D95" s="186"/>
      <c r="E95" s="187">
        <v>0.08</v>
      </c>
      <c r="F95" s="188">
        <v>18.460503278537832</v>
      </c>
      <c r="G95" s="188">
        <v>19.309710572191459</v>
      </c>
      <c r="H95" s="188">
        <v>19.957793385834734</v>
      </c>
      <c r="I95" s="188">
        <v>20.680409212895508</v>
      </c>
      <c r="J95" s="189">
        <v>21.923233783466959</v>
      </c>
    </row>
  </sheetData>
  <pageMargins left="0.7" right="0.7" top="0.75" bottom="0.75" header="0.3" footer="0.3"/>
  <pageSetup orientation="portrait" r:id="rId1"/>
  <ignoredErrors>
    <ignoredError sqref="E90:J95" unlocked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8C4F-5943-4690-8491-A870D8D35AE2}">
  <dimension ref="A2:Q42"/>
  <sheetViews>
    <sheetView workbookViewId="0">
      <selection activeCell="C10" sqref="C10"/>
    </sheetView>
  </sheetViews>
  <sheetFormatPr defaultRowHeight="15.75"/>
  <cols>
    <col min="1" max="1" width="26.75" style="28" bestFit="1" customWidth="1"/>
    <col min="2" max="2" width="10.375" style="28" bestFit="1" customWidth="1"/>
    <col min="3" max="16384" width="9" style="28"/>
  </cols>
  <sheetData>
    <row r="2" spans="1:3">
      <c r="A2" s="120" t="s">
        <v>227</v>
      </c>
      <c r="B2" s="121">
        <v>0.05</v>
      </c>
    </row>
    <row r="3" spans="1:3">
      <c r="A3" s="120" t="s">
        <v>152</v>
      </c>
      <c r="B3" s="121">
        <v>0.05</v>
      </c>
    </row>
    <row r="4" spans="1:3">
      <c r="A4" s="122" t="s">
        <v>184</v>
      </c>
      <c r="B4" s="122">
        <v>5.7707726597671739E-2</v>
      </c>
    </row>
    <row r="5" spans="1:3">
      <c r="A5" s="122" t="s">
        <v>157</v>
      </c>
      <c r="B5" s="122">
        <v>0.36437171098861637</v>
      </c>
    </row>
    <row r="6" spans="1:3">
      <c r="A6" s="129" t="s">
        <v>223</v>
      </c>
      <c r="B6" s="130">
        <f>(1-B2)*(1-(B3/B5))/(B4-B3)</f>
        <v>106.33986650689705</v>
      </c>
      <c r="C6" s="131"/>
    </row>
    <row r="7" spans="1:3">
      <c r="B7" s="26"/>
    </row>
    <row r="8" spans="1:3">
      <c r="B8" s="26"/>
    </row>
    <row r="9" spans="1:3">
      <c r="B9" s="123"/>
    </row>
    <row r="10" spans="1:3">
      <c r="B10" s="123"/>
    </row>
    <row r="11" spans="1:3">
      <c r="A11" s="120" t="s">
        <v>216</v>
      </c>
      <c r="B11" s="124">
        <v>6637.7968212726919</v>
      </c>
    </row>
    <row r="12" spans="1:3">
      <c r="A12" s="120" t="s">
        <v>148</v>
      </c>
      <c r="B12" s="124">
        <v>47.668000000000006</v>
      </c>
    </row>
    <row r="13" spans="1:3">
      <c r="A13" s="120"/>
      <c r="B13" s="125">
        <f>B11/B12</f>
        <v>139.25058364673765</v>
      </c>
    </row>
    <row r="17" spans="1:11">
      <c r="A17" s="126" t="s">
        <v>216</v>
      </c>
      <c r="B17" s="126">
        <v>4505.3168212726923</v>
      </c>
    </row>
    <row r="18" spans="1:11">
      <c r="A18" s="126" t="s">
        <v>55</v>
      </c>
      <c r="B18" s="127">
        <v>77.904962300319482</v>
      </c>
    </row>
    <row r="19" spans="1:11">
      <c r="A19" s="127" t="s">
        <v>224</v>
      </c>
      <c r="B19" s="127">
        <f>B17/B18</f>
        <v>57.830935132282534</v>
      </c>
    </row>
    <row r="25" spans="1:11" s="14" customFormat="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s="14" customFormat="1">
      <c r="A26" s="28" t="s">
        <v>226</v>
      </c>
      <c r="B26" s="5">
        <v>2021</v>
      </c>
      <c r="C26" s="5">
        <v>2022</v>
      </c>
      <c r="D26" s="5">
        <v>2023</v>
      </c>
      <c r="E26" s="5">
        <v>2033</v>
      </c>
      <c r="F26" s="5"/>
      <c r="G26" s="5"/>
      <c r="H26" s="5"/>
      <c r="I26" s="5"/>
      <c r="J26" s="5"/>
      <c r="K26" s="5"/>
    </row>
    <row r="27" spans="1:11" s="14" customFormat="1">
      <c r="A27" s="14" t="s">
        <v>19</v>
      </c>
      <c r="B27" s="14">
        <v>6.5369999999999919</v>
      </c>
      <c r="C27" s="14">
        <v>8.2309999999999945</v>
      </c>
      <c r="D27" s="14">
        <v>44.498785264254465</v>
      </c>
      <c r="E27" s="14">
        <v>584.07052938690549</v>
      </c>
    </row>
    <row r="28" spans="1:11" s="14" customFormat="1">
      <c r="A28" s="14" t="s">
        <v>22</v>
      </c>
      <c r="B28" s="14">
        <v>179.58199999999999</v>
      </c>
      <c r="C28" s="14">
        <v>128.078</v>
      </c>
      <c r="D28" s="14">
        <v>153.24371174453611</v>
      </c>
      <c r="E28" s="14">
        <v>686.90519084199616</v>
      </c>
    </row>
    <row r="29" spans="1:11" s="29" customFormat="1" ht="16.5" thickBot="1">
      <c r="A29" s="29" t="s">
        <v>23</v>
      </c>
      <c r="B29" s="128">
        <v>182.41399999999999</v>
      </c>
      <c r="C29" s="128">
        <v>139.75800000000001</v>
      </c>
      <c r="D29" s="128">
        <v>159.98271174453612</v>
      </c>
      <c r="E29" s="128">
        <v>693.64419084199619</v>
      </c>
    </row>
    <row r="30" spans="1:11" s="14" customFormat="1" ht="16.5" thickTop="1">
      <c r="A30" s="14" t="s">
        <v>25</v>
      </c>
      <c r="B30" s="14">
        <v>149.114</v>
      </c>
      <c r="C30" s="14">
        <v>56.5</v>
      </c>
      <c r="D30" s="14">
        <v>51.2</v>
      </c>
      <c r="E30" s="14">
        <v>31</v>
      </c>
    </row>
    <row r="31" spans="1:11" s="14" customFormat="1">
      <c r="A31" s="14" t="s">
        <v>26</v>
      </c>
      <c r="B31" s="14">
        <v>33.299999999999997</v>
      </c>
      <c r="C31" s="14">
        <v>83.25800000000001</v>
      </c>
      <c r="D31" s="14">
        <v>108.78271174453612</v>
      </c>
      <c r="E31" s="14">
        <v>662.64419084199619</v>
      </c>
    </row>
    <row r="32" spans="1:11" s="29" customFormat="1" ht="16.5" thickBot="1">
      <c r="A32" s="29" t="s">
        <v>27</v>
      </c>
      <c r="B32" s="128">
        <v>182.41399999999999</v>
      </c>
      <c r="C32" s="128">
        <v>139.75800000000001</v>
      </c>
      <c r="D32" s="128">
        <v>159.98271174453612</v>
      </c>
      <c r="E32" s="128">
        <v>693.64419084199619</v>
      </c>
    </row>
    <row r="33" spans="1:17" ht="16.5" thickTop="1"/>
    <row r="35" spans="1:17">
      <c r="A35" s="120" t="s">
        <v>225</v>
      </c>
      <c r="B35" s="120"/>
    </row>
    <row r="36" spans="1:17">
      <c r="A36" s="122" t="s">
        <v>184</v>
      </c>
      <c r="B36" s="122">
        <v>5.7707726597671739E-2</v>
      </c>
    </row>
    <row r="37" spans="1:17">
      <c r="A37" s="122" t="s">
        <v>157</v>
      </c>
      <c r="B37" s="122">
        <v>0.36437171098861637</v>
      </c>
    </row>
    <row r="40" spans="1:17" s="14" customFormat="1">
      <c r="A40" s="56"/>
      <c r="B40" s="119">
        <v>2021</v>
      </c>
      <c r="C40" s="119">
        <v>2022</v>
      </c>
      <c r="D40" s="119">
        <v>2023</v>
      </c>
      <c r="E40" s="119">
        <v>2033</v>
      </c>
      <c r="F40" s="5"/>
      <c r="G40" s="5"/>
      <c r="H40" s="5"/>
      <c r="I40" s="5"/>
      <c r="J40" s="5"/>
      <c r="K40" s="5"/>
    </row>
    <row r="41" spans="1:17" s="14" customFormat="1">
      <c r="A41" s="56" t="s">
        <v>1</v>
      </c>
      <c r="B41" s="56">
        <v>127.747</v>
      </c>
      <c r="C41" s="56">
        <v>145.14400000000001</v>
      </c>
      <c r="D41" s="56">
        <v>152.40120000000002</v>
      </c>
      <c r="E41" s="56">
        <v>248.24549579443436</v>
      </c>
    </row>
    <row r="42" spans="1:17" s="14" customFormat="1">
      <c r="A42" s="56" t="s">
        <v>56</v>
      </c>
      <c r="B42" s="121">
        <v>-0.40097159764978407</v>
      </c>
      <c r="C42" s="121">
        <v>0.13618323717973801</v>
      </c>
      <c r="D42" s="121">
        <v>0.05</v>
      </c>
      <c r="E42" s="121">
        <v>0.05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5612-ACFD-42B9-9D33-6190064870A9}">
  <dimension ref="A1:D22"/>
  <sheetViews>
    <sheetView workbookViewId="0">
      <selection activeCell="A3" sqref="A3"/>
    </sheetView>
  </sheetViews>
  <sheetFormatPr defaultRowHeight="15.75"/>
  <cols>
    <col min="1" max="1" width="58.5" style="11" customWidth="1"/>
    <col min="2" max="2" width="10.25" style="11" bestFit="1" customWidth="1"/>
    <col min="3" max="3" width="10.125" style="11" bestFit="1" customWidth="1"/>
    <col min="4" max="16384" width="9" style="11"/>
  </cols>
  <sheetData>
    <row r="1" spans="1:4">
      <c r="A1" s="44" t="s">
        <v>263</v>
      </c>
      <c r="B1" s="33" t="s">
        <v>260</v>
      </c>
      <c r="C1" s="33"/>
    </row>
    <row r="2" spans="1:4">
      <c r="A2" s="49" t="s">
        <v>264</v>
      </c>
      <c r="B2" s="33" t="s">
        <v>261</v>
      </c>
      <c r="C2" s="33" t="s">
        <v>261</v>
      </c>
    </row>
    <row r="3" spans="1:4">
      <c r="A3" s="58"/>
      <c r="B3" s="34">
        <v>2021</v>
      </c>
      <c r="C3" s="34">
        <v>2022</v>
      </c>
    </row>
    <row r="4" spans="1:4" s="51" customFormat="1">
      <c r="A4" s="45" t="s">
        <v>1</v>
      </c>
      <c r="B4" s="45">
        <v>127.747</v>
      </c>
      <c r="C4" s="45">
        <v>145.14400000000001</v>
      </c>
      <c r="D4" s="9"/>
    </row>
    <row r="5" spans="1:4">
      <c r="A5" s="45" t="s">
        <v>11</v>
      </c>
      <c r="B5" s="45">
        <v>-45.484999999999999</v>
      </c>
      <c r="C5" s="45">
        <v>-48.725000000000001</v>
      </c>
    </row>
    <row r="6" spans="1:4">
      <c r="A6" s="46" t="s">
        <v>2</v>
      </c>
      <c r="B6" s="46">
        <f>SUM(B4:B5)</f>
        <v>82.262</v>
      </c>
      <c r="C6" s="46">
        <f>SUM(C4:C5)</f>
        <v>96.419000000000011</v>
      </c>
    </row>
    <row r="7" spans="1:4">
      <c r="A7" s="45" t="s">
        <v>3</v>
      </c>
      <c r="B7" s="45">
        <v>-4.1159999999999997</v>
      </c>
      <c r="C7" s="45">
        <v>-4.2210000000000001</v>
      </c>
    </row>
    <row r="8" spans="1:4" s="51" customFormat="1">
      <c r="A8" s="45" t="s">
        <v>4</v>
      </c>
      <c r="B8" s="45">
        <v>-3.7440000000000002</v>
      </c>
      <c r="C8" s="45">
        <v>-3.4049999999999998</v>
      </c>
    </row>
    <row r="9" spans="1:4">
      <c r="A9" s="45" t="s">
        <v>5</v>
      </c>
      <c r="B9" s="45">
        <v>-52.113</v>
      </c>
      <c r="C9" s="45">
        <v>-41.125</v>
      </c>
    </row>
    <row r="10" spans="1:4" s="51" customFormat="1">
      <c r="A10" s="46" t="s">
        <v>6</v>
      </c>
      <c r="B10" s="46">
        <f>SUM(B6:B9)</f>
        <v>22.289000000000001</v>
      </c>
      <c r="C10" s="46">
        <f>SUM(C6:C9)</f>
        <v>47.668000000000006</v>
      </c>
    </row>
    <row r="11" spans="1:4">
      <c r="A11" s="45" t="s">
        <v>7</v>
      </c>
      <c r="B11" s="45">
        <v>0</v>
      </c>
      <c r="C11" s="45">
        <v>1</v>
      </c>
    </row>
    <row r="12" spans="1:4">
      <c r="A12" s="46" t="s">
        <v>8</v>
      </c>
      <c r="B12" s="46">
        <f>SUM(B10:B11)</f>
        <v>22.289000000000001</v>
      </c>
      <c r="C12" s="46">
        <f>SUM(C10:C11)</f>
        <v>48.668000000000006</v>
      </c>
    </row>
    <row r="13" spans="1:4">
      <c r="A13" s="45" t="s">
        <v>12</v>
      </c>
      <c r="B13" s="45">
        <v>2.1999999999999999E-2</v>
      </c>
      <c r="C13" s="45">
        <v>1.2999999999999999E-2</v>
      </c>
    </row>
    <row r="14" spans="1:4">
      <c r="A14" s="45" t="s">
        <v>117</v>
      </c>
      <c r="B14" s="45"/>
      <c r="C14" s="45">
        <v>-1.6670376996805101</v>
      </c>
    </row>
    <row r="15" spans="1:4">
      <c r="A15" s="45" t="s">
        <v>13</v>
      </c>
      <c r="B15" s="45">
        <v>6.423</v>
      </c>
      <c r="C15" s="45">
        <v>0.14799999999999999</v>
      </c>
    </row>
    <row r="16" spans="1:4" s="51" customFormat="1">
      <c r="A16" s="45" t="s">
        <v>14</v>
      </c>
      <c r="B16" s="45" t="s">
        <v>9</v>
      </c>
      <c r="C16" s="45">
        <v>29.863</v>
      </c>
    </row>
    <row r="17" spans="1:3">
      <c r="A17" s="45" t="s">
        <v>15</v>
      </c>
      <c r="B17" s="45" t="s">
        <v>9</v>
      </c>
      <c r="C17" s="45">
        <v>2.88</v>
      </c>
    </row>
    <row r="18" spans="1:3">
      <c r="A18" s="46" t="s">
        <v>10</v>
      </c>
      <c r="B18" s="46">
        <f>SUM(B12:B17)</f>
        <v>28.734000000000002</v>
      </c>
      <c r="C18" s="46">
        <f>SUM(C12:C17)</f>
        <v>79.904962300319482</v>
      </c>
    </row>
    <row r="19" spans="1:3">
      <c r="A19" s="50"/>
      <c r="B19" s="50"/>
      <c r="C19" s="50"/>
    </row>
    <row r="20" spans="1:3" s="51" customFormat="1">
      <c r="A20" s="45" t="s">
        <v>55</v>
      </c>
      <c r="B20" s="47">
        <v>28.734000000000002</v>
      </c>
      <c r="C20" s="47">
        <v>79.571999999999989</v>
      </c>
    </row>
    <row r="21" spans="1:3">
      <c r="A21" s="45" t="s">
        <v>48</v>
      </c>
      <c r="B21" s="47">
        <v>0</v>
      </c>
      <c r="C21" s="47">
        <v>-1.6670376996805101</v>
      </c>
    </row>
    <row r="22" spans="1:3">
      <c r="A22" s="46" t="s">
        <v>10</v>
      </c>
      <c r="B22" s="48">
        <f t="shared" ref="B22:C22" si="0">SUM(B20:B21)</f>
        <v>28.734000000000002</v>
      </c>
      <c r="C22" s="48">
        <f t="shared" si="0"/>
        <v>77.904962300319482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3DC1-641E-4A0C-A4DB-0AF015072BA7}">
  <dimension ref="A1:C40"/>
  <sheetViews>
    <sheetView topLeftCell="A24" workbookViewId="0">
      <selection activeCell="A3" sqref="A3"/>
    </sheetView>
  </sheetViews>
  <sheetFormatPr defaultRowHeight="15.75"/>
  <cols>
    <col min="1" max="1" width="33.375" style="11" bestFit="1" customWidth="1"/>
    <col min="2" max="2" width="10.25" style="1" bestFit="1" customWidth="1"/>
    <col min="3" max="3" width="10.125" style="1" bestFit="1" customWidth="1"/>
    <col min="4" max="16384" width="9" style="1"/>
  </cols>
  <sheetData>
    <row r="1" spans="1:3">
      <c r="A1" s="44" t="s">
        <v>263</v>
      </c>
      <c r="B1" s="33" t="s">
        <v>260</v>
      </c>
      <c r="C1" s="33"/>
    </row>
    <row r="2" spans="1:3">
      <c r="A2" s="49" t="s">
        <v>265</v>
      </c>
      <c r="B2" s="33" t="s">
        <v>261</v>
      </c>
      <c r="C2" s="33" t="s">
        <v>261</v>
      </c>
    </row>
    <row r="3" spans="1:3">
      <c r="A3" s="57"/>
      <c r="B3" s="34">
        <v>2021</v>
      </c>
      <c r="C3" s="34">
        <v>2022</v>
      </c>
    </row>
    <row r="4" spans="1:3" s="22" customFormat="1">
      <c r="A4" s="50"/>
      <c r="B4" s="54">
        <v>2021</v>
      </c>
      <c r="C4" s="54">
        <v>2022</v>
      </c>
    </row>
    <row r="5" spans="1:3">
      <c r="A5" s="45" t="s">
        <v>94</v>
      </c>
      <c r="B5" s="47">
        <v>0.52500000000000002</v>
      </c>
      <c r="C5" s="47">
        <v>0.33200000000000002</v>
      </c>
    </row>
    <row r="6" spans="1:3" s="22" customFormat="1">
      <c r="A6" s="45" t="s">
        <v>95</v>
      </c>
      <c r="B6" s="47">
        <v>69.575999999999993</v>
      </c>
      <c r="C6" s="47">
        <v>75.974999999999994</v>
      </c>
    </row>
    <row r="7" spans="1:3" s="22" customFormat="1">
      <c r="A7" s="45" t="s">
        <v>134</v>
      </c>
      <c r="B7" s="47">
        <v>38.94</v>
      </c>
      <c r="C7" s="47">
        <v>24.298999999999999</v>
      </c>
    </row>
    <row r="8" spans="1:3">
      <c r="A8" s="46" t="s">
        <v>17</v>
      </c>
      <c r="B8" s="48">
        <f>SUM(B5:B7)</f>
        <v>109.041</v>
      </c>
      <c r="C8" s="48">
        <f>SUM(C5:C7)</f>
        <v>100.60599999999999</v>
      </c>
    </row>
    <row r="9" spans="1:3">
      <c r="A9" s="45" t="s">
        <v>96</v>
      </c>
      <c r="B9" s="47">
        <v>-102.504</v>
      </c>
      <c r="C9" s="47">
        <v>-92.375</v>
      </c>
    </row>
    <row r="10" spans="1:3">
      <c r="A10" s="46" t="s">
        <v>18</v>
      </c>
      <c r="B10" s="48">
        <f>SUM(B8:B9)</f>
        <v>6.5369999999999919</v>
      </c>
      <c r="C10" s="48">
        <f>SUM(C8:C9)</f>
        <v>8.2309999999999945</v>
      </c>
    </row>
    <row r="11" spans="1:3" s="22" customFormat="1">
      <c r="A11" s="46" t="s">
        <v>19</v>
      </c>
      <c r="B11" s="48">
        <f>SUM(B10)</f>
        <v>6.5369999999999919</v>
      </c>
      <c r="C11" s="48">
        <f>SUM(C10)</f>
        <v>8.2309999999999945</v>
      </c>
    </row>
    <row r="12" spans="1:3">
      <c r="A12" s="45" t="s">
        <v>97</v>
      </c>
      <c r="B12" s="47">
        <v>21.379000000000001</v>
      </c>
      <c r="C12" s="47">
        <v>21.782</v>
      </c>
    </row>
    <row r="13" spans="1:3">
      <c r="A13" s="45" t="s">
        <v>98</v>
      </c>
      <c r="B13" s="47">
        <v>6.5110000000000001</v>
      </c>
      <c r="C13" s="47">
        <v>4.407</v>
      </c>
    </row>
    <row r="14" spans="1:3" s="22" customFormat="1">
      <c r="A14" s="45" t="s">
        <v>99</v>
      </c>
      <c r="B14" s="47">
        <v>57.353000000000002</v>
      </c>
      <c r="C14" s="52" t="s">
        <v>20</v>
      </c>
    </row>
    <row r="15" spans="1:3">
      <c r="A15" s="46" t="s">
        <v>21</v>
      </c>
      <c r="B15" s="48">
        <f>SUM(B11:B14)</f>
        <v>91.78</v>
      </c>
      <c r="C15" s="48">
        <f>SUM(C11:C14)</f>
        <v>34.419999999999995</v>
      </c>
    </row>
    <row r="16" spans="1:3">
      <c r="A16" s="45" t="s">
        <v>100</v>
      </c>
      <c r="B16" s="47">
        <v>35.716999999999999</v>
      </c>
      <c r="C16" s="47">
        <v>35.99</v>
      </c>
    </row>
    <row r="17" spans="1:3">
      <c r="A17" s="45" t="s">
        <v>101</v>
      </c>
      <c r="B17" s="47">
        <v>52.085000000000001</v>
      </c>
      <c r="C17" s="47">
        <v>57.667999999999999</v>
      </c>
    </row>
    <row r="18" spans="1:3">
      <c r="A18" s="46" t="s">
        <v>22</v>
      </c>
      <c r="B18" s="48">
        <f>SUM(B15:B17)</f>
        <v>179.58199999999999</v>
      </c>
      <c r="C18" s="48">
        <f>SUM(C15:C17)</f>
        <v>128.078</v>
      </c>
    </row>
    <row r="19" spans="1:3">
      <c r="A19" s="50"/>
      <c r="B19" s="55"/>
      <c r="C19" s="55"/>
    </row>
    <row r="20" spans="1:3">
      <c r="A20" s="45" t="s">
        <v>102</v>
      </c>
      <c r="B20" s="52" t="s">
        <v>20</v>
      </c>
      <c r="C20" s="47">
        <v>6.7389999999999999</v>
      </c>
    </row>
    <row r="21" spans="1:3">
      <c r="A21" s="45" t="s">
        <v>103</v>
      </c>
      <c r="B21" s="52" t="s">
        <v>20</v>
      </c>
      <c r="C21" s="47">
        <v>0.75</v>
      </c>
    </row>
    <row r="22" spans="1:3">
      <c r="A22" s="45" t="s">
        <v>104</v>
      </c>
      <c r="B22" s="47">
        <v>2.8319999999999999</v>
      </c>
      <c r="C22" s="47">
        <v>4.1909999999999998</v>
      </c>
    </row>
    <row r="23" spans="1:3">
      <c r="A23" s="46" t="s">
        <v>23</v>
      </c>
      <c r="B23" s="48">
        <f>SUM(B20:B22,B18)</f>
        <v>182.41399999999999</v>
      </c>
      <c r="C23" s="48">
        <f>SUM(C20:C22,C18)</f>
        <v>139.75800000000001</v>
      </c>
    </row>
    <row r="24" spans="1:3">
      <c r="A24" s="50"/>
      <c r="B24" s="55"/>
      <c r="C24" s="55"/>
    </row>
    <row r="25" spans="1:3">
      <c r="A25" s="45" t="s">
        <v>24</v>
      </c>
      <c r="B25" s="55"/>
      <c r="C25" s="53"/>
    </row>
    <row r="26" spans="1:3">
      <c r="A26" s="45" t="s">
        <v>105</v>
      </c>
      <c r="B26" s="47">
        <v>12.5</v>
      </c>
      <c r="C26" s="52" t="s">
        <v>9</v>
      </c>
    </row>
    <row r="27" spans="1:3">
      <c r="A27" s="45" t="s">
        <v>106</v>
      </c>
      <c r="B27" s="47">
        <v>5.7469999999999999</v>
      </c>
      <c r="C27" s="47">
        <v>1</v>
      </c>
    </row>
    <row r="28" spans="1:3" s="22" customFormat="1">
      <c r="A28" s="45" t="s">
        <v>107</v>
      </c>
      <c r="B28" s="47">
        <v>0.44700000000000001</v>
      </c>
      <c r="C28" s="47">
        <v>0.26</v>
      </c>
    </row>
    <row r="29" spans="1:3">
      <c r="A29" s="45" t="s">
        <v>108</v>
      </c>
      <c r="B29" s="47">
        <v>86.582999999999998</v>
      </c>
      <c r="C29" s="47">
        <v>51.533999999999999</v>
      </c>
    </row>
    <row r="30" spans="1:3">
      <c r="A30" s="45" t="s">
        <v>109</v>
      </c>
      <c r="B30" s="47">
        <v>40.866</v>
      </c>
      <c r="C30" s="52" t="s">
        <v>9</v>
      </c>
    </row>
    <row r="31" spans="1:3">
      <c r="A31" s="45" t="s">
        <v>110</v>
      </c>
      <c r="B31" s="47">
        <v>2.9710000000000001</v>
      </c>
      <c r="C31" s="47">
        <v>3.706</v>
      </c>
    </row>
    <row r="32" spans="1:3">
      <c r="A32" s="46" t="s">
        <v>25</v>
      </c>
      <c r="B32" s="48">
        <f t="shared" ref="B32:C32" si="0">SUM(B26:B31)</f>
        <v>149.114</v>
      </c>
      <c r="C32" s="48">
        <f t="shared" si="0"/>
        <v>56.5</v>
      </c>
    </row>
    <row r="33" spans="1:3">
      <c r="A33" s="45" t="s">
        <v>111</v>
      </c>
      <c r="B33" s="47">
        <v>0.22900000000000001</v>
      </c>
      <c r="C33" s="47">
        <v>0.23</v>
      </c>
    </row>
    <row r="34" spans="1:3">
      <c r="A34" s="45" t="s">
        <v>112</v>
      </c>
      <c r="B34" s="47">
        <v>4.9749999999999996</v>
      </c>
      <c r="C34" s="47">
        <v>1</v>
      </c>
    </row>
    <row r="35" spans="1:3">
      <c r="A35" s="45" t="s">
        <v>113</v>
      </c>
      <c r="B35" s="47">
        <v>0.999</v>
      </c>
      <c r="C35" s="47">
        <v>0.999</v>
      </c>
    </row>
    <row r="36" spans="1:3">
      <c r="A36" s="45" t="s">
        <v>114</v>
      </c>
      <c r="B36" s="47">
        <v>2.0049999999999999</v>
      </c>
      <c r="C36" s="47">
        <v>1.57</v>
      </c>
    </row>
    <row r="37" spans="1:3">
      <c r="A37" s="45" t="s">
        <v>115</v>
      </c>
      <c r="B37" s="47">
        <v>-1.645</v>
      </c>
      <c r="C37" s="52" t="s">
        <v>9</v>
      </c>
    </row>
    <row r="38" spans="1:3">
      <c r="A38" s="45" t="s">
        <v>116</v>
      </c>
      <c r="B38" s="47">
        <v>26.736999999999998</v>
      </c>
      <c r="C38" s="47">
        <v>79.459000000000003</v>
      </c>
    </row>
    <row r="39" spans="1:3">
      <c r="A39" s="46" t="s">
        <v>26</v>
      </c>
      <c r="B39" s="48">
        <f t="shared" ref="B39:C39" si="1">SUM(B33:B38)</f>
        <v>33.299999999999997</v>
      </c>
      <c r="C39" s="48">
        <f t="shared" si="1"/>
        <v>83.25800000000001</v>
      </c>
    </row>
    <row r="40" spans="1:3">
      <c r="A40" s="46" t="s">
        <v>27</v>
      </c>
      <c r="B40" s="48">
        <f>SUM(B39,B32)</f>
        <v>182.41399999999999</v>
      </c>
      <c r="C40" s="48">
        <f>SUM(C39,C32)</f>
        <v>139.75800000000001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7023-1161-40A9-AF28-A0A805E9497F}">
  <dimension ref="A1:C39"/>
  <sheetViews>
    <sheetView workbookViewId="0">
      <selection activeCell="A3" sqref="A3"/>
    </sheetView>
  </sheetViews>
  <sheetFormatPr defaultRowHeight="15.75"/>
  <cols>
    <col min="1" max="1" width="55.375" bestFit="1" customWidth="1"/>
    <col min="2" max="2" width="10.25" bestFit="1" customWidth="1"/>
  </cols>
  <sheetData>
    <row r="1" spans="1:3">
      <c r="A1" s="44" t="s">
        <v>263</v>
      </c>
      <c r="B1" s="33" t="s">
        <v>260</v>
      </c>
      <c r="C1" s="33"/>
    </row>
    <row r="2" spans="1:3">
      <c r="A2" s="49" t="s">
        <v>266</v>
      </c>
      <c r="B2" s="33" t="s">
        <v>261</v>
      </c>
      <c r="C2" s="33" t="s">
        <v>261</v>
      </c>
    </row>
    <row r="3" spans="1:3">
      <c r="A3" s="57"/>
      <c r="B3" s="34">
        <v>2021</v>
      </c>
      <c r="C3" s="34">
        <v>2022</v>
      </c>
    </row>
    <row r="4" spans="1:3">
      <c r="A4" s="45" t="s">
        <v>8</v>
      </c>
      <c r="B4" s="47">
        <v>22.289000000000001</v>
      </c>
      <c r="C4" s="45">
        <v>46.668000000000006</v>
      </c>
    </row>
    <row r="5" spans="1:3" s="10" customFormat="1">
      <c r="A5" s="45" t="s">
        <v>3</v>
      </c>
      <c r="B5" s="47">
        <v>4.1159999999999997</v>
      </c>
      <c r="C5" s="45">
        <v>4.2210000000000001</v>
      </c>
    </row>
    <row r="6" spans="1:3">
      <c r="A6" s="45" t="s">
        <v>4</v>
      </c>
      <c r="B6" s="47">
        <v>3.7440000000000002</v>
      </c>
      <c r="C6" s="45">
        <v>3.4049999999999998</v>
      </c>
    </row>
    <row r="7" spans="1:3">
      <c r="A7" s="46" t="s">
        <v>28</v>
      </c>
      <c r="B7" s="48">
        <f>SUM(B4:B6)</f>
        <v>30.149000000000001</v>
      </c>
      <c r="C7" s="48">
        <f>SUM(C4:C6)</f>
        <v>54.294000000000011</v>
      </c>
    </row>
    <row r="8" spans="1:3">
      <c r="A8" s="45" t="s">
        <v>29</v>
      </c>
      <c r="B8" s="47">
        <v>0.69899999999999995</v>
      </c>
      <c r="C8" s="45">
        <v>-0.52600000000000002</v>
      </c>
    </row>
    <row r="9" spans="1:3">
      <c r="A9" s="45" t="s">
        <v>30</v>
      </c>
      <c r="B9" s="47">
        <v>-0.76500000000000001</v>
      </c>
      <c r="C9" s="45">
        <v>6.4880000000000004</v>
      </c>
    </row>
    <row r="10" spans="1:3">
      <c r="A10" s="45" t="s">
        <v>31</v>
      </c>
      <c r="B10" s="47">
        <v>-1.0999999999999999E-2</v>
      </c>
      <c r="C10" s="45">
        <v>7.0000000000000007E-2</v>
      </c>
    </row>
    <row r="11" spans="1:3">
      <c r="A11" s="45" t="s">
        <v>32</v>
      </c>
      <c r="B11" s="47">
        <v>0.59299999999999997</v>
      </c>
      <c r="C11" s="45">
        <v>4.3540000000000001</v>
      </c>
    </row>
    <row r="12" spans="1:3">
      <c r="A12" s="45" t="s">
        <v>33</v>
      </c>
      <c r="B12" s="47">
        <v>0.97199999999999998</v>
      </c>
      <c r="C12" s="45">
        <v>-2.4E-2</v>
      </c>
    </row>
    <row r="13" spans="1:3">
      <c r="A13" s="45" t="s">
        <v>34</v>
      </c>
      <c r="B13" s="47">
        <v>-0.52900000000000003</v>
      </c>
      <c r="C13" s="45">
        <v>-0.68400000000000005</v>
      </c>
    </row>
    <row r="14" spans="1:3">
      <c r="A14" s="45" t="s">
        <v>35</v>
      </c>
      <c r="B14" s="47">
        <v>0</v>
      </c>
      <c r="C14" s="45">
        <v>12.5</v>
      </c>
    </row>
    <row r="15" spans="1:3">
      <c r="A15" s="45" t="s">
        <v>36</v>
      </c>
      <c r="B15" s="47">
        <v>2.1999999999999999E-2</v>
      </c>
      <c r="C15" s="45">
        <v>-7.0000000000000001E-3</v>
      </c>
    </row>
    <row r="16" spans="1:3">
      <c r="A16" s="45" t="s">
        <v>37</v>
      </c>
      <c r="B16" s="47">
        <v>-3.2869999999999999</v>
      </c>
      <c r="C16" s="45">
        <v>-5.1849999999999996</v>
      </c>
    </row>
    <row r="17" spans="1:3">
      <c r="A17" s="46" t="s">
        <v>38</v>
      </c>
      <c r="B17" s="48">
        <f>SUM(B7:B16)</f>
        <v>27.843000000000004</v>
      </c>
      <c r="C17" s="48">
        <f>SUM(C7:C16)</f>
        <v>71.28</v>
      </c>
    </row>
    <row r="18" spans="1:3">
      <c r="A18" s="45"/>
      <c r="B18" s="47"/>
      <c r="C18" s="46"/>
    </row>
    <row r="19" spans="1:3">
      <c r="A19" s="45" t="s">
        <v>39</v>
      </c>
      <c r="B19" s="47">
        <v>0.33200000000000002</v>
      </c>
      <c r="C19" s="45">
        <v>1.2999999999999999E-2</v>
      </c>
    </row>
    <row r="20" spans="1:3">
      <c r="A20" s="45" t="s">
        <v>40</v>
      </c>
      <c r="B20" s="47">
        <v>-3.2869999999999999</v>
      </c>
      <c r="C20" s="45">
        <v>-5.6269999999999998</v>
      </c>
    </row>
    <row r="21" spans="1:3">
      <c r="A21" s="45" t="s">
        <v>41</v>
      </c>
      <c r="B21" s="47">
        <v>-60.8</v>
      </c>
      <c r="C21" s="45">
        <v>-7.4429999999999996</v>
      </c>
    </row>
    <row r="22" spans="1:3">
      <c r="A22" s="45" t="s">
        <v>42</v>
      </c>
      <c r="B22" s="47"/>
      <c r="C22" s="45">
        <v>-2</v>
      </c>
    </row>
    <row r="23" spans="1:3">
      <c r="A23" s="45" t="s">
        <v>43</v>
      </c>
      <c r="B23" s="47"/>
      <c r="C23" s="45">
        <v>-6.7389999999999999</v>
      </c>
    </row>
    <row r="24" spans="1:3">
      <c r="A24" s="45" t="s">
        <v>44</v>
      </c>
      <c r="B24" s="47"/>
      <c r="C24" s="45">
        <v>-0.75</v>
      </c>
    </row>
    <row r="25" spans="1:3">
      <c r="A25" s="45" t="s">
        <v>45</v>
      </c>
      <c r="B25" s="47">
        <v>2.1000000000000001E-2</v>
      </c>
      <c r="C25" s="45">
        <v>20.158999999999999</v>
      </c>
    </row>
    <row r="26" spans="1:3">
      <c r="A26" s="46" t="s">
        <v>140</v>
      </c>
      <c r="B26" s="46">
        <f>SUM(B19:B25)</f>
        <v>-63.733999999999995</v>
      </c>
      <c r="C26" s="46">
        <f>SUM(C19:C25)</f>
        <v>-2.3870000000000005</v>
      </c>
    </row>
    <row r="27" spans="1:3">
      <c r="A27" s="45"/>
      <c r="B27" s="47"/>
      <c r="C27" s="45"/>
    </row>
    <row r="28" spans="1:3">
      <c r="A28" s="45" t="s">
        <v>47</v>
      </c>
      <c r="B28" s="47"/>
      <c r="C28" s="45"/>
    </row>
    <row r="29" spans="1:3">
      <c r="A29" s="45" t="s">
        <v>48</v>
      </c>
      <c r="B29" s="47">
        <v>-1.54</v>
      </c>
      <c r="C29" s="45">
        <v>1.6670376996805101</v>
      </c>
    </row>
    <row r="30" spans="1:3">
      <c r="A30" s="45" t="s">
        <v>49</v>
      </c>
      <c r="B30" s="47">
        <v>-21.385000000000002</v>
      </c>
      <c r="C30" s="45">
        <v>-23.096</v>
      </c>
    </row>
    <row r="31" spans="1:3">
      <c r="A31" s="45" t="s">
        <v>50</v>
      </c>
      <c r="B31" s="56">
        <v>1E-3</v>
      </c>
      <c r="C31" s="45">
        <v>1E-3</v>
      </c>
    </row>
    <row r="32" spans="1:3">
      <c r="A32" s="45" t="s">
        <v>51</v>
      </c>
      <c r="B32" s="47">
        <v>-70</v>
      </c>
      <c r="C32" s="45">
        <v>-61.469000000000001</v>
      </c>
    </row>
    <row r="33" spans="1:3">
      <c r="A33" s="45" t="s">
        <v>52</v>
      </c>
      <c r="B33" s="47">
        <v>81.259</v>
      </c>
      <c r="C33" s="45">
        <v>26.42</v>
      </c>
    </row>
    <row r="34" spans="1:3">
      <c r="A34" s="45" t="s">
        <v>53</v>
      </c>
      <c r="B34" s="47">
        <v>0.21099999999999999</v>
      </c>
      <c r="C34" s="45">
        <v>-0.24299999999999999</v>
      </c>
    </row>
    <row r="35" spans="1:3">
      <c r="A35" s="46" t="s">
        <v>141</v>
      </c>
      <c r="B35" s="48">
        <f t="shared" ref="B35:C35" si="0">SUM(B29:B34)</f>
        <v>-11.454000000000006</v>
      </c>
      <c r="C35" s="46">
        <f t="shared" si="0"/>
        <v>-56.719962300319487</v>
      </c>
    </row>
    <row r="36" spans="1:3">
      <c r="A36" s="45"/>
      <c r="B36" s="47"/>
      <c r="C36" s="45"/>
    </row>
    <row r="37" spans="1:3">
      <c r="A37" s="45" t="s">
        <v>143</v>
      </c>
      <c r="B37" s="47">
        <f>SUM(B35,B26,B17)</f>
        <v>-47.344999999999999</v>
      </c>
      <c r="C37" s="47">
        <f>SUM(C35,C26,C17)</f>
        <v>12.173037699680513</v>
      </c>
    </row>
    <row r="38" spans="1:3">
      <c r="A38" s="45" t="s">
        <v>144</v>
      </c>
      <c r="B38" s="47">
        <v>86.284999999999997</v>
      </c>
      <c r="C38" s="45">
        <v>12.125962300319486</v>
      </c>
    </row>
    <row r="39" spans="1:3">
      <c r="A39" s="46" t="s">
        <v>46</v>
      </c>
      <c r="B39" s="48">
        <f t="shared" ref="B39:C39" si="1">SUM(B38)</f>
        <v>86.284999999999997</v>
      </c>
      <c r="C39" s="46">
        <f t="shared" si="1"/>
        <v>12.125962300319486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DD2C-9746-4354-9FAF-4FC4A360D7A6}">
  <dimension ref="A1:L62"/>
  <sheetViews>
    <sheetView workbookViewId="0">
      <selection activeCell="I12" sqref="I12"/>
    </sheetView>
  </sheetViews>
  <sheetFormatPr defaultRowHeight="15.75"/>
  <cols>
    <col min="1" max="1" width="10.625" style="135" customWidth="1"/>
    <col min="2" max="2" width="14.625" style="135" customWidth="1"/>
    <col min="3" max="3" width="14.125" style="141" customWidth="1"/>
    <col min="4" max="4" width="12.5" style="142" customWidth="1"/>
    <col min="5" max="5" width="11.75" style="143" customWidth="1"/>
    <col min="6" max="16384" width="9" style="135"/>
  </cols>
  <sheetData>
    <row r="1" spans="1:12">
      <c r="A1" s="132" t="s">
        <v>233</v>
      </c>
      <c r="B1" s="132" t="s">
        <v>232</v>
      </c>
      <c r="C1" s="132" t="s">
        <v>231</v>
      </c>
      <c r="D1" s="133" t="s">
        <v>230</v>
      </c>
      <c r="E1" s="134" t="s">
        <v>229</v>
      </c>
    </row>
    <row r="2" spans="1:12">
      <c r="A2" s="136">
        <v>43101</v>
      </c>
      <c r="B2" s="137">
        <v>693.544983</v>
      </c>
      <c r="C2" s="137">
        <v>3705.203125</v>
      </c>
      <c r="D2" s="138"/>
      <c r="E2" s="139"/>
    </row>
    <row r="3" spans="1:12">
      <c r="A3" s="136">
        <v>43132</v>
      </c>
      <c r="B3" s="137">
        <v>624.11248799999998</v>
      </c>
      <c r="C3" s="137">
        <v>3800.498779</v>
      </c>
      <c r="D3" s="138">
        <f t="shared" ref="D3:D34" si="0">LN(B3/B2)</f>
        <v>-0.10548548003235277</v>
      </c>
      <c r="E3" s="139">
        <f t="shared" ref="E3:E34" si="1">LN(C3/C2)</f>
        <v>2.5394233943747478E-2</v>
      </c>
    </row>
    <row r="4" spans="1:12">
      <c r="A4" s="136">
        <v>43160</v>
      </c>
      <c r="B4" s="137">
        <v>622.55206299999998</v>
      </c>
      <c r="C4" s="137">
        <v>3892.9638669999999</v>
      </c>
      <c r="D4" s="138">
        <f t="shared" si="0"/>
        <v>-2.5033611706636316E-3</v>
      </c>
      <c r="E4" s="139">
        <f t="shared" si="1"/>
        <v>2.4038471303902086E-2</v>
      </c>
    </row>
    <row r="5" spans="1:12">
      <c r="A5" s="136">
        <v>43191</v>
      </c>
      <c r="B5" s="137">
        <v>670.140625</v>
      </c>
      <c r="C5" s="137">
        <v>4057.1354980000001</v>
      </c>
      <c r="D5" s="138">
        <f t="shared" si="0"/>
        <v>7.3660318238308042E-2</v>
      </c>
      <c r="E5" s="139">
        <f t="shared" si="1"/>
        <v>4.1306395182670513E-2</v>
      </c>
    </row>
    <row r="6" spans="1:12">
      <c r="A6" s="136">
        <v>43221</v>
      </c>
      <c r="B6" s="137">
        <v>775.45971699999996</v>
      </c>
      <c r="C6" s="137">
        <v>4224.1401370000003</v>
      </c>
      <c r="D6" s="138">
        <f t="shared" si="0"/>
        <v>0.14596845829423039</v>
      </c>
      <c r="E6" s="139">
        <f t="shared" si="1"/>
        <v>4.0338539989780306E-2</v>
      </c>
    </row>
    <row r="7" spans="1:12">
      <c r="A7" s="136">
        <v>43252</v>
      </c>
      <c r="B7" s="137">
        <v>729.43139599999995</v>
      </c>
      <c r="C7" s="137">
        <v>4254.6630859999996</v>
      </c>
      <c r="D7" s="138">
        <f t="shared" si="0"/>
        <v>-6.1190715669818388E-2</v>
      </c>
      <c r="E7" s="139">
        <f t="shared" si="1"/>
        <v>7.1998559350804851E-3</v>
      </c>
    </row>
    <row r="8" spans="1:12">
      <c r="A8" s="136">
        <v>43282</v>
      </c>
      <c r="B8" s="137">
        <v>745.60644500000001</v>
      </c>
      <c r="C8" s="137">
        <v>4184.2451170000004</v>
      </c>
      <c r="D8" s="138">
        <f t="shared" si="0"/>
        <v>2.1932586333378103E-2</v>
      </c>
      <c r="E8" s="139">
        <f t="shared" si="1"/>
        <v>-1.6689268746173741E-2</v>
      </c>
    </row>
    <row r="9" spans="1:12">
      <c r="A9" s="136">
        <v>43313</v>
      </c>
      <c r="B9" s="137">
        <v>750.40130599999998</v>
      </c>
      <c r="C9" s="137">
        <v>4400.2602539999998</v>
      </c>
      <c r="D9" s="138">
        <f t="shared" si="0"/>
        <v>6.4102307165313068E-3</v>
      </c>
      <c r="E9" s="139">
        <f t="shared" si="1"/>
        <v>5.033737839571794E-2</v>
      </c>
    </row>
    <row r="10" spans="1:12">
      <c r="A10" s="136">
        <v>43344</v>
      </c>
      <c r="B10" s="137">
        <v>741.61071800000002</v>
      </c>
      <c r="C10" s="137">
        <v>4381.0444340000004</v>
      </c>
      <c r="D10" s="138">
        <f t="shared" si="0"/>
        <v>-1.1783671413349793E-2</v>
      </c>
      <c r="E10" s="139">
        <f t="shared" si="1"/>
        <v>-4.3765365978057228E-3</v>
      </c>
    </row>
    <row r="11" spans="1:12">
      <c r="A11" s="136">
        <v>43374</v>
      </c>
      <c r="B11" s="137">
        <v>632.12719700000002</v>
      </c>
      <c r="C11" s="137">
        <v>4122.15625</v>
      </c>
      <c r="D11" s="138">
        <f t="shared" si="0"/>
        <v>-0.15973383170975439</v>
      </c>
      <c r="E11" s="139">
        <f t="shared" si="1"/>
        <v>-6.0910763107584504E-2</v>
      </c>
    </row>
    <row r="12" spans="1:12">
      <c r="A12" s="136">
        <v>43405</v>
      </c>
      <c r="B12" s="137">
        <v>703.25158699999997</v>
      </c>
      <c r="C12" s="137">
        <v>3852.758789</v>
      </c>
      <c r="D12" s="138">
        <f t="shared" si="0"/>
        <v>0.10662406906038814</v>
      </c>
      <c r="E12" s="139">
        <f t="shared" si="1"/>
        <v>-6.7586927847534908E-2</v>
      </c>
      <c r="L12" s="140"/>
    </row>
    <row r="13" spans="1:12">
      <c r="A13" s="136">
        <v>43435</v>
      </c>
      <c r="B13" s="137">
        <v>646.51190199999996</v>
      </c>
      <c r="C13" s="137">
        <v>3880.4624020000001</v>
      </c>
      <c r="D13" s="138">
        <f t="shared" si="0"/>
        <v>-8.4123096090990945E-2</v>
      </c>
      <c r="E13" s="139">
        <f t="shared" si="1"/>
        <v>7.1648620490672426E-3</v>
      </c>
    </row>
    <row r="14" spans="1:12">
      <c r="A14" s="136">
        <v>43466</v>
      </c>
      <c r="B14" s="137">
        <v>688.76104699999996</v>
      </c>
      <c r="C14" s="137">
        <v>4374.3569340000004</v>
      </c>
      <c r="D14" s="138">
        <f t="shared" si="0"/>
        <v>6.3302791598038838E-2</v>
      </c>
      <c r="E14" s="139">
        <f t="shared" si="1"/>
        <v>0.11980520018420616</v>
      </c>
    </row>
    <row r="15" spans="1:12">
      <c r="A15" s="136">
        <v>43497</v>
      </c>
      <c r="B15" s="137">
        <v>704.96710199999995</v>
      </c>
      <c r="C15" s="137">
        <v>4305.5747069999998</v>
      </c>
      <c r="D15" s="138">
        <f t="shared" si="0"/>
        <v>2.3256738353741535E-2</v>
      </c>
      <c r="E15" s="139">
        <f t="shared" si="1"/>
        <v>-1.5848895961052507E-2</v>
      </c>
    </row>
    <row r="16" spans="1:12">
      <c r="A16" s="136">
        <v>43525</v>
      </c>
      <c r="B16" s="137">
        <v>694.43328899999995</v>
      </c>
      <c r="C16" s="137">
        <v>4538.669922</v>
      </c>
      <c r="D16" s="138">
        <f t="shared" si="0"/>
        <v>-1.505503646848807E-2</v>
      </c>
      <c r="E16" s="139">
        <f t="shared" si="1"/>
        <v>5.2723373876406514E-2</v>
      </c>
    </row>
    <row r="17" spans="1:5">
      <c r="A17" s="136">
        <v>43556</v>
      </c>
      <c r="B17" s="137">
        <v>815.16900599999997</v>
      </c>
      <c r="C17" s="137">
        <v>4789.9155270000001</v>
      </c>
      <c r="D17" s="138">
        <f t="shared" si="0"/>
        <v>0.16029935964276656</v>
      </c>
      <c r="E17" s="139">
        <f t="shared" si="1"/>
        <v>5.387877557841355E-2</v>
      </c>
    </row>
    <row r="18" spans="1:5">
      <c r="A18" s="136">
        <v>43586</v>
      </c>
      <c r="B18" s="137">
        <v>881.61419699999999</v>
      </c>
      <c r="C18" s="137">
        <v>5047.8496089999999</v>
      </c>
      <c r="D18" s="138">
        <f t="shared" si="0"/>
        <v>7.8359080876153758E-2</v>
      </c>
      <c r="E18" s="139">
        <f t="shared" si="1"/>
        <v>5.2449556614703817E-2</v>
      </c>
    </row>
    <row r="19" spans="1:5">
      <c r="A19" s="136">
        <v>43617</v>
      </c>
      <c r="B19" s="137">
        <v>785.99798599999997</v>
      </c>
      <c r="C19" s="137">
        <v>5284.8452150000003</v>
      </c>
      <c r="D19" s="138">
        <f t="shared" si="0"/>
        <v>-0.1148003118591666</v>
      </c>
      <c r="E19" s="139">
        <f t="shared" si="1"/>
        <v>4.5880998686690322E-2</v>
      </c>
    </row>
    <row r="20" spans="1:5">
      <c r="A20" s="136">
        <v>43647</v>
      </c>
      <c r="B20" s="137">
        <v>775.16284199999996</v>
      </c>
      <c r="C20" s="137">
        <v>6383.0439450000003</v>
      </c>
      <c r="D20" s="138">
        <f t="shared" si="0"/>
        <v>-1.3881104093776783E-2</v>
      </c>
      <c r="E20" s="139">
        <f t="shared" si="1"/>
        <v>0.1888017596570612</v>
      </c>
    </row>
    <row r="21" spans="1:5">
      <c r="A21" s="136">
        <v>43678</v>
      </c>
      <c r="B21" s="137">
        <v>732.39941399999998</v>
      </c>
      <c r="C21" s="137">
        <v>6699.0185549999997</v>
      </c>
      <c r="D21" s="138">
        <f t="shared" si="0"/>
        <v>-5.6747113300374408E-2</v>
      </c>
      <c r="E21" s="139">
        <f t="shared" si="1"/>
        <v>4.8315940394746348E-2</v>
      </c>
    </row>
    <row r="22" spans="1:5">
      <c r="A22" s="136">
        <v>43709</v>
      </c>
      <c r="B22" s="137">
        <v>753.04193099999998</v>
      </c>
      <c r="C22" s="137">
        <v>7060.6054690000001</v>
      </c>
      <c r="D22" s="138">
        <f t="shared" si="0"/>
        <v>2.779489881768555E-2</v>
      </c>
      <c r="E22" s="139">
        <f t="shared" si="1"/>
        <v>5.2569776970832288E-2</v>
      </c>
    </row>
    <row r="23" spans="1:5">
      <c r="A23" s="136">
        <v>43739</v>
      </c>
      <c r="B23" s="137">
        <v>762.25024399999995</v>
      </c>
      <c r="C23" s="137">
        <v>6718.5893550000001</v>
      </c>
      <c r="D23" s="138">
        <f t="shared" si="0"/>
        <v>1.2153994464774174E-2</v>
      </c>
      <c r="E23" s="139">
        <f t="shared" si="1"/>
        <v>-4.965259322091687E-2</v>
      </c>
    </row>
    <row r="24" spans="1:5">
      <c r="A24" s="136">
        <v>43770</v>
      </c>
      <c r="B24" s="137">
        <v>847.31542999999999</v>
      </c>
      <c r="C24" s="137">
        <v>6639.3657229999999</v>
      </c>
      <c r="D24" s="138">
        <f t="shared" si="0"/>
        <v>0.10579812785254505</v>
      </c>
      <c r="E24" s="139">
        <f t="shared" si="1"/>
        <v>-1.1861779807510157E-2</v>
      </c>
    </row>
    <row r="25" spans="1:5">
      <c r="A25" s="136">
        <v>43800</v>
      </c>
      <c r="B25" s="137">
        <v>843.97937000000002</v>
      </c>
      <c r="C25" s="137">
        <v>7487.642578</v>
      </c>
      <c r="D25" s="138">
        <f t="shared" si="0"/>
        <v>-3.9449826565535395E-3</v>
      </c>
      <c r="E25" s="139">
        <f t="shared" si="1"/>
        <v>0.12023757011607313</v>
      </c>
    </row>
    <row r="26" spans="1:5">
      <c r="A26" s="136">
        <v>43831</v>
      </c>
      <c r="B26" s="137">
        <v>840.87383999999997</v>
      </c>
      <c r="C26" s="137">
        <v>7570.7314450000003</v>
      </c>
      <c r="D26" s="138">
        <f t="shared" si="0"/>
        <v>-3.6864143398243326E-3</v>
      </c>
      <c r="E26" s="139">
        <f t="shared" si="1"/>
        <v>1.1035681558751669E-2</v>
      </c>
    </row>
    <row r="27" spans="1:5">
      <c r="A27" s="136">
        <v>43862</v>
      </c>
      <c r="B27" s="137">
        <v>698.62390100000005</v>
      </c>
      <c r="C27" s="137">
        <v>7319.5327150000003</v>
      </c>
      <c r="D27" s="138">
        <f t="shared" si="0"/>
        <v>-0.18532909233080577</v>
      </c>
      <c r="E27" s="139">
        <f t="shared" si="1"/>
        <v>-3.3743197768980729E-2</v>
      </c>
    </row>
    <row r="28" spans="1:5">
      <c r="A28" s="136">
        <v>43891</v>
      </c>
      <c r="B28" s="137">
        <v>455.348816</v>
      </c>
      <c r="C28" s="137">
        <v>7033.5532229999999</v>
      </c>
      <c r="D28" s="138">
        <f t="shared" si="0"/>
        <v>-0.42804879068582979</v>
      </c>
      <c r="E28" s="139">
        <f t="shared" si="1"/>
        <v>-3.9854473928080614E-2</v>
      </c>
    </row>
    <row r="29" spans="1:5">
      <c r="A29" s="136">
        <v>43922</v>
      </c>
      <c r="B29" s="137">
        <v>561.54010000000005</v>
      </c>
      <c r="C29" s="137">
        <v>7203.5952150000003</v>
      </c>
      <c r="D29" s="138">
        <f t="shared" si="0"/>
        <v>0.2096194336661113</v>
      </c>
      <c r="E29" s="139">
        <f t="shared" si="1"/>
        <v>2.3888221553378546E-2</v>
      </c>
    </row>
    <row r="30" spans="1:5">
      <c r="A30" s="136">
        <v>43952</v>
      </c>
      <c r="B30" s="137">
        <v>632.05120799999997</v>
      </c>
      <c r="C30" s="137">
        <v>7809.5346680000002</v>
      </c>
      <c r="D30" s="138">
        <f t="shared" si="0"/>
        <v>0.11828722870203122</v>
      </c>
      <c r="E30" s="139">
        <f t="shared" si="1"/>
        <v>8.0765143702210523E-2</v>
      </c>
    </row>
    <row r="31" spans="1:5">
      <c r="A31" s="136">
        <v>43983</v>
      </c>
      <c r="B31" s="137">
        <v>508.86917099999999</v>
      </c>
      <c r="C31" s="137">
        <v>8128.529297</v>
      </c>
      <c r="D31" s="138">
        <f t="shared" si="0"/>
        <v>-0.21677946410284182</v>
      </c>
      <c r="E31" s="139">
        <f t="shared" si="1"/>
        <v>4.0034628403226545E-2</v>
      </c>
    </row>
    <row r="32" spans="1:5">
      <c r="A32" s="136">
        <v>44013</v>
      </c>
      <c r="B32" s="137">
        <v>516.61871299999996</v>
      </c>
      <c r="C32" s="137">
        <v>8251.0693360000005</v>
      </c>
      <c r="D32" s="138">
        <f t="shared" si="0"/>
        <v>1.5114151311253852E-2</v>
      </c>
      <c r="E32" s="139">
        <f t="shared" si="1"/>
        <v>1.4962799514277921E-2</v>
      </c>
    </row>
    <row r="33" spans="1:5">
      <c r="A33" s="136">
        <v>44044</v>
      </c>
      <c r="B33" s="137">
        <v>541.54711899999995</v>
      </c>
      <c r="C33" s="137">
        <v>8558.3945309999999</v>
      </c>
      <c r="D33" s="138">
        <f t="shared" si="0"/>
        <v>4.7124974963185143E-2</v>
      </c>
      <c r="E33" s="139">
        <f t="shared" si="1"/>
        <v>3.6569809341384589E-2</v>
      </c>
    </row>
    <row r="34" spans="1:5">
      <c r="A34" s="136">
        <v>44075</v>
      </c>
      <c r="B34" s="137">
        <v>438.49972500000001</v>
      </c>
      <c r="C34" s="137">
        <v>8677.9824219999991</v>
      </c>
      <c r="D34" s="138">
        <f t="shared" si="0"/>
        <v>-0.21107089367846585</v>
      </c>
      <c r="E34" s="139">
        <f t="shared" si="1"/>
        <v>1.3876444018844025E-2</v>
      </c>
    </row>
    <row r="35" spans="1:5">
      <c r="A35" s="136">
        <v>44105</v>
      </c>
      <c r="B35" s="137">
        <v>438.49972500000001</v>
      </c>
      <c r="C35" s="137">
        <v>8093.3247069999998</v>
      </c>
      <c r="D35" s="138">
        <f t="shared" ref="D35:D62" si="2">LN(B35/B34)</f>
        <v>0</v>
      </c>
      <c r="E35" s="139">
        <f t="shared" ref="E35:E62" si="3">LN(C35/C34)</f>
        <v>-6.9749450126228477E-2</v>
      </c>
    </row>
    <row r="36" spans="1:5">
      <c r="A36" s="136">
        <v>44136</v>
      </c>
      <c r="B36" s="137">
        <v>518.54333499999996</v>
      </c>
      <c r="C36" s="137">
        <v>7925.1606449999999</v>
      </c>
      <c r="D36" s="138">
        <f t="shared" si="2"/>
        <v>0.16766441713086819</v>
      </c>
      <c r="E36" s="139">
        <f t="shared" si="3"/>
        <v>-2.0997021445589875E-2</v>
      </c>
    </row>
    <row r="37" spans="1:5">
      <c r="A37" s="136">
        <v>44166</v>
      </c>
      <c r="B37" s="137">
        <v>569.00555399999996</v>
      </c>
      <c r="C37" s="137">
        <v>8807.0390630000002</v>
      </c>
      <c r="D37" s="138">
        <f t="shared" si="2"/>
        <v>9.2866593257936572E-2</v>
      </c>
      <c r="E37" s="139">
        <f t="shared" si="3"/>
        <v>0.10550870504220272</v>
      </c>
    </row>
    <row r="38" spans="1:5">
      <c r="A38" s="136">
        <v>44197</v>
      </c>
      <c r="B38" s="137">
        <v>548.081909</v>
      </c>
      <c r="C38" s="137">
        <v>8492.2216800000006</v>
      </c>
      <c r="D38" s="138">
        <f t="shared" si="2"/>
        <v>-3.7465450306132513E-2</v>
      </c>
      <c r="E38" s="139">
        <f t="shared" si="3"/>
        <v>-3.6400647193262956E-2</v>
      </c>
    </row>
    <row r="39" spans="1:5">
      <c r="A39" s="136">
        <v>44228</v>
      </c>
      <c r="B39" s="137">
        <v>514.59777799999995</v>
      </c>
      <c r="C39" s="137">
        <v>9403.4296880000002</v>
      </c>
      <c r="D39" s="138">
        <f t="shared" si="2"/>
        <v>-6.3039162835250087E-2</v>
      </c>
      <c r="E39" s="139">
        <f t="shared" si="3"/>
        <v>0.10192383508681353</v>
      </c>
    </row>
    <row r="40" spans="1:5">
      <c r="A40" s="136">
        <v>44256</v>
      </c>
      <c r="B40" s="137">
        <v>526.00842299999999</v>
      </c>
      <c r="C40" s="137">
        <v>6785.1733400000003</v>
      </c>
      <c r="D40" s="138">
        <f t="shared" si="2"/>
        <v>2.1931643995990138E-2</v>
      </c>
      <c r="E40" s="139">
        <f t="shared" si="3"/>
        <v>-0.32633464266429207</v>
      </c>
    </row>
    <row r="41" spans="1:5">
      <c r="A41" s="136">
        <v>44287</v>
      </c>
      <c r="B41" s="137">
        <v>534.92370600000004</v>
      </c>
      <c r="C41" s="137">
        <v>7234.9116210000002</v>
      </c>
      <c r="D41" s="138">
        <f t="shared" si="2"/>
        <v>1.6806905201900577E-2</v>
      </c>
      <c r="E41" s="139">
        <f t="shared" si="3"/>
        <v>6.4178304036714567E-2</v>
      </c>
    </row>
    <row r="42" spans="1:5">
      <c r="A42" s="136">
        <v>44317</v>
      </c>
      <c r="B42" s="137">
        <v>526.89996299999996</v>
      </c>
      <c r="C42" s="137">
        <v>7456.0590819999998</v>
      </c>
      <c r="D42" s="138">
        <f t="shared" si="2"/>
        <v>-1.5113424126199515E-2</v>
      </c>
      <c r="E42" s="139">
        <f t="shared" si="3"/>
        <v>3.0108856911343799E-2</v>
      </c>
    </row>
    <row r="43" spans="1:5">
      <c r="A43" s="136">
        <v>44348</v>
      </c>
      <c r="B43" s="137">
        <v>504.61148100000003</v>
      </c>
      <c r="C43" s="137">
        <v>7845.8930659999996</v>
      </c>
      <c r="D43" s="138">
        <f t="shared" si="2"/>
        <v>-4.3221918369678328E-2</v>
      </c>
      <c r="E43" s="139">
        <f t="shared" si="3"/>
        <v>5.0963217144231521E-2</v>
      </c>
    </row>
    <row r="44" spans="1:5">
      <c r="A44" s="136">
        <v>44378</v>
      </c>
      <c r="B44" s="137">
        <v>533.57885699999997</v>
      </c>
      <c r="C44" s="137">
        <v>7373.3671880000002</v>
      </c>
      <c r="D44" s="138">
        <f t="shared" si="2"/>
        <v>5.5818081879540737E-2</v>
      </c>
      <c r="E44" s="139">
        <f t="shared" si="3"/>
        <v>-6.2115739107721273E-2</v>
      </c>
    </row>
    <row r="45" spans="1:5">
      <c r="A45" s="136">
        <v>44409</v>
      </c>
      <c r="B45" s="137">
        <v>641.19897500000002</v>
      </c>
      <c r="C45" s="137">
        <v>7832.1108400000003</v>
      </c>
      <c r="D45" s="138">
        <f t="shared" si="2"/>
        <v>0.18373295166588366</v>
      </c>
      <c r="E45" s="139">
        <f t="shared" si="3"/>
        <v>6.0357577847798695E-2</v>
      </c>
    </row>
    <row r="46" spans="1:5">
      <c r="A46" s="136">
        <v>44440</v>
      </c>
      <c r="B46" s="137">
        <v>649.60223399999995</v>
      </c>
      <c r="C46" s="137">
        <v>7356.7299800000001</v>
      </c>
      <c r="D46" s="138">
        <f t="shared" si="2"/>
        <v>1.3020405712033587E-2</v>
      </c>
      <c r="E46" s="139">
        <f t="shared" si="3"/>
        <v>-6.2616519507852741E-2</v>
      </c>
    </row>
    <row r="47" spans="1:5">
      <c r="A47" s="136">
        <v>44470</v>
      </c>
      <c r="B47" s="137">
        <v>631.30358899999999</v>
      </c>
      <c r="C47" s="137">
        <v>7011.1118159999996</v>
      </c>
      <c r="D47" s="138">
        <f t="shared" si="2"/>
        <v>-2.8573357429293747E-2</v>
      </c>
      <c r="E47" s="139">
        <f t="shared" si="3"/>
        <v>-4.8119245066563378E-2</v>
      </c>
    </row>
    <row r="48" spans="1:5">
      <c r="A48" s="136">
        <v>44501</v>
      </c>
      <c r="B48" s="137">
        <v>549.87451199999998</v>
      </c>
      <c r="C48" s="137">
        <v>6420.5981449999999</v>
      </c>
      <c r="D48" s="138">
        <f t="shared" si="2"/>
        <v>-0.13809677825760583</v>
      </c>
      <c r="E48" s="139">
        <f t="shared" si="3"/>
        <v>-8.7985010384747167E-2</v>
      </c>
    </row>
    <row r="49" spans="1:5">
      <c r="A49" s="136">
        <v>44531</v>
      </c>
      <c r="B49" s="137">
        <v>608.43023700000003</v>
      </c>
      <c r="C49" s="137">
        <v>6843.2397460000002</v>
      </c>
      <c r="D49" s="138">
        <f t="shared" si="2"/>
        <v>0.10119216616715433</v>
      </c>
      <c r="E49" s="139">
        <f t="shared" si="3"/>
        <v>6.3749984210090163E-2</v>
      </c>
    </row>
    <row r="50" spans="1:5">
      <c r="A50" s="136">
        <v>44562</v>
      </c>
      <c r="B50" s="137">
        <v>611.32165499999996</v>
      </c>
      <c r="C50" s="137">
        <v>7129.6088870000003</v>
      </c>
      <c r="D50" s="138">
        <f t="shared" si="2"/>
        <v>4.7410025511814089E-3</v>
      </c>
      <c r="E50" s="139">
        <f t="shared" si="3"/>
        <v>4.0995111788320319E-2</v>
      </c>
    </row>
    <row r="51" spans="1:5">
      <c r="A51" s="136">
        <v>44593</v>
      </c>
      <c r="B51" s="137">
        <v>553.80737299999998</v>
      </c>
      <c r="C51" s="137">
        <v>6491.6967770000001</v>
      </c>
      <c r="D51" s="138">
        <f t="shared" si="2"/>
        <v>-9.8806336793594712E-2</v>
      </c>
      <c r="E51" s="139">
        <f t="shared" si="3"/>
        <v>-9.3732436979968234E-2</v>
      </c>
    </row>
    <row r="52" spans="1:5">
      <c r="A52" s="136">
        <v>44621</v>
      </c>
      <c r="B52" s="137">
        <v>546.89349400000003</v>
      </c>
      <c r="C52" s="137">
        <v>7866.2695309999999</v>
      </c>
      <c r="D52" s="138">
        <f t="shared" si="2"/>
        <v>-1.2562849978728129E-2</v>
      </c>
      <c r="E52" s="139">
        <f t="shared" si="3"/>
        <v>0.19205999735820473</v>
      </c>
    </row>
    <row r="53" spans="1:5">
      <c r="A53" s="136">
        <v>44652</v>
      </c>
      <c r="B53" s="137">
        <v>544.07440199999996</v>
      </c>
      <c r="C53" s="137">
        <v>7816.8959960000002</v>
      </c>
      <c r="D53" s="138">
        <f t="shared" si="2"/>
        <v>-5.1680682537238376E-3</v>
      </c>
      <c r="E53" s="139">
        <f t="shared" si="3"/>
        <v>-6.2963944403941798E-3</v>
      </c>
    </row>
    <row r="54" spans="1:5">
      <c r="A54" s="136">
        <v>44682</v>
      </c>
      <c r="B54" s="137">
        <v>545.01415999999995</v>
      </c>
      <c r="C54" s="137">
        <v>7374.1787109999996</v>
      </c>
      <c r="D54" s="138">
        <f t="shared" si="2"/>
        <v>1.7257700907498382E-3</v>
      </c>
      <c r="E54" s="139">
        <f t="shared" si="3"/>
        <v>-5.830300949685234E-2</v>
      </c>
    </row>
    <row r="55" spans="1:5">
      <c r="A55" s="136">
        <v>44713</v>
      </c>
      <c r="B55" s="137">
        <v>528.09997599999997</v>
      </c>
      <c r="C55" s="137">
        <v>7603.314453</v>
      </c>
      <c r="D55" s="138">
        <f t="shared" si="2"/>
        <v>-3.1526161710154703E-2</v>
      </c>
      <c r="E55" s="139">
        <f t="shared" si="3"/>
        <v>3.0599729655402141E-2</v>
      </c>
    </row>
    <row r="56" spans="1:5">
      <c r="A56" s="136">
        <v>44743</v>
      </c>
      <c r="B56" s="137">
        <v>572.75707999999997</v>
      </c>
      <c r="C56" s="137">
        <v>7967.9384769999997</v>
      </c>
      <c r="D56" s="138">
        <f t="shared" si="2"/>
        <v>8.1176068404484741E-2</v>
      </c>
      <c r="E56" s="139">
        <f t="shared" si="3"/>
        <v>4.6841534532622395E-2</v>
      </c>
    </row>
    <row r="57" spans="1:5">
      <c r="A57" s="136">
        <v>44774</v>
      </c>
      <c r="B57" s="137">
        <v>614.75921600000004</v>
      </c>
      <c r="C57" s="137">
        <v>8071.5478519999997</v>
      </c>
      <c r="D57" s="138">
        <f t="shared" si="2"/>
        <v>7.0768989772441532E-2</v>
      </c>
      <c r="E57" s="139">
        <f t="shared" si="3"/>
        <v>1.2919468119332573E-2</v>
      </c>
    </row>
    <row r="58" spans="1:5">
      <c r="A58" s="136">
        <v>44805</v>
      </c>
      <c r="B58" s="137">
        <v>581.47924799999998</v>
      </c>
      <c r="C58" s="137">
        <v>7628</v>
      </c>
      <c r="D58" s="138">
        <f t="shared" si="2"/>
        <v>-5.5655388138288943E-2</v>
      </c>
      <c r="E58" s="139">
        <f t="shared" si="3"/>
        <v>-5.6519579373607659E-2</v>
      </c>
    </row>
    <row r="59" spans="1:5">
      <c r="A59" s="136">
        <v>44835</v>
      </c>
      <c r="B59" s="137">
        <v>570.06329300000004</v>
      </c>
      <c r="C59" s="137">
        <v>7566</v>
      </c>
      <c r="D59" s="138">
        <f t="shared" si="2"/>
        <v>-1.9827889290635576E-2</v>
      </c>
      <c r="E59" s="139">
        <f t="shared" si="3"/>
        <v>-8.1611615273351635E-3</v>
      </c>
    </row>
    <row r="60" spans="1:5">
      <c r="A60" s="136">
        <v>44866</v>
      </c>
      <c r="B60" s="137">
        <v>527.79998799999998</v>
      </c>
      <c r="C60" s="137">
        <v>8248</v>
      </c>
      <c r="D60" s="138">
        <f t="shared" si="2"/>
        <v>-7.702999368161105E-2</v>
      </c>
      <c r="E60" s="139">
        <f t="shared" si="3"/>
        <v>8.630622050382121E-2</v>
      </c>
    </row>
    <row r="61" spans="1:5">
      <c r="A61" s="136">
        <v>44896</v>
      </c>
      <c r="B61" s="137">
        <v>488.97671500000001</v>
      </c>
      <c r="C61" s="137">
        <v>7130</v>
      </c>
      <c r="D61" s="138">
        <f t="shared" si="2"/>
        <v>-7.6402530579131961E-2</v>
      </c>
      <c r="E61" s="139">
        <f t="shared" si="3"/>
        <v>-0.14565951228845425</v>
      </c>
    </row>
    <row r="62" spans="1:5">
      <c r="A62" s="136">
        <v>44922</v>
      </c>
      <c r="B62" s="137">
        <v>497.5</v>
      </c>
      <c r="C62" s="137">
        <v>7130</v>
      </c>
      <c r="D62" s="138">
        <f t="shared" si="2"/>
        <v>1.728068584444065E-2</v>
      </c>
      <c r="E62" s="139">
        <f t="shared" si="3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E902-348B-4927-A2F6-A87E5BC6CB15}">
  <dimension ref="A1:I18"/>
  <sheetViews>
    <sheetView workbookViewId="0">
      <selection activeCell="C23" sqref="C23"/>
    </sheetView>
  </sheetViews>
  <sheetFormatPr defaultRowHeight="15"/>
  <cols>
    <col min="1" max="2" width="15.5" style="135" customWidth="1"/>
    <col min="3" max="3" width="13.625" style="135" bestFit="1" customWidth="1"/>
    <col min="4" max="4" width="9" style="135"/>
    <col min="5" max="5" width="10.5" style="135" bestFit="1" customWidth="1"/>
    <col min="6" max="6" width="12.75" style="135" bestFit="1" customWidth="1"/>
    <col min="7" max="7" width="10.5" style="135" bestFit="1" customWidth="1"/>
    <col min="8" max="8" width="11.875" style="135" bestFit="1" customWidth="1"/>
    <col min="9" max="9" width="12" style="135" bestFit="1" customWidth="1"/>
    <col min="10" max="16384" width="9" style="135"/>
  </cols>
  <sheetData>
    <row r="1" spans="1:9">
      <c r="A1" s="135" t="s">
        <v>257</v>
      </c>
    </row>
    <row r="2" spans="1:9" ht="15.75" thickBot="1"/>
    <row r="3" spans="1:9">
      <c r="A3" s="144" t="s">
        <v>256</v>
      </c>
      <c r="B3" s="144"/>
    </row>
    <row r="4" spans="1:9">
      <c r="A4" s="135" t="s">
        <v>255</v>
      </c>
      <c r="B4" s="135">
        <v>0.17329727917574947</v>
      </c>
    </row>
    <row r="5" spans="1:9">
      <c r="A5" s="135" t="s">
        <v>254</v>
      </c>
      <c r="B5" s="135">
        <v>3.003194696971765E-2</v>
      </c>
    </row>
    <row r="6" spans="1:9">
      <c r="A6" s="135" t="s">
        <v>253</v>
      </c>
      <c r="B6" s="135">
        <v>1.3308359848505884E-2</v>
      </c>
    </row>
    <row r="7" spans="1:9">
      <c r="A7" s="135" t="s">
        <v>242</v>
      </c>
      <c r="B7" s="135">
        <v>0.10581353526632592</v>
      </c>
    </row>
    <row r="8" spans="1:9" ht="15.75" thickBot="1">
      <c r="A8" s="145" t="s">
        <v>252</v>
      </c>
      <c r="B8" s="145">
        <v>60</v>
      </c>
    </row>
    <row r="10" spans="1:9" ht="15.75" thickBot="1">
      <c r="A10" s="135" t="s">
        <v>251</v>
      </c>
    </row>
    <row r="11" spans="1:9">
      <c r="A11" s="146"/>
      <c r="B11" s="146" t="s">
        <v>250</v>
      </c>
      <c r="C11" s="146" t="s">
        <v>249</v>
      </c>
      <c r="D11" s="146" t="s">
        <v>248</v>
      </c>
      <c r="E11" s="146" t="s">
        <v>247</v>
      </c>
      <c r="F11" s="146" t="s">
        <v>246</v>
      </c>
    </row>
    <row r="12" spans="1:9">
      <c r="A12" s="135" t="s">
        <v>245</v>
      </c>
      <c r="B12" s="135">
        <v>1</v>
      </c>
      <c r="C12" s="135">
        <v>2.0106501034238167E-2</v>
      </c>
      <c r="D12" s="135">
        <v>2.0106501034238167E-2</v>
      </c>
      <c r="E12" s="135">
        <v>1.795783808344916</v>
      </c>
      <c r="F12" s="135">
        <v>0.18544946970948767</v>
      </c>
    </row>
    <row r="13" spans="1:9">
      <c r="A13" s="135" t="s">
        <v>244</v>
      </c>
      <c r="B13" s="135">
        <v>58</v>
      </c>
      <c r="C13" s="135">
        <v>0.64939724624236406</v>
      </c>
      <c r="D13" s="135">
        <v>1.1196504245558001E-2</v>
      </c>
    </row>
    <row r="14" spans="1:9" ht="15.75" thickBot="1">
      <c r="A14" s="145" t="s">
        <v>183</v>
      </c>
      <c r="B14" s="145">
        <v>59</v>
      </c>
      <c r="C14" s="145">
        <v>0.66950374727660222</v>
      </c>
      <c r="D14" s="145"/>
      <c r="E14" s="145"/>
      <c r="F14" s="145"/>
    </row>
    <row r="15" spans="1:9" ht="15.75" thickBot="1"/>
    <row r="16" spans="1:9">
      <c r="A16" s="146"/>
      <c r="B16" s="146" t="s">
        <v>243</v>
      </c>
      <c r="C16" s="146" t="s">
        <v>242</v>
      </c>
      <c r="D16" s="146" t="s">
        <v>241</v>
      </c>
      <c r="E16" s="146" t="s">
        <v>240</v>
      </c>
      <c r="F16" s="146" t="s">
        <v>239</v>
      </c>
      <c r="G16" s="146" t="s">
        <v>238</v>
      </c>
      <c r="H16" s="146" t="s">
        <v>237</v>
      </c>
      <c r="I16" s="146" t="s">
        <v>236</v>
      </c>
    </row>
    <row r="17" spans="1:9">
      <c r="A17" s="135" t="s">
        <v>235</v>
      </c>
      <c r="B17" s="135">
        <v>-8.1199025043908277E-3</v>
      </c>
      <c r="C17" s="135">
        <v>1.3795774895986834E-2</v>
      </c>
      <c r="D17" s="135">
        <v>-0.58857893562418828</v>
      </c>
      <c r="E17" s="135">
        <v>0.55842902342046585</v>
      </c>
      <c r="F17" s="135">
        <v>-3.5735146321019588E-2</v>
      </c>
      <c r="G17" s="135">
        <v>1.9495341312237929E-2</v>
      </c>
      <c r="H17" s="135">
        <v>-3.5735146321019588E-2</v>
      </c>
      <c r="I17" s="135">
        <v>1.9495341312237929E-2</v>
      </c>
    </row>
    <row r="18" spans="1:9" ht="15.75" thickBot="1">
      <c r="A18" s="145" t="s">
        <v>234</v>
      </c>
      <c r="B18" s="145">
        <v>0.23675521193605001</v>
      </c>
      <c r="C18" s="145">
        <v>0.17667395151286877</v>
      </c>
      <c r="D18" s="145">
        <v>1.3400685834482224</v>
      </c>
      <c r="E18" s="145">
        <v>0.18544946970948606</v>
      </c>
      <c r="F18" s="145">
        <v>-0.11689612580028694</v>
      </c>
      <c r="G18" s="145">
        <v>0.59040654967238693</v>
      </c>
      <c r="H18" s="145">
        <v>-0.11689612580028694</v>
      </c>
      <c r="I18" s="145">
        <v>0.59040654967238693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4C59-8799-4F2F-BCA6-5B0322D0D469}">
  <dimension ref="A1:C22"/>
  <sheetViews>
    <sheetView workbookViewId="0"/>
  </sheetViews>
  <sheetFormatPr defaultRowHeight="15.75"/>
  <cols>
    <col min="1" max="1" width="13.5" style="7" customWidth="1"/>
    <col min="2" max="16384" width="9" style="7"/>
  </cols>
  <sheetData>
    <row r="1" spans="1:3">
      <c r="B1" s="7" t="s">
        <v>188</v>
      </c>
    </row>
    <row r="2" spans="1:3">
      <c r="B2" s="11">
        <v>2022</v>
      </c>
      <c r="C2" s="8" t="s">
        <v>187</v>
      </c>
    </row>
    <row r="3" spans="1:3">
      <c r="A3" s="8" t="s">
        <v>1</v>
      </c>
      <c r="B3" s="8">
        <v>145.14400000000001</v>
      </c>
      <c r="C3" s="8">
        <v>152.40120000000002</v>
      </c>
    </row>
    <row r="4" spans="1:3">
      <c r="A4" s="8" t="s">
        <v>11</v>
      </c>
      <c r="B4" s="8">
        <v>-48.725000000000001</v>
      </c>
      <c r="C4" s="8">
        <v>-45.720360000000007</v>
      </c>
    </row>
    <row r="5" spans="1:3">
      <c r="A5" s="8" t="s">
        <v>2</v>
      </c>
      <c r="B5" s="9">
        <v>96.419000000000011</v>
      </c>
      <c r="C5" s="9">
        <v>106.68084000000002</v>
      </c>
    </row>
    <row r="6" spans="1:3">
      <c r="A6" s="8" t="s">
        <v>3</v>
      </c>
      <c r="B6" s="8">
        <v>-4.2210000000000001</v>
      </c>
      <c r="C6" s="8">
        <v>-4.5720360000000007</v>
      </c>
    </row>
    <row r="7" spans="1:3">
      <c r="A7" s="8" t="s">
        <v>4</v>
      </c>
      <c r="B7" s="8">
        <v>-3.4049999999999998</v>
      </c>
      <c r="C7" s="8">
        <v>-2.5776719529984016</v>
      </c>
    </row>
    <row r="8" spans="1:3">
      <c r="A8" s="8" t="s">
        <v>5</v>
      </c>
      <c r="B8" s="8">
        <v>-41.125</v>
      </c>
      <c r="C8" s="8">
        <v>-38.100300000000004</v>
      </c>
    </row>
    <row r="9" spans="1:3">
      <c r="A9" s="8" t="s">
        <v>6</v>
      </c>
      <c r="B9" s="9">
        <v>47.668000000000006</v>
      </c>
      <c r="C9" s="9">
        <v>61.430832047001616</v>
      </c>
    </row>
    <row r="10" spans="1:3">
      <c r="A10" s="8" t="s">
        <v>7</v>
      </c>
      <c r="B10" s="8">
        <v>1</v>
      </c>
      <c r="C10" s="8">
        <v>3.0715416023500808</v>
      </c>
    </row>
    <row r="11" spans="1:3">
      <c r="A11" s="8" t="s">
        <v>8</v>
      </c>
      <c r="B11" s="9">
        <v>46.668000000000006</v>
      </c>
      <c r="C11" s="9">
        <v>58.359290444651535</v>
      </c>
    </row>
    <row r="12" spans="1:3">
      <c r="A12" s="8" t="s">
        <v>12</v>
      </c>
      <c r="B12" s="8">
        <v>1.2999999999999999E-2</v>
      </c>
      <c r="C12" s="8">
        <v>0</v>
      </c>
    </row>
    <row r="13" spans="1:3">
      <c r="A13" s="8" t="s">
        <v>117</v>
      </c>
      <c r="B13" s="8">
        <v>-1.6670376996805101</v>
      </c>
      <c r="C13" s="8">
        <v>-2.6027</v>
      </c>
    </row>
    <row r="15" spans="1:3">
      <c r="B15" s="11">
        <v>2022</v>
      </c>
      <c r="C15" s="8" t="s">
        <v>187</v>
      </c>
    </row>
    <row r="16" spans="1:3">
      <c r="A16" s="8" t="s">
        <v>56</v>
      </c>
      <c r="B16" s="12">
        <v>0.13618323717973801</v>
      </c>
      <c r="C16" s="12">
        <v>0.05</v>
      </c>
    </row>
    <row r="17" spans="1:3">
      <c r="A17" s="8" t="s">
        <v>57</v>
      </c>
      <c r="B17" s="12">
        <v>0.33570109684175714</v>
      </c>
      <c r="C17" s="12">
        <v>0.3</v>
      </c>
    </row>
    <row r="18" spans="1:3">
      <c r="A18" s="8" t="s">
        <v>58</v>
      </c>
      <c r="B18" s="12">
        <v>2.9081463925480902E-2</v>
      </c>
      <c r="C18" s="12">
        <v>0.03</v>
      </c>
    </row>
    <row r="19" spans="1:3">
      <c r="A19" s="8" t="s">
        <v>119</v>
      </c>
      <c r="B19" s="12">
        <v>2.3459460949126383E-2</v>
      </c>
      <c r="C19" s="12">
        <v>0.03</v>
      </c>
    </row>
    <row r="20" spans="1:3">
      <c r="A20" s="8" t="s">
        <v>120</v>
      </c>
      <c r="B20" s="12">
        <v>0.02</v>
      </c>
      <c r="C20" s="12">
        <v>0.03</v>
      </c>
    </row>
    <row r="21" spans="1:3">
      <c r="A21" s="8" t="s">
        <v>60</v>
      </c>
      <c r="B21" s="12">
        <v>0.28333930441492583</v>
      </c>
      <c r="C21" s="12">
        <v>0.25</v>
      </c>
    </row>
    <row r="22" spans="1:3">
      <c r="A22" s="8" t="s">
        <v>61</v>
      </c>
      <c r="B22" s="12">
        <v>-2.0978434169673574E-2</v>
      </c>
      <c r="C22" s="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Assumption</vt:lpstr>
      <vt:lpstr>Forecast model</vt:lpstr>
      <vt:lpstr>forecast</vt:lpstr>
      <vt:lpstr>ROIC</vt:lpstr>
      <vt:lpstr>Decomposing ROIC</vt:lpstr>
      <vt:lpstr>Leverage &amp; Liquidity </vt:lpstr>
      <vt:lpstr>WACC</vt:lpstr>
      <vt:lpstr>Forecasting Taxation</vt:lpstr>
      <vt:lpstr>Noplat &amp; Retained Earning</vt:lpstr>
      <vt:lpstr>Invested Capital &amp; Total Funds</vt:lpstr>
      <vt:lpstr>Valuation</vt:lpstr>
      <vt:lpstr>Robust</vt:lpstr>
      <vt:lpstr>Reorganizng of Income Statement</vt:lpstr>
      <vt:lpstr>Reorganizing Balance Sheet</vt:lpstr>
      <vt:lpstr>Reorganizing CFS</vt:lpstr>
      <vt:lpstr>beta data</vt:lpstr>
      <vt:lpstr>beta regression</vt:lpstr>
      <vt:lpstr>Forecast (PL,BL,CFS)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KUAME KLAUS</dc:creator>
  <cp:lastModifiedBy>Kuame Klaus</cp:lastModifiedBy>
  <dcterms:created xsi:type="dcterms:W3CDTF">2022-12-26T13:49:28Z</dcterms:created>
  <dcterms:modified xsi:type="dcterms:W3CDTF">2023-08-16T01:01:54Z</dcterms:modified>
</cp:coreProperties>
</file>