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ay Wei Shen\Documents\"/>
    </mc:Choice>
  </mc:AlternateContent>
  <xr:revisionPtr revIDLastSave="0" documentId="13_ncr:1_{23D1F584-8F2C-4AA6-B96F-269126F687BE}" xr6:coauthVersionLast="47" xr6:coauthVersionMax="47" xr10:uidLastSave="{00000000-0000-0000-0000-000000000000}"/>
  <bookViews>
    <workbookView xWindow="-120" yWindow="-120" windowWidth="29040" windowHeight="15840" xr2:uid="{5DA4E3FC-F5AA-4992-8F56-D9139DB12445}"/>
  </bookViews>
  <sheets>
    <sheet name="Sheet1" sheetId="1" r:id="rId1"/>
    <sheet name="Table 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M12" i="1" s="1"/>
  <c r="P12" i="1" s="1"/>
  <c r="Y12" i="1"/>
  <c r="AC12" i="1" s="1"/>
  <c r="Q12" i="1"/>
  <c r="K12" i="1"/>
  <c r="Y11" i="1"/>
  <c r="AC11" i="1" s="1"/>
  <c r="Q11" i="1"/>
  <c r="K11" i="1"/>
  <c r="AF10" i="1"/>
  <c r="AF9" i="1"/>
  <c r="AB10" i="1"/>
  <c r="AB9" i="1"/>
  <c r="Y10" i="1"/>
  <c r="Y9" i="1"/>
  <c r="Z9" i="1" s="1"/>
  <c r="Y8" i="1"/>
  <c r="AD8" i="1" s="1"/>
  <c r="Q10" i="1"/>
  <c r="K10" i="1"/>
  <c r="F10" i="1"/>
  <c r="R10" i="1" s="1"/>
  <c r="Q9" i="1"/>
  <c r="T9" i="1" s="1"/>
  <c r="Q8" i="1"/>
  <c r="M8" i="1"/>
  <c r="P8" i="1" s="1"/>
  <c r="AG8" i="1" s="1"/>
  <c r="M9" i="1"/>
  <c r="P9" i="1" s="1"/>
  <c r="AG9" i="1" s="1"/>
  <c r="K9" i="1"/>
  <c r="K8" i="1"/>
  <c r="F8" i="1"/>
  <c r="R8" i="1" s="1"/>
  <c r="F9" i="1" l="1"/>
  <c r="R9" i="1" s="1"/>
  <c r="M10" i="1"/>
  <c r="P10" i="1" s="1"/>
  <c r="AG10" i="1" s="1"/>
  <c r="F11" i="1"/>
  <c r="R11" i="1" s="1"/>
  <c r="F12" i="1"/>
  <c r="R12" i="1" s="1"/>
  <c r="M11" i="1"/>
  <c r="P11" i="1" s="1"/>
  <c r="AG11" i="1" s="1"/>
  <c r="AA11" i="1"/>
  <c r="AE11" i="1"/>
  <c r="AB11" i="1"/>
  <c r="AF11" i="1" s="1"/>
  <c r="AF8" i="1"/>
  <c r="AB8" i="1"/>
  <c r="AG12" i="1"/>
  <c r="S12" i="1"/>
  <c r="T12" i="1" s="1"/>
  <c r="Z12" i="1"/>
  <c r="AD12" i="1" s="1"/>
  <c r="Z11" i="1"/>
  <c r="AD11" i="1" s="1"/>
  <c r="S11" i="1"/>
  <c r="AA12" i="1"/>
  <c r="AE12" i="1" s="1"/>
  <c r="AB12" i="1"/>
  <c r="AF12" i="1"/>
  <c r="AA10" i="1"/>
  <c r="Z8" i="1"/>
  <c r="AC8" i="1" s="1"/>
  <c r="AA8" i="1"/>
  <c r="AE8" i="1" s="1"/>
  <c r="AE9" i="1"/>
  <c r="AA9" i="1"/>
  <c r="AE10" i="1"/>
  <c r="AD9" i="1"/>
  <c r="AC9" i="1"/>
  <c r="Z10" i="1"/>
  <c r="AC10" i="1" s="1"/>
  <c r="U9" i="1"/>
  <c r="S10" i="1"/>
  <c r="S8" i="1"/>
  <c r="S9" i="1"/>
  <c r="T11" i="1" l="1"/>
  <c r="V11" i="1" s="1"/>
  <c r="V12" i="1"/>
  <c r="U12" i="1"/>
  <c r="W12" i="1" s="1"/>
  <c r="U11" i="1"/>
  <c r="W11" i="1" s="1"/>
  <c r="AD10" i="1"/>
  <c r="V9" i="1"/>
  <c r="W9" i="1"/>
  <c r="T10" i="1"/>
  <c r="V10" i="1" s="1"/>
  <c r="U10" i="1"/>
  <c r="U8" i="1"/>
  <c r="W8" i="1" s="1"/>
  <c r="T8" i="1"/>
  <c r="V8" i="1" s="1"/>
  <c r="X11" i="1" l="1"/>
  <c r="X12" i="1"/>
  <c r="W10" i="1"/>
  <c r="X10" i="1" s="1"/>
  <c r="X8" i="1"/>
  <c r="X9" i="1"/>
</calcChain>
</file>

<file path=xl/sharedStrings.xml><?xml version="1.0" encoding="utf-8"?>
<sst xmlns="http://schemas.openxmlformats.org/spreadsheetml/2006/main" count="172" uniqueCount="95">
  <si>
    <t>Name</t>
  </si>
  <si>
    <t>S/N</t>
  </si>
  <si>
    <t>Employment Type</t>
  </si>
  <si>
    <t>Director Fee</t>
  </si>
  <si>
    <t>Director Salary</t>
  </si>
  <si>
    <t>Employee</t>
  </si>
  <si>
    <t>Freelancer</t>
  </si>
  <si>
    <t>Salary</t>
  </si>
  <si>
    <t>Annual Leave</t>
  </si>
  <si>
    <t>Bal. b/f</t>
  </si>
  <si>
    <t>Bal. c/f</t>
  </si>
  <si>
    <t>Unpaid Leave</t>
  </si>
  <si>
    <t>Contracted Salary</t>
  </si>
  <si>
    <t>CPF Rate</t>
  </si>
  <si>
    <t>D.O.B</t>
  </si>
  <si>
    <t>Age</t>
  </si>
  <si>
    <t>Month</t>
  </si>
  <si>
    <t>Accrued</t>
  </si>
  <si>
    <t>Bonus</t>
  </si>
  <si>
    <t>Employer</t>
  </si>
  <si>
    <t>&gt;70</t>
  </si>
  <si>
    <t>&lt;=55</t>
  </si>
  <si>
    <t>&lt;=60</t>
  </si>
  <si>
    <t>&lt;=65</t>
  </si>
  <si>
    <t>&lt;=70</t>
  </si>
  <si>
    <t>CPF Rate (&gt; $750)</t>
  </si>
  <si>
    <t>Public Holiday Date</t>
  </si>
  <si>
    <t>Public Holiday Name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</si>
  <si>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</si>
  <si>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</si>
  <si>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</si>
  <si>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</si>
  <si>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</si>
  <si>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</si>
  <si>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</si>
  <si>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</si>
  <si>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</si>
  <si>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Christmas Day</t>
  </si>
  <si>
    <t>CPF Contribution</t>
  </si>
  <si>
    <t>Total Wages</t>
  </si>
  <si>
    <t>Check Age</t>
  </si>
  <si>
    <t>Check Wages</t>
  </si>
  <si>
    <t>CPF Rate ($50 or lesser)</t>
  </si>
  <si>
    <t>CPF Rate (&gt;$50 to $500)</t>
  </si>
  <si>
    <t>CPF Rate (&gt;$500 to $750)</t>
  </si>
  <si>
    <t>60%(TW - 500)</t>
  </si>
  <si>
    <t>45%(TW - 500)</t>
  </si>
  <si>
    <t>28.5%(TW - 500)</t>
  </si>
  <si>
    <t>21%(TW - 500)</t>
  </si>
  <si>
    <t>15%(TW - 500)</t>
  </si>
  <si>
    <t>Total</t>
  </si>
  <si>
    <t>Allowance</t>
  </si>
  <si>
    <t>Check</t>
  </si>
  <si>
    <t>Employment</t>
  </si>
  <si>
    <t>Number</t>
  </si>
  <si>
    <t>Employer Cap</t>
  </si>
  <si>
    <t>Employee Cap</t>
  </si>
  <si>
    <t>SDL</t>
  </si>
  <si>
    <t>Race</t>
  </si>
  <si>
    <t>Race Type</t>
  </si>
  <si>
    <t>Chinese</t>
  </si>
  <si>
    <t>Eurasian</t>
  </si>
  <si>
    <t>Malay</t>
  </si>
  <si>
    <t>Indian</t>
  </si>
  <si>
    <t>Not applicable</t>
  </si>
  <si>
    <t>CDAC</t>
  </si>
  <si>
    <t>&lt;=2000</t>
  </si>
  <si>
    <t>&lt;=3500</t>
  </si>
  <si>
    <t>&lt;=5000</t>
  </si>
  <si>
    <t>&lt;=7500</t>
  </si>
  <si>
    <t>&gt;7500</t>
  </si>
  <si>
    <t>Gross Wage</t>
  </si>
  <si>
    <t>Contribution</t>
  </si>
  <si>
    <t>ECF</t>
  </si>
  <si>
    <t>&lt;=1000</t>
  </si>
  <si>
    <t>&lt;=1500</t>
  </si>
  <si>
    <t>&lt;=2500</t>
  </si>
  <si>
    <t>&lt;=4000</t>
  </si>
  <si>
    <t>&lt;=7000</t>
  </si>
  <si>
    <t>&lt;=10000</t>
  </si>
  <si>
    <t>&gt;10000</t>
  </si>
  <si>
    <t>SINDA</t>
  </si>
  <si>
    <t>&lt;=4500</t>
  </si>
  <si>
    <t>&gt;15000</t>
  </si>
  <si>
    <t>&lt;=15000</t>
  </si>
  <si>
    <t>MBMF</t>
  </si>
  <si>
    <t>&lt;=3000</t>
  </si>
  <si>
    <t>&lt;=6000</t>
  </si>
  <si>
    <t>&lt;=8000</t>
  </si>
  <si>
    <t>Wage</t>
  </si>
  <si>
    <t>SHG Contribution</t>
  </si>
  <si>
    <t>No.</t>
  </si>
  <si>
    <t>Wage 2</t>
  </si>
  <si>
    <t>Wage 3</t>
  </si>
  <si>
    <t>Utilised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</si>
</sst>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-yy;@"/>
    <numFmt numFmtId="167" formatCode="[$-14809]d\ mmmm\ yyyy;@"/>
    <numFmt numFmtId="168" formatCode="0.0%"/>
    <numFmt numFmtId="169" formatCode="[$-14809]d\ 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Font="1"/>
    <xf numFmtId="0" fontId="3" fillId="0" borderId="0" xfId="0" applyFont="1" applyAlignment="1">
      <alignment horizontal="center"/>
    </xf>
    <xf numFmtId="166" fontId="2" fillId="0" borderId="0" xfId="0" applyNumberFormat="1" applyFont="1"/>
    <xf numFmtId="3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10" fontId="2" fillId="0" borderId="2" xfId="0" applyNumberFormat="1" applyFont="1" applyBorder="1"/>
    <xf numFmtId="168" fontId="3" fillId="0" borderId="0" xfId="2" applyNumberFormat="1" applyFont="1" applyAlignment="1">
      <alignment horizontal="center"/>
    </xf>
    <xf numFmtId="164" fontId="2" fillId="0" borderId="0" xfId="0" applyNumberFormat="1" applyFont="1"/>
    <xf numFmtId="169" fontId="2" fillId="0" borderId="0" xfId="0" applyNumberFormat="1" applyFont="1"/>
    <xf numFmtId="169" fontId="2" fillId="0" borderId="0" xfId="0" applyNumberFormat="1" applyFont="1" applyAlignment="1">
      <alignment horizontal="center"/>
    </xf>
    <xf numFmtId="168" fontId="2" fillId="0" borderId="0" xfId="2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/>
    <xf numFmtId="0" fontId="3" fillId="3" borderId="0" xfId="3" applyNumberFormat="1" applyFont="1" applyFill="1" applyAlignment="1">
      <alignment horizontal="center"/>
    </xf>
    <xf numFmtId="0" fontId="2" fillId="0" borderId="0" xfId="3" applyNumberFormat="1" applyFont="1" applyAlignment="1">
      <alignment horizontal="center"/>
    </xf>
    <xf numFmtId="0" fontId="3" fillId="0" borderId="0" xfId="3" applyNumberFormat="1" applyFont="1" applyAlignment="1">
      <alignment horizontal="center"/>
    </xf>
    <xf numFmtId="10" fontId="2" fillId="0" borderId="2" xfId="0" applyNumberFormat="1" applyFont="1" applyBorder="1" applyAlignment="1">
      <alignment horizontal="center"/>
    </xf>
    <xf numFmtId="0" fontId="3" fillId="0" borderId="0" xfId="3" applyNumberFormat="1" applyFont="1" applyFill="1" applyAlignment="1">
      <alignment horizontal="center"/>
    </xf>
    <xf numFmtId="165" fontId="2" fillId="0" borderId="0" xfId="3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64" fontId="3" fillId="0" borderId="0" xfId="1" applyFont="1" applyAlignment="1">
      <alignment horizontal="center" wrapText="1"/>
    </xf>
    <xf numFmtId="168" fontId="3" fillId="0" borderId="0" xfId="2" applyNumberFormat="1" applyFont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58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169" formatCode="[$-14809]d\ mmm\ 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169" formatCode="[$-14809]d\ mmm\ 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AA9613-3568-4D6C-8D55-1DBADFD824D7}" name="EmploymentType" displayName="EmploymentType" ref="A7:B11" totalsRowShown="0" headerRowDxfId="57" dataDxfId="56">
  <autoFilter ref="A7:B11" xr:uid="{F4AA9613-3568-4D6C-8D55-1DBADFD824D7}"/>
  <tableColumns count="2">
    <tableColumn id="1" xr3:uid="{C1F2D300-FB3C-45DD-A2B1-13CFC44A155D}" name="Employment Type" dataDxfId="55"/>
    <tableColumn id="2" xr3:uid="{D0CBC392-CBB6-409D-98EC-425A2AE27454}" name="Number" dataDxfId="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5E6C56-CCAB-486D-924B-395A43946987}" name="SINDA" displayName="SINDA" ref="O29:Q37" totalsRowShown="0" headerRowDxfId="9" dataDxfId="8">
  <autoFilter ref="O29:Q37" xr:uid="{005E6C56-CCAB-486D-924B-395A43946987}"/>
  <tableColumns count="3">
    <tableColumn id="3" xr3:uid="{D5439D8A-55C7-46AF-8BDD-9CDCEB2C9092}" name="No." dataDxfId="7"/>
    <tableColumn id="1" xr3:uid="{601B45BE-3A91-44BE-8587-53927F74280C}" name="Gross Wage" dataDxfId="6"/>
    <tableColumn id="2" xr3:uid="{CCFDEDD8-1DA8-4E2B-8D34-B08FF544BAC7}" name="Contribution" dataDxfId="5" dataCellStyle="Comm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6C3DA9-1202-4094-A2F9-E49F42296F52}" name="MBMF" displayName="MBMF" ref="O40:Q48" totalsRowShown="0" headerRowDxfId="4">
  <autoFilter ref="O40:Q48" xr:uid="{636C3DA9-1202-4094-A2F9-E49F42296F52}"/>
  <tableColumns count="3">
    <tableColumn id="3" xr3:uid="{D14A1EEA-8833-4C62-BD27-24A4FBF172A1}" name="No." dataDxfId="3"/>
    <tableColumn id="1" xr3:uid="{92A1F065-0B5F-4A24-B9BB-6F62847213A4}" name="Gross Wage" dataDxfId="2"/>
    <tableColumn id="2" xr3:uid="{FA8C0EF0-6DB2-479E-8252-78A6610A4FC3}" name="Contribution" dataDxfId="1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920606-1B9E-4AB8-9BD0-586879084C12}" name="CPF_Rate" displayName="CPF_Rate" ref="G7:K12" totalsRowShown="0" headerRowDxfId="53" tableBorderDxfId="52">
  <autoFilter ref="G7:K12" xr:uid="{94920606-1B9E-4AB8-9BD0-586879084C12}"/>
  <tableColumns count="5">
    <tableColumn id="1" xr3:uid="{144D40DE-18B3-4AB2-A211-F47989DF4E90}" name="Age" dataDxfId="51"/>
    <tableColumn id="2" xr3:uid="{EF96FAD9-BE72-4EAF-87EB-7C87FA6B204F}" name="Employer" dataDxfId="50"/>
    <tableColumn id="3" xr3:uid="{BFDBEA80-2C35-49CC-A18E-BDFC8E96CFCF}" name="Employee" dataDxfId="49"/>
    <tableColumn id="4" xr3:uid="{3F1E8F10-776E-4FCD-B9FC-FEC273E970C7}" name="Employer Cap" dataDxfId="48" dataCellStyle="Comma"/>
    <tableColumn id="5" xr3:uid="{F2E834C3-6363-4A33-B0B7-557D1237460A}" name="Employee Cap" dataDxfId="47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15D630-79E6-4997-B2D4-3D616A801ABB}" name="Public_Holiday" displayName="Public_Holiday" ref="D7:D18" totalsRowShown="0" headerRowDxfId="46" dataDxfId="45">
  <autoFilter ref="D7:D18" xr:uid="{2615D630-79E6-4997-B2D4-3D616A801ABB}"/>
  <tableColumns count="1">
    <tableColumn id="1" xr3:uid="{92468918-697F-4797-BEB4-D89B581C9F3B}" name="Public Holiday Date" dataDxfId="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29D29B-F0B4-429D-A4C2-E713C320AFEE}" name="CPF_Rate_1" displayName="CPF_Rate_1" ref="G23:K28" totalsRowShown="0" headerRowDxfId="43" tableBorderDxfId="42">
  <autoFilter ref="G23:K28" xr:uid="{8129D29B-F0B4-429D-A4C2-E713C320AFEE}"/>
  <tableColumns count="5">
    <tableColumn id="1" xr3:uid="{16278AB1-DBEF-4253-8157-9D7BBEF0E015}" name="Age" dataDxfId="41"/>
    <tableColumn id="2" xr3:uid="{ED33133D-D3A5-419B-AC31-C9708FA1D91F}" name="Employer" dataDxfId="40"/>
    <tableColumn id="3" xr3:uid="{CF38BFCF-BB55-4FC6-851E-12C3BC36A7F2}" name="Employee" dataDxfId="39"/>
    <tableColumn id="4" xr3:uid="{CA2BEE15-730C-4ABA-B8A7-EA47FEC35029}" name="Employer Cap" dataDxfId="38" dataCellStyle="Comma"/>
    <tableColumn id="5" xr3:uid="{48D92EEA-A0D4-4243-8556-EE2FAE456B2B}" name="Employee Cap" dataDxfId="37" dataCellStyle="Com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E75D68-E528-420A-911E-86A5EE3C499B}" name="CPF_Rate_Nil" displayName="CPF_Rate_Nil" ref="G15:K20" totalsRowShown="0" headerRowDxfId="36" tableBorderDxfId="35">
  <autoFilter ref="G15:K20" xr:uid="{07E75D68-E528-420A-911E-86A5EE3C499B}"/>
  <tableColumns count="5">
    <tableColumn id="1" xr3:uid="{6EDBC9AF-6387-4F0D-8ACF-81016E83F38A}" name="Age" dataDxfId="34"/>
    <tableColumn id="2" xr3:uid="{32C24EA2-54C1-42DA-AC51-B353D26862B6}" name="Employer" dataDxfId="33"/>
    <tableColumn id="3" xr3:uid="{8C6E1377-7C74-424D-92A6-229DC43DF36B}" name="Employee" dataDxfId="32"/>
    <tableColumn id="4" xr3:uid="{EDFDAC25-E313-4E32-B2E8-513F67E2F7A6}" name="Employer Cap" dataDxfId="31" dataCellStyle="Comma"/>
    <tableColumn id="5" xr3:uid="{74A30B68-D8E8-4527-A29C-9652558DD0E7}" name="Employee Cap" dataDxfId="30" dataCellStyle="Com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BBBDA-086A-400F-BC9A-7E1D526543EF}" name="CPF_Rate_2" displayName="CPF_Rate_2" ref="G31:K36" totalsRowShown="0" headerRowDxfId="29" tableBorderDxfId="28">
  <autoFilter ref="G31:K36" xr:uid="{B52BBBDA-086A-400F-BC9A-7E1D526543EF}"/>
  <tableColumns count="5">
    <tableColumn id="1" xr3:uid="{7E107BAB-785F-4065-867B-51A81C472B18}" name="Age" dataDxfId="27"/>
    <tableColumn id="2" xr3:uid="{0ABD3D45-8515-4EEE-A4C7-322B43ACA3FC}" name="Employer" dataDxfId="26"/>
    <tableColumn id="3" xr3:uid="{38E3124A-F5F3-4539-8828-8021332A232F}" name="Employee" dataDxfId="25"/>
    <tableColumn id="4" xr3:uid="{8051784D-2292-41EF-9B46-8D47126D14A5}" name="Employer Cap" dataDxfId="24" dataCellStyle="Comma"/>
    <tableColumn id="5" xr3:uid="{81133752-5D2A-4FC4-91E2-E3CA44748264}" name="Employee Cap" dataDxfId="23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761F18-B2BD-4C7E-B52D-CBD0223B56A9}" name="Race" displayName="Race" ref="A13:B18" totalsRowShown="0" headerRowDxfId="22">
  <autoFilter ref="A13:B18" xr:uid="{80761F18-B2BD-4C7E-B52D-CBD0223B56A9}"/>
  <tableColumns count="2">
    <tableColumn id="1" xr3:uid="{DC6037B4-8C3A-429B-BE7E-145EA29937D4}" name="Race Type" dataDxfId="21"/>
    <tableColumn id="2" xr3:uid="{251A0D57-0802-4730-A7C4-BAC029BDFC6B}" name="Number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ECAD9B-7C87-412E-AB38-A4A8CDBEBEF9}" name="CDAC" displayName="CDAC" ref="O7:Q12" totalsRowShown="0" headerRowDxfId="19" dataDxfId="18">
  <autoFilter ref="O7:Q12" xr:uid="{CAECAD9B-7C87-412E-AB38-A4A8CDBEBEF9}"/>
  <tableColumns count="3">
    <tableColumn id="3" xr3:uid="{42EBB08A-DB66-4C55-AC3A-7ABBE0EADF1B}" name="No." dataDxfId="17"/>
    <tableColumn id="1" xr3:uid="{563ECEF0-8AD6-4D27-A4A2-653A98C5ABB8}" name="Gross Wage" dataDxfId="16"/>
    <tableColumn id="2" xr3:uid="{D898537D-21FA-4140-A795-29C34BC296D3}" name="Contribution" dataDxfId="15" dataCellStyle="Comm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49B7D6-9D8E-4D95-8070-51B8A115560D}" name="ECF" displayName="ECF" ref="O18:Q25" totalsRowShown="0" headerRowDxfId="14" dataDxfId="13">
  <autoFilter ref="O18:Q25" xr:uid="{7A49B7D6-9D8E-4D95-8070-51B8A115560D}"/>
  <tableColumns count="3">
    <tableColumn id="3" xr3:uid="{007ACF43-CDCD-469A-A8B1-6FFF9CBE53AC}" name="No." dataDxfId="12"/>
    <tableColumn id="1" xr3:uid="{7D6AA664-3721-4FC5-A1CD-2098FE20FC4A}" name="Gross Wage" dataDxfId="11"/>
    <tableColumn id="2" xr3:uid="{E744FF51-2195-4961-AE05-B479BD2B903E}" name="Contribution" dataDxfId="1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E075-8102-4780-82B0-C4A54F56A9D9}">
  <dimension ref="A1:AG17"/>
  <sheetViews>
    <sheetView tabSelected="1" workbookViewId="0">
      <selection activeCell="F8" sqref="F8"/>
    </sheetView>
  </sheetViews>
  <sheetFormatPr defaultRowHeight="15.75" x14ac:dyDescent="0.3"/>
  <cols>
    <col min="1" max="1" width="9.140625" style="1"/>
    <col min="2" max="2" width="35.7109375" style="2" customWidth="1"/>
    <col min="3" max="3" width="19.5703125" style="1" bestFit="1" customWidth="1"/>
    <col min="4" max="4" width="14.42578125" style="1" bestFit="1" customWidth="1"/>
    <col min="5" max="5" width="19.85546875" style="17" bestFit="1" customWidth="1"/>
    <col min="6" max="6" width="11.42578125" style="16" customWidth="1"/>
    <col min="7" max="7" width="17.85546875" style="3" customWidth="1"/>
    <col min="8" max="11" width="11.42578125" style="1" customWidth="1"/>
    <col min="12" max="12" width="10.7109375" style="1" customWidth="1"/>
    <col min="13" max="16" width="15.7109375" style="2" customWidth="1"/>
    <col min="17" max="19" width="15.7109375" style="20" customWidth="1"/>
    <col min="20" max="21" width="11.42578125" style="15" customWidth="1"/>
    <col min="22" max="24" width="14.28515625" style="2" customWidth="1"/>
    <col min="25" max="28" width="15.7109375" style="20" customWidth="1"/>
    <col min="29" max="29" width="14.28515625" style="2" bestFit="1" customWidth="1"/>
    <col min="30" max="32" width="14.28515625" style="2" customWidth="1"/>
    <col min="33" max="33" width="9.42578125" style="2" bestFit="1" customWidth="1"/>
    <col min="34" max="16384" width="9.140625" style="2"/>
  </cols>
  <sheetData>
    <row r="1" spans="1:33" x14ac:dyDescent="0.3">
      <c r="A1" s="4" t="s">
        <v>16</v>
      </c>
      <c r="B1" s="5">
        <f ca="1">TODAY()</f>
        <v>45524</v>
      </c>
    </row>
    <row r="5" spans="1:33" x14ac:dyDescent="0.3">
      <c r="M5" s="18"/>
      <c r="N5" s="18"/>
      <c r="O5" s="18"/>
      <c r="P5" s="18"/>
      <c r="Q5" s="21"/>
      <c r="R5" s="21"/>
      <c r="S5" s="21"/>
      <c r="Y5" s="21"/>
      <c r="Z5" s="21"/>
      <c r="AA5" s="21"/>
      <c r="AB5" s="21"/>
    </row>
    <row r="6" spans="1:33" ht="15.75" customHeight="1" x14ac:dyDescent="0.3">
      <c r="G6" s="27" t="s">
        <v>12</v>
      </c>
      <c r="H6" s="25" t="s">
        <v>8</v>
      </c>
      <c r="I6" s="25"/>
      <c r="J6" s="25"/>
      <c r="K6" s="25"/>
      <c r="L6" s="26" t="s">
        <v>11</v>
      </c>
      <c r="M6" s="18"/>
      <c r="N6" s="18"/>
      <c r="O6" s="18"/>
      <c r="P6" s="18"/>
      <c r="Q6" s="19" t="s">
        <v>52</v>
      </c>
      <c r="R6" s="23"/>
      <c r="S6" s="23"/>
      <c r="T6" s="28" t="s">
        <v>13</v>
      </c>
      <c r="U6" s="28"/>
      <c r="V6" s="25" t="s">
        <v>38</v>
      </c>
      <c r="W6" s="25"/>
      <c r="X6" s="25"/>
      <c r="Y6" s="19" t="s">
        <v>52</v>
      </c>
      <c r="Z6" s="19" t="s">
        <v>52</v>
      </c>
      <c r="AA6" s="19" t="s">
        <v>52</v>
      </c>
      <c r="AB6" s="19" t="s">
        <v>52</v>
      </c>
      <c r="AC6" s="25" t="s">
        <v>90</v>
      </c>
      <c r="AD6" s="25"/>
      <c r="AE6" s="25"/>
      <c r="AF6" s="25"/>
    </row>
    <row r="7" spans="1:33" s="4" customFormat="1" x14ac:dyDescent="0.3">
      <c r="A7" s="4" t="s">
        <v>1</v>
      </c>
      <c r="B7" s="4" t="s">
        <v>0</v>
      </c>
      <c r="C7" s="4" t="s">
        <v>2</v>
      </c>
      <c r="D7" s="4" t="s">
        <v>58</v>
      </c>
      <c r="E7" s="7" t="s">
        <v>14</v>
      </c>
      <c r="F7" s="6" t="s">
        <v>15</v>
      </c>
      <c r="G7" s="27"/>
      <c r="H7" s="4" t="s">
        <v>9</v>
      </c>
      <c r="I7" s="4" t="s">
        <v>17</v>
      </c>
      <c r="J7" s="4" t="s">
        <v>94</v>
      </c>
      <c r="K7" s="4" t="s">
        <v>10</v>
      </c>
      <c r="L7" s="26"/>
      <c r="M7" s="4" t="s">
        <v>7</v>
      </c>
      <c r="N7" s="4" t="s">
        <v>51</v>
      </c>
      <c r="O7" s="4" t="s">
        <v>18</v>
      </c>
      <c r="P7" s="4" t="s">
        <v>39</v>
      </c>
      <c r="Q7" s="19" t="s">
        <v>53</v>
      </c>
      <c r="R7" s="19" t="s">
        <v>40</v>
      </c>
      <c r="S7" s="19" t="s">
        <v>41</v>
      </c>
      <c r="T7" s="11" t="s">
        <v>19</v>
      </c>
      <c r="U7" s="11" t="s">
        <v>5</v>
      </c>
      <c r="V7" s="4" t="s">
        <v>19</v>
      </c>
      <c r="W7" s="4" t="s">
        <v>5</v>
      </c>
      <c r="X7" s="4" t="s">
        <v>50</v>
      </c>
      <c r="Y7" s="19" t="s">
        <v>58</v>
      </c>
      <c r="Z7" s="19" t="s">
        <v>89</v>
      </c>
      <c r="AA7" s="19" t="s">
        <v>92</v>
      </c>
      <c r="AB7" s="19" t="s">
        <v>93</v>
      </c>
      <c r="AC7" s="4" t="s">
        <v>65</v>
      </c>
      <c r="AD7" s="4" t="s">
        <v>73</v>
      </c>
      <c r="AE7" s="4" t="s">
        <v>81</v>
      </c>
      <c r="AF7" s="4" t="s">
        <v>85</v>
      </c>
      <c r="AG7" s="4" t="s">
        <v>57</v>
      </c>
    </row>
    <row r="8" spans="1:33" x14ac:dyDescent="0.3">
      <c r="C8" s="1" t="s">
        <v>5</v>
      </c>
      <c r="D8" s="1" t="s">
        <v>60</v>
      </c>
      <c r="E8" s="17">
        <v>32874</v>
      </c>
      <c r="F8" s="16">
        <f ca="1">YEAR($B$1)-YEAR(E8)+IF(MONTH($B$1)&gt;MONTH(E8),0,-1)</f>
        <v>34</v>
      </c>
      <c r="G8" s="3">
        <v>7000</v>
      </c>
      <c r="H8" s="1">
        <v>0</v>
      </c>
      <c r="I8" s="1">
        <v>8</v>
      </c>
      <c r="J8" s="1">
        <v>0</v>
      </c>
      <c r="K8" s="1">
        <f>H8+I8-J8</f>
        <v>8</v>
      </c>
      <c r="L8" s="1">
        <v>0</v>
      </c>
      <c r="M8" s="12">
        <f ca="1">$G8-ROUND((L8/NETWORKDAYS($B$1,EOMONTH($B$1,0),Public_Holiday[])*$G8),2)</f>
        <v>7000</v>
      </c>
      <c r="N8" s="12"/>
      <c r="P8" s="12">
        <f ca="1">SUM(M8:O8)</f>
        <v>7000</v>
      </c>
      <c r="Q8" s="20">
        <f>VLOOKUP(C8,EmploymentType[],2,0)</f>
        <v>3</v>
      </c>
      <c r="R8" s="20">
        <f ca="1">IF($F8&lt;=55,1,IF($F8&lt;=60,2,IF($F8&lt;=65,3,IF($F8&lt;=70,4,5))))</f>
        <v>1</v>
      </c>
      <c r="S8" s="20">
        <f ca="1">IF($P8&lt;=50,1,IF($P8&lt;=500,2,IF($P8&lt;=750,3,4)))</f>
        <v>4</v>
      </c>
      <c r="T8" s="15">
        <f ca="1">IF(OR(Q8=1,Q8=4),0,INDEX(IF($S8=1,CPF_Rate_Nil[],IF($S8=2,CPF_Rate_1[],IF($S8=3,,CPF_Rate[]))),R8,2))</f>
        <v>0.17</v>
      </c>
      <c r="U8" s="15">
        <f ca="1">IF(OR(Q8=1,Q8=4),0,INDEX(IF($S8=1,CPF_Rate_Nil[],IF($S8=2,CPF_Rate_1[],IF($S8=3,,CPF_Rate[]))),R8,3))</f>
        <v>0.2</v>
      </c>
      <c r="V8" s="12">
        <f ca="1">IF($S8=4,MIN(INDEX(CPF_Rate[],R8,4),ROUND(P8*T8,2),ROUND(P8*T8,2)))</f>
        <v>1156</v>
      </c>
      <c r="W8" s="12">
        <f ca="1">IF($S8=4,MIN(INDEX(CPF_Rate[],R8,5),ROUND(P8*U8,2)),ROUND(P8*U8,2))</f>
        <v>1360</v>
      </c>
      <c r="X8" s="12">
        <f ca="1">SUM(V8:W8)</f>
        <v>2516</v>
      </c>
      <c r="Y8" s="20">
        <f>VLOOKUP(D8,Race[],2,0)</f>
        <v>1</v>
      </c>
      <c r="Z8" s="20">
        <f ca="1">IF(Y8=1,IF(P8&lt;=2000,1,IF(P8&lt;=3500,2,IF(P8&lt;=5000,3,IF(P8&lt;=7500,4,5)))),IF(Y8=2,IF(P8&lt;=1000,1,IF(P8&lt;=1500,2,IF(P8&lt;=2500,3,IF(P8&lt;=4000,4,IF(P8&lt;=7000,5,IF(P8&lt;=10000,6,7))))))))</f>
        <v>4</v>
      </c>
      <c r="AA8" s="20" t="b">
        <f>IF(Y8=3,IF(P8&lt;=1000,1,IF(P8&lt;=1500,2,IF(P8&lt;=2500,3,IF(P8&lt;=4500,4,IF(P8&lt;=7500,5,IF(P8&lt;=10000,6,IF(P8&lt;=15000,7,8))))))))</f>
        <v>0</v>
      </c>
      <c r="AB8" s="20" t="b">
        <f>IF(Y8=4,IF(P8&lt;=1000,1,IF(P8&lt;=2000,2,IF(P8&lt;=3000,3,IF(P8&lt;=4000,4,IF(P8&lt;=6000,5,IF(P8&lt;=8000,6,IF(P8&lt;=10000,7,8))))))))</f>
        <v>0</v>
      </c>
      <c r="AC8" s="12">
        <f ca="1">IF(Y8=1,VLOOKUP(Z8,CDAC[],3,0),0)</f>
        <v>2</v>
      </c>
      <c r="AD8" s="12">
        <f>IF(Y8=2,VLOOKUP(Z8,ECF[],3,0),0)</f>
        <v>0</v>
      </c>
      <c r="AE8" s="12">
        <f>IF(Y8=3,VLOOKUP(AA8,SINDA[],3,0),0)</f>
        <v>0</v>
      </c>
      <c r="AF8" s="12">
        <f>IF(Y8=4,VLOOKUP(AB8,MBMF[],3,0),0)</f>
        <v>0</v>
      </c>
      <c r="AG8" s="12">
        <f ca="1">IF(ROUND(P8*0.0025,0)&lt;2,2,IF(ROUND(P8*0.0025,0)&gt;11.25,11.25,ROUND(P8*0.0025,0)))</f>
        <v>11.25</v>
      </c>
    </row>
    <row r="9" spans="1:33" x14ac:dyDescent="0.3">
      <c r="C9" s="1" t="s">
        <v>6</v>
      </c>
      <c r="D9" s="1" t="s">
        <v>64</v>
      </c>
      <c r="E9" s="17">
        <v>31048</v>
      </c>
      <c r="F9" s="16">
        <f ca="1">YEAR($B$1)-YEAR(E9)+IF(MONTH($B$1)&gt;MONTH(E9),0,-1)</f>
        <v>39</v>
      </c>
      <c r="G9" s="3">
        <v>3200</v>
      </c>
      <c r="H9" s="1">
        <v>0</v>
      </c>
      <c r="I9" s="1">
        <v>0</v>
      </c>
      <c r="J9" s="1">
        <v>0</v>
      </c>
      <c r="K9" s="1">
        <f>H9+I9-J9</f>
        <v>0</v>
      </c>
      <c r="L9" s="1">
        <v>0</v>
      </c>
      <c r="M9" s="12">
        <f ca="1">$G9-ROUND((L9/NETWORKDAYS($B$1,EOMONTH($B$1,0),Public_Holiday[])*$G9),2)</f>
        <v>3200</v>
      </c>
      <c r="N9" s="12"/>
      <c r="P9" s="12">
        <f ca="1">SUM(M9:O9)</f>
        <v>3200</v>
      </c>
      <c r="Q9" s="20">
        <f>VLOOKUP(C9,EmploymentType[],2,0)</f>
        <v>4</v>
      </c>
      <c r="R9" s="20">
        <f ca="1">IF($F9&lt;=55,1,IF($F9&lt;=60,2,IF($F9&lt;=65,3,IF($F9&lt;=70,4,5))))</f>
        <v>1</v>
      </c>
      <c r="S9" s="20">
        <f ca="1">IF($P9&lt;=50,1,IF($P9&lt;=500,2,IF($P9&lt;=750,3,4)))</f>
        <v>4</v>
      </c>
      <c r="T9" s="15">
        <f>IF(OR(Q9=1,Q9=4),0,INDEX(IF($S9=1,CPF_Rate_Nil[],IF($S9=2,CPF_Rate_1[],IF($S9=3,,CPF_Rate[]))),R9,2))</f>
        <v>0</v>
      </c>
      <c r="U9" s="15">
        <f>IF(OR(Q9=1,Q9=4),0,INDEX(IF($S9=1,CPF_Rate_Nil[],IF($S9=2,CPF_Rate_1[],IF($S9=3,,CPF_Rate[]))),R9,3))</f>
        <v>0</v>
      </c>
      <c r="V9" s="12">
        <f ca="1">IF($S9=4,MIN(INDEX(CPF_Rate[],R9,4),ROUND(P9*T9,2),ROUND(P9*T9,2)))</f>
        <v>0</v>
      </c>
      <c r="W9" s="12">
        <f ca="1">IF($S9=4,MIN(INDEX(CPF_Rate[],R9,5),ROUND(P9*U9,2)),ROUND(P9*U9,2))</f>
        <v>0</v>
      </c>
      <c r="X9" s="12">
        <f ca="1">SUM(V9:W9)</f>
        <v>0</v>
      </c>
      <c r="Y9" s="20">
        <f>VLOOKUP(D9,Race[],2,0)</f>
        <v>5</v>
      </c>
      <c r="Z9" s="20" t="b">
        <f t="shared" ref="Z9:Z10" si="0">IF(Y9=1,IF(P9&lt;=2000,1,IF(P9&lt;=3500,2,IF(P9&lt;=5000,3,IF(P9&lt;=7500,4,5)))),IF(Y9=2,IF(P9&lt;=1000,1,IF(P9&lt;=1500,2,IF(P9&lt;=2500,3,IF(P9&lt;=4000,4,IF(P9&lt;=7000,5,IF(P9&lt;=10000,6,7))))))))</f>
        <v>0</v>
      </c>
      <c r="AA9" s="20" t="b">
        <f t="shared" ref="AA9:AA10" si="1">IF(Y9=3,IF(P9&lt;=1000,1,IF(P9&lt;=1500,2,IF(P9&lt;=2500,3,IF(P9&lt;=4500,4,IF(P9&lt;=7500,5,IF(P9&lt;=10000,6,IF(P9&lt;=15000,7,8))))))))</f>
        <v>0</v>
      </c>
      <c r="AB9" s="20" t="b">
        <f t="shared" ref="AB9:AB10" si="2">IF(Y9=4,IF(P9&lt;=1000,1,IF(P9&lt;=2000,2,IF(P9&lt;=3000,3,IF(P9&lt;=4000,4,IF(P9&lt;=6000,5,IF(P9&lt;=8000,6,IF(P9&lt;=10000,7,8))))))))</f>
        <v>0</v>
      </c>
      <c r="AC9" s="12">
        <f>IF(Y9=1,VLOOKUP(Z9,CDAC[],3,0),0)</f>
        <v>0</v>
      </c>
      <c r="AD9" s="12">
        <f>IF(Y9=2,VLOOKUP(Z9,ECF[],3,0),0)</f>
        <v>0</v>
      </c>
      <c r="AE9" s="12">
        <f>IF(Y9=3,VLOOKUP(AA9,SINDA[],3,0),0)</f>
        <v>0</v>
      </c>
      <c r="AF9" s="12">
        <f>IF(Y9=4,VLOOKUP(AB9,MBMF[],3,0),0)</f>
        <v>0</v>
      </c>
      <c r="AG9" s="12">
        <f t="shared" ref="AG9:AG10" ca="1" si="3">IF(ROUND(P9*0.0025,0)&lt;2,2,IF(ROUND(P9*0.0025,0)&gt;11.25,11.25,ROUND(P9*0.0025,0)))</f>
        <v>8</v>
      </c>
    </row>
    <row r="10" spans="1:33" x14ac:dyDescent="0.3">
      <c r="C10" s="1" t="s">
        <v>4</v>
      </c>
      <c r="D10" s="1" t="s">
        <v>61</v>
      </c>
      <c r="E10" s="17">
        <v>20821</v>
      </c>
      <c r="F10" s="16">
        <f ca="1">YEAR($B$1)-YEAR(E10)+IF(MONTH($B$1)&gt;MONTH(E10),0,-1)</f>
        <v>67</v>
      </c>
      <c r="G10" s="3">
        <v>10000</v>
      </c>
      <c r="H10" s="1">
        <v>0</v>
      </c>
      <c r="I10" s="1">
        <v>10</v>
      </c>
      <c r="J10" s="1">
        <v>0</v>
      </c>
      <c r="K10" s="1">
        <f>H10+I10-J10</f>
        <v>10</v>
      </c>
      <c r="L10" s="1">
        <v>0</v>
      </c>
      <c r="M10" s="12">
        <f ca="1">$G10-ROUND((L10/NETWORKDAYS($B$1,EOMONTH($B$1,0),Public_Holiday[])*$G10),2)</f>
        <v>10000</v>
      </c>
      <c r="N10" s="12"/>
      <c r="P10" s="12">
        <f ca="1">SUM(M10:O10)</f>
        <v>10000</v>
      </c>
      <c r="Q10" s="20">
        <f>VLOOKUP(C10,EmploymentType[],2,0)</f>
        <v>2</v>
      </c>
      <c r="R10" s="20">
        <f ca="1">IF($F10&lt;=55,1,IF($F10&lt;=60,2,IF($F10&lt;=65,3,IF($F10&lt;=70,4,5))))</f>
        <v>4</v>
      </c>
      <c r="S10" s="20">
        <f ca="1">IF($P10&lt;=50,1,IF($P10&lt;=500,2,IF($P10&lt;=750,3,4)))</f>
        <v>4</v>
      </c>
      <c r="T10" s="15">
        <f ca="1">IF(OR(Q10=1,Q10=4),0,INDEX(IF($S10=1,CPF_Rate_Nil[],IF($S10=2,CPF_Rate_1[],IF($S10=3,,CPF_Rate[]))),R10,2))</f>
        <v>0.09</v>
      </c>
      <c r="U10" s="15">
        <f ca="1">IF(OR(Q10=1,Q10=4),0,INDEX(IF($S10=1,CPF_Rate_Nil[],IF($S10=2,CPF_Rate_1[],IF($S10=3,,CPF_Rate[]))),R10,3))</f>
        <v>7.4999999999999997E-2</v>
      </c>
      <c r="V10" s="12">
        <f ca="1">IF($S10=4,MIN(INDEX(CPF_Rate[],R10,4),ROUND(P10*T10,2),ROUND(P10*T10,2)))</f>
        <v>612</v>
      </c>
      <c r="W10" s="12">
        <f ca="1">IF($S10=4,MIN(INDEX(CPF_Rate[],R10,5),ROUND(P10*U10,2)),ROUND(P10*U10,2))</f>
        <v>510</v>
      </c>
      <c r="X10" s="12">
        <f ca="1">SUM(V10:W10)</f>
        <v>1122</v>
      </c>
      <c r="Y10" s="20">
        <f>VLOOKUP(D10,Race[],2,0)</f>
        <v>2</v>
      </c>
      <c r="Z10" s="20">
        <f t="shared" ca="1" si="0"/>
        <v>6</v>
      </c>
      <c r="AA10" s="20" t="b">
        <f t="shared" si="1"/>
        <v>0</v>
      </c>
      <c r="AB10" s="20" t="b">
        <f t="shared" si="2"/>
        <v>0</v>
      </c>
      <c r="AC10" s="12">
        <f>IF(Y10=1,VLOOKUP(Z10,CDAC[],3,0),0)</f>
        <v>0</v>
      </c>
      <c r="AD10" s="12">
        <f ca="1">IF(Y10=2,VLOOKUP(Z10,ECF[],3,0),0)</f>
        <v>16</v>
      </c>
      <c r="AE10" s="12">
        <f>IF(Y10=3,VLOOKUP(AA10,SINDA[],3,0),0)</f>
        <v>0</v>
      </c>
      <c r="AF10" s="12">
        <f>IF(Y10=4,VLOOKUP(AB10,MBMF[],3,0),0)</f>
        <v>0</v>
      </c>
      <c r="AG10" s="12">
        <f t="shared" ca="1" si="3"/>
        <v>11.25</v>
      </c>
    </row>
    <row r="11" spans="1:33" x14ac:dyDescent="0.3">
      <c r="C11" s="1" t="s">
        <v>5</v>
      </c>
      <c r="D11" s="1" t="s">
        <v>62</v>
      </c>
      <c r="E11" s="17">
        <v>25569</v>
      </c>
      <c r="F11" s="16">
        <f t="shared" ref="F11:F12" ca="1" si="4">YEAR($B$1)-YEAR(E11)+IF(MONTH($B$1)&gt;MONTH(E11),0,-1)</f>
        <v>54</v>
      </c>
      <c r="G11" s="3">
        <v>2500</v>
      </c>
      <c r="H11" s="1">
        <v>0</v>
      </c>
      <c r="I11" s="1">
        <v>5</v>
      </c>
      <c r="J11" s="1">
        <v>0</v>
      </c>
      <c r="K11" s="1">
        <f t="shared" ref="K11:K12" si="5">H11+I11-J11</f>
        <v>5</v>
      </c>
      <c r="L11" s="1">
        <v>0</v>
      </c>
      <c r="M11" s="12">
        <f ca="1">$G11-ROUND((L11/NETWORKDAYS($B$1,EOMONTH($B$1,0),Public_Holiday[])*$G11),2)</f>
        <v>2500</v>
      </c>
      <c r="N11" s="12"/>
      <c r="P11" s="12">
        <f t="shared" ref="P11:P12" ca="1" si="6">SUM(M11:O11)</f>
        <v>2500</v>
      </c>
      <c r="Q11" s="20">
        <f>VLOOKUP(C11,EmploymentType[],2,0)</f>
        <v>3</v>
      </c>
      <c r="R11" s="20">
        <f t="shared" ref="R11:R12" ca="1" si="7">IF($F11&lt;=55,1,IF($F11&lt;=60,2,IF($F11&lt;=65,3,IF($F11&lt;=70,4,5))))</f>
        <v>1</v>
      </c>
      <c r="S11" s="20">
        <f t="shared" ref="S11:S12" ca="1" si="8">IF($P11&lt;=50,1,IF($P11&lt;=500,2,IF($P11&lt;=750,3,4)))</f>
        <v>4</v>
      </c>
      <c r="T11" s="15">
        <f ca="1">IF(OR(Q11=1,Q11=4),0,INDEX(IF($S11=1,CPF_Rate_Nil[],IF($S11=2,CPF_Rate_1[],IF($S11=3,,CPF_Rate[]))),R11,2))</f>
        <v>0.17</v>
      </c>
      <c r="U11" s="15">
        <f ca="1">IF(OR(Q11=1,Q11=4),0,INDEX(IF($S11=1,CPF_Rate_Nil[],IF($S11=2,CPF_Rate_1[],IF($S11=3,,CPF_Rate[]))),R11,3))</f>
        <v>0.2</v>
      </c>
      <c r="V11" s="12">
        <f ca="1">IF($S11=4,MIN(INDEX(CPF_Rate[],R11,4),ROUND(P11*T11,2),ROUND(P11*T11,2)))</f>
        <v>425</v>
      </c>
      <c r="W11" s="12">
        <f ca="1">IF($S11=4,MIN(INDEX(CPF_Rate[],R11,5),ROUND(P11*U11,2)),ROUND(P11*U11,2))</f>
        <v>500</v>
      </c>
      <c r="X11" s="12">
        <f t="shared" ref="X11:X12" ca="1" si="9">SUM(V11:W11)</f>
        <v>925</v>
      </c>
      <c r="Y11" s="20">
        <f>VLOOKUP(D11,Race[],2,0)</f>
        <v>4</v>
      </c>
      <c r="Z11" s="20" t="b">
        <f t="shared" ref="Z11:Z12" si="10">IF(Y11=1,IF(P11&lt;=2000,1,IF(P11&lt;=3500,2,IF(P11&lt;=5000,3,IF(P11&lt;=7500,4,5)))),IF(Y11=2,IF(P11&lt;=1000,1,IF(P11&lt;=1500,2,IF(P11&lt;=2500,3,IF(P11&lt;=4000,4,IF(P11&lt;=7000,5,IF(P11&lt;=10000,6,7))))))))</f>
        <v>0</v>
      </c>
      <c r="AA11" s="20" t="b">
        <f t="shared" ref="AA11:AA12" si="11">IF(Y11=3,IF(P11&lt;=1000,1,IF(P11&lt;=1500,2,IF(P11&lt;=2500,3,IF(P11&lt;=4500,4,IF(P11&lt;=7500,5,IF(P11&lt;=10000,6,IF(P11&lt;=15000,7,8))))))))</f>
        <v>0</v>
      </c>
      <c r="AB11" s="20">
        <f t="shared" ref="AB11:AB12" ca="1" si="12">IF(Y11=4,IF(P11&lt;=1000,1,IF(P11&lt;=2000,2,IF(P11&lt;=3000,3,IF(P11&lt;=4000,4,IF(P11&lt;=6000,5,IF(P11&lt;=8000,6,IF(P11&lt;=10000,7,8))))))))</f>
        <v>3</v>
      </c>
      <c r="AC11" s="12">
        <f>IF(Y11=1,VLOOKUP(Z11,CDAC[],3,0),0)</f>
        <v>0</v>
      </c>
      <c r="AD11" s="12">
        <f>IF(Y11=2,VLOOKUP(Z11,ECF[],3,0),0)</f>
        <v>0</v>
      </c>
      <c r="AE11" s="12">
        <f>IF(Y11=3,VLOOKUP(AA11,SINDA[],3,0),0)</f>
        <v>0</v>
      </c>
      <c r="AF11" s="12">
        <f ca="1">IF(Y11=4,VLOOKUP(AB11,MBMF[],3,0),0)</f>
        <v>6.5</v>
      </c>
      <c r="AG11" s="12">
        <f t="shared" ref="AG11:AG12" ca="1" si="13">IF(ROUND(P11*0.0025,0)&lt;2,2,IF(ROUND(P11*0.0025,0)&gt;11.25,11.25,ROUND(P11*0.0025,0)))</f>
        <v>6</v>
      </c>
    </row>
    <row r="12" spans="1:33" x14ac:dyDescent="0.3">
      <c r="C12" s="1" t="s">
        <v>5</v>
      </c>
      <c r="D12" s="1" t="s">
        <v>63</v>
      </c>
      <c r="E12" s="17">
        <v>29221</v>
      </c>
      <c r="F12" s="16">
        <f t="shared" ca="1" si="4"/>
        <v>44</v>
      </c>
      <c r="G12" s="3">
        <v>5000</v>
      </c>
      <c r="H12" s="1">
        <v>0</v>
      </c>
      <c r="I12" s="1">
        <v>0</v>
      </c>
      <c r="J12" s="1">
        <v>0</v>
      </c>
      <c r="K12" s="1">
        <f t="shared" si="5"/>
        <v>0</v>
      </c>
      <c r="L12" s="1">
        <v>5</v>
      </c>
      <c r="M12" s="12">
        <f ca="1">$G12-ROUND((L12/NETWORKDAYS($B$1,EOMONTH($B$1,0),Public_Holiday[])*$G12),2)</f>
        <v>2222.2199999999998</v>
      </c>
      <c r="N12" s="12"/>
      <c r="P12" s="12">
        <f t="shared" ca="1" si="6"/>
        <v>2222.2199999999998</v>
      </c>
      <c r="Q12" s="20">
        <f>VLOOKUP(C12,EmploymentType[],2,0)</f>
        <v>3</v>
      </c>
      <c r="R12" s="20">
        <f t="shared" ca="1" si="7"/>
        <v>1</v>
      </c>
      <c r="S12" s="20">
        <f t="shared" ca="1" si="8"/>
        <v>4</v>
      </c>
      <c r="T12" s="15">
        <f ca="1">IF(OR(Q12=1,Q12=4),0,INDEX(IF($S12=1,CPF_Rate_Nil[],IF($S12=2,CPF_Rate_1[],IF($S12=3,,CPF_Rate[]))),R12,2))</f>
        <v>0.17</v>
      </c>
      <c r="U12" s="15">
        <f ca="1">IF(OR(Q12=1,Q12=4),0,INDEX(IF($S12=1,CPF_Rate_Nil[],IF($S12=2,CPF_Rate_1[],IF($S12=3,,CPF_Rate[]))),R12,3))</f>
        <v>0.2</v>
      </c>
      <c r="V12" s="12">
        <f ca="1">IF($S12=4,MIN(INDEX(CPF_Rate[],R12,4),ROUND(P12*T12,2),ROUND(P12*T12,2)))</f>
        <v>377.78</v>
      </c>
      <c r="W12" s="12">
        <f ca="1">IF($S12=4,MIN(INDEX(CPF_Rate[],R12,5),ROUND(P12*U12,2)),ROUND(P12*U12,2))</f>
        <v>444.44</v>
      </c>
      <c r="X12" s="12">
        <f t="shared" ca="1" si="9"/>
        <v>822.22</v>
      </c>
      <c r="Y12" s="20">
        <f>VLOOKUP(D12,Race[],2,0)</f>
        <v>3</v>
      </c>
      <c r="Z12" s="20" t="b">
        <f t="shared" si="10"/>
        <v>0</v>
      </c>
      <c r="AA12" s="20">
        <f t="shared" ca="1" si="11"/>
        <v>3</v>
      </c>
      <c r="AB12" s="20" t="b">
        <f t="shared" si="12"/>
        <v>0</v>
      </c>
      <c r="AC12" s="12">
        <f>IF(Y12=1,VLOOKUP(Z12,CDAC[],3,0),0)</f>
        <v>0</v>
      </c>
      <c r="AD12" s="12">
        <f>IF(Y12=2,VLOOKUP(Z12,ECF[],3,0),0)</f>
        <v>0</v>
      </c>
      <c r="AE12" s="12">
        <f ca="1">IF(Y12=3,VLOOKUP(AA12,SINDA[],3,0),0)</f>
        <v>5</v>
      </c>
      <c r="AF12" s="12">
        <f>IF(Y12=4,VLOOKUP(AB12,MBMF[],3,0),0)</f>
        <v>0</v>
      </c>
      <c r="AG12" s="12">
        <f t="shared" ca="1" si="13"/>
        <v>6</v>
      </c>
    </row>
    <row r="13" spans="1:33" x14ac:dyDescent="0.3">
      <c r="M13" s="12"/>
      <c r="N13" s="12"/>
      <c r="P13" s="12"/>
      <c r="V13" s="12"/>
      <c r="W13" s="12"/>
      <c r="X13" s="12"/>
      <c r="AG13" s="12"/>
    </row>
    <row r="14" spans="1:33" x14ac:dyDescent="0.3">
      <c r="M14" s="12"/>
      <c r="N14" s="12"/>
      <c r="P14" s="12"/>
      <c r="V14" s="12"/>
      <c r="W14" s="12"/>
      <c r="X14" s="12"/>
      <c r="AG14" s="12"/>
    </row>
    <row r="15" spans="1:33" x14ac:dyDescent="0.3">
      <c r="M15" s="12"/>
      <c r="N15" s="12"/>
      <c r="P15" s="12"/>
      <c r="V15" s="12"/>
      <c r="W15" s="12"/>
      <c r="X15" s="12"/>
      <c r="AG15" s="12"/>
    </row>
    <row r="16" spans="1:33" x14ac:dyDescent="0.3">
      <c r="M16" s="12"/>
      <c r="N16" s="12"/>
      <c r="P16" s="12"/>
      <c r="V16" s="12"/>
      <c r="W16" s="12"/>
      <c r="X16" s="12"/>
      <c r="AG16" s="12"/>
    </row>
    <row r="17" spans="13:33" x14ac:dyDescent="0.3">
      <c r="M17" s="12"/>
      <c r="N17" s="12"/>
      <c r="P17" s="12"/>
      <c r="V17" s="12"/>
      <c r="W17" s="12"/>
      <c r="X17" s="12"/>
      <c r="AG17" s="12"/>
    </row>
  </sheetData>
  <mergeCells count="6">
    <mergeCell ref="AC6:AF6"/>
    <mergeCell ref="H6:K6"/>
    <mergeCell ref="L6:L7"/>
    <mergeCell ref="G6:G7"/>
    <mergeCell ref="T6:U6"/>
    <mergeCell ref="V6:X6"/>
  </mergeCells>
  <conditionalFormatting sqref="K1:K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B14F96B-429E-421B-B3C3-A62612A74438}">
          <x14:formula1>
            <xm:f>'Table Reference'!$A$8:$A$11</xm:f>
          </x14:formula1>
          <xm:sqref>C1:C1048576</xm:sqref>
        </x14:dataValidation>
        <x14:dataValidation type="list" allowBlank="1" showInputMessage="1" showErrorMessage="1" xr:uid="{E339430C-E034-4E06-A7ED-034DB15C95AD}">
          <x14:formula1>
            <xm:f>'Table Reference'!$A$14:$A$18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BA8F-F008-4196-AF99-281F1A2DF408}">
  <dimension ref="A6:Q48"/>
  <sheetViews>
    <sheetView workbookViewId="0">
      <selection activeCell="K54" sqref="K54"/>
    </sheetView>
  </sheetViews>
  <sheetFormatPr defaultRowHeight="15.75" x14ac:dyDescent="0.3"/>
  <cols>
    <col min="1" max="1" width="21.140625" style="2" customWidth="1"/>
    <col min="2" max="2" width="11.7109375" style="2" bestFit="1" customWidth="1"/>
    <col min="3" max="3" width="9.28515625" style="2" customWidth="1"/>
    <col min="4" max="5" width="23.7109375" style="13" customWidth="1"/>
    <col min="6" max="6" width="9.28515625" style="2" customWidth="1"/>
    <col min="7" max="7" width="9.140625" style="2"/>
    <col min="8" max="9" width="18.85546875" style="2" customWidth="1"/>
    <col min="10" max="10" width="17.85546875" style="24" bestFit="1" customWidth="1"/>
    <col min="11" max="11" width="18.5703125" style="24" customWidth="1"/>
    <col min="12" max="14" width="9.140625" style="2"/>
    <col min="15" max="15" width="7.140625" style="1" bestFit="1" customWidth="1"/>
    <col min="16" max="16" width="17.42578125" style="24" customWidth="1"/>
    <col min="17" max="16384" width="9.140625" style="2"/>
  </cols>
  <sheetData>
    <row r="6" spans="1:17" x14ac:dyDescent="0.3">
      <c r="G6" s="25" t="s">
        <v>25</v>
      </c>
      <c r="H6" s="25"/>
      <c r="I6" s="25"/>
      <c r="J6" s="25"/>
      <c r="K6" s="25"/>
      <c r="O6" s="25" t="s">
        <v>65</v>
      </c>
      <c r="P6" s="25"/>
      <c r="Q6" s="25"/>
    </row>
    <row r="7" spans="1:17" x14ac:dyDescent="0.3">
      <c r="A7" s="2" t="s">
        <v>2</v>
      </c>
      <c r="B7" s="2" t="s">
        <v>54</v>
      </c>
      <c r="D7" s="13" t="s">
        <v>26</v>
      </c>
      <c r="E7" s="14" t="s">
        <v>27</v>
      </c>
      <c r="G7" s="2" t="s">
        <v>15</v>
      </c>
      <c r="H7" s="2" t="s">
        <v>19</v>
      </c>
      <c r="I7" s="2" t="s">
        <v>5</v>
      </c>
      <c r="J7" s="24" t="s">
        <v>55</v>
      </c>
      <c r="K7" s="24" t="s">
        <v>56</v>
      </c>
      <c r="O7" s="1" t="s">
        <v>91</v>
      </c>
      <c r="P7" s="2" t="s">
        <v>71</v>
      </c>
      <c r="Q7" s="24" t="s">
        <v>72</v>
      </c>
    </row>
    <row r="8" spans="1:17" x14ac:dyDescent="0.3">
      <c r="A8" s="2" t="s">
        <v>3</v>
      </c>
      <c r="B8" s="1">
        <v>1</v>
      </c>
      <c r="D8" s="14">
        <v>45292</v>
      </c>
      <c r="E8" s="14" t="s">
        <v>28</v>
      </c>
      <c r="G8" s="8" t="s">
        <v>21</v>
      </c>
      <c r="H8" s="10">
        <v>0.17</v>
      </c>
      <c r="I8" s="10">
        <v>0.2</v>
      </c>
      <c r="J8" s="24">
        <v>1156</v>
      </c>
      <c r="K8" s="24">
        <v>1360</v>
      </c>
      <c r="O8" s="1">
        <v>1</v>
      </c>
      <c r="P8" s="2" t="s">
        <v>66</v>
      </c>
      <c r="Q8" s="24">
        <v>0.5</v>
      </c>
    </row>
    <row r="9" spans="1:17" x14ac:dyDescent="0.3">
      <c r="A9" s="2" t="s">
        <v>4</v>
      </c>
      <c r="B9" s="1">
        <v>2</v>
      </c>
      <c r="D9" s="14">
        <v>45332</v>
      </c>
      <c r="E9" s="14" t="s">
        <v>29</v>
      </c>
      <c r="G9" s="9" t="s">
        <v>22</v>
      </c>
      <c r="H9" s="10">
        <v>0.15</v>
      </c>
      <c r="I9" s="10">
        <v>0.16</v>
      </c>
      <c r="J9" s="24">
        <v>1020</v>
      </c>
      <c r="K9" s="24">
        <v>1088</v>
      </c>
      <c r="O9" s="1">
        <v>2</v>
      </c>
      <c r="P9" s="2" t="s">
        <v>67</v>
      </c>
      <c r="Q9" s="24">
        <v>1</v>
      </c>
    </row>
    <row r="10" spans="1:17" x14ac:dyDescent="0.3">
      <c r="A10" s="2" t="s">
        <v>5</v>
      </c>
      <c r="B10" s="1">
        <v>3</v>
      </c>
      <c r="D10" s="14">
        <v>45334</v>
      </c>
      <c r="E10" s="14" t="s">
        <v>29</v>
      </c>
      <c r="G10" s="8" t="s">
        <v>23</v>
      </c>
      <c r="H10" s="10">
        <v>0.105</v>
      </c>
      <c r="I10" s="10">
        <v>0.105</v>
      </c>
      <c r="J10" s="24">
        <v>782</v>
      </c>
      <c r="K10" s="24">
        <v>714</v>
      </c>
      <c r="O10" s="1">
        <v>3</v>
      </c>
      <c r="P10" s="2" t="s">
        <v>68</v>
      </c>
      <c r="Q10" s="24">
        <v>1.5</v>
      </c>
    </row>
    <row r="11" spans="1:17" x14ac:dyDescent="0.3">
      <c r="A11" s="2" t="s">
        <v>6</v>
      </c>
      <c r="B11" s="1">
        <v>4</v>
      </c>
      <c r="D11" s="14">
        <v>45411</v>
      </c>
      <c r="E11" s="14" t="s">
        <v>30</v>
      </c>
      <c r="G11" s="9" t="s">
        <v>24</v>
      </c>
      <c r="H11" s="10">
        <v>0.09</v>
      </c>
      <c r="I11" s="10">
        <v>7.4999999999999997E-2</v>
      </c>
      <c r="J11" s="24">
        <v>612</v>
      </c>
      <c r="K11" s="24">
        <v>510</v>
      </c>
      <c r="O11" s="1">
        <v>4</v>
      </c>
      <c r="P11" s="2" t="s">
        <v>69</v>
      </c>
      <c r="Q11" s="24">
        <v>2</v>
      </c>
    </row>
    <row r="12" spans="1:17" x14ac:dyDescent="0.3">
      <c r="D12" s="14">
        <v>45392</v>
      </c>
      <c r="E12" s="14" t="s">
        <v>31</v>
      </c>
      <c r="G12" s="8" t="s">
        <v>20</v>
      </c>
      <c r="H12" s="10">
        <v>7.4999999999999997E-2</v>
      </c>
      <c r="I12" s="10">
        <v>0.05</v>
      </c>
      <c r="J12" s="24">
        <v>510</v>
      </c>
      <c r="K12" s="24">
        <v>340</v>
      </c>
      <c r="O12" s="1">
        <v>5</v>
      </c>
      <c r="P12" s="2" t="s">
        <v>70</v>
      </c>
      <c r="Q12" s="24">
        <v>3</v>
      </c>
    </row>
    <row r="13" spans="1:17" x14ac:dyDescent="0.3">
      <c r="A13" s="2" t="s">
        <v>59</v>
      </c>
      <c r="B13" s="2" t="s">
        <v>54</v>
      </c>
      <c r="D13" s="14">
        <v>45047</v>
      </c>
      <c r="E13" s="14" t="s">
        <v>32</v>
      </c>
    </row>
    <row r="14" spans="1:17" x14ac:dyDescent="0.3">
      <c r="A14" s="2" t="s">
        <v>60</v>
      </c>
      <c r="B14" s="1">
        <v>1</v>
      </c>
      <c r="D14" s="14">
        <v>45434</v>
      </c>
      <c r="E14" s="14" t="s">
        <v>33</v>
      </c>
      <c r="G14" s="25" t="s">
        <v>42</v>
      </c>
      <c r="H14" s="25"/>
      <c r="I14" s="25"/>
      <c r="J14" s="25"/>
      <c r="K14" s="25"/>
    </row>
    <row r="15" spans="1:17" x14ac:dyDescent="0.3">
      <c r="A15" s="2" t="s">
        <v>61</v>
      </c>
      <c r="B15" s="1">
        <v>2</v>
      </c>
      <c r="D15" s="14">
        <v>45460</v>
      </c>
      <c r="E15" s="14" t="s">
        <v>34</v>
      </c>
      <c r="G15" s="2" t="s">
        <v>15</v>
      </c>
      <c r="H15" s="2" t="s">
        <v>19</v>
      </c>
      <c r="I15" s="2" t="s">
        <v>5</v>
      </c>
      <c r="J15" s="24" t="s">
        <v>55</v>
      </c>
      <c r="K15" s="24" t="s">
        <v>56</v>
      </c>
    </row>
    <row r="16" spans="1:17" x14ac:dyDescent="0.3">
      <c r="A16" s="2" t="s">
        <v>63</v>
      </c>
      <c r="B16" s="1">
        <v>3</v>
      </c>
      <c r="D16" s="14">
        <v>45147</v>
      </c>
      <c r="E16" s="14" t="s">
        <v>35</v>
      </c>
      <c r="G16" s="8" t="s">
        <v>21</v>
      </c>
      <c r="H16" s="10">
        <v>0</v>
      </c>
      <c r="I16" s="10">
        <v>0</v>
      </c>
      <c r="J16" s="24">
        <v>9999999</v>
      </c>
      <c r="K16" s="24">
        <v>9999999</v>
      </c>
    </row>
    <row r="17" spans="1:17" x14ac:dyDescent="0.3">
      <c r="A17" s="2" t="s">
        <v>62</v>
      </c>
      <c r="B17" s="1">
        <v>4</v>
      </c>
      <c r="D17" s="14">
        <v>45596</v>
      </c>
      <c r="E17" s="14" t="s">
        <v>36</v>
      </c>
      <c r="G17" s="9" t="s">
        <v>22</v>
      </c>
      <c r="H17" s="10">
        <v>0</v>
      </c>
      <c r="I17" s="10">
        <v>0</v>
      </c>
      <c r="J17" s="24">
        <v>9999999</v>
      </c>
      <c r="K17" s="24">
        <v>9999999</v>
      </c>
      <c r="O17" s="25" t="s">
        <v>73</v>
      </c>
      <c r="P17" s="25"/>
      <c r="Q17" s="25"/>
    </row>
    <row r="18" spans="1:17" x14ac:dyDescent="0.3">
      <c r="A18" s="2" t="s">
        <v>64</v>
      </c>
      <c r="B18" s="1">
        <v>5</v>
      </c>
      <c r="D18" s="14">
        <v>45651</v>
      </c>
      <c r="E18" s="14" t="s">
        <v>37</v>
      </c>
      <c r="G18" s="8" t="s">
        <v>23</v>
      </c>
      <c r="H18" s="10">
        <v>0</v>
      </c>
      <c r="I18" s="10">
        <v>0</v>
      </c>
      <c r="J18" s="24">
        <v>9999999</v>
      </c>
      <c r="K18" s="24">
        <v>9999999</v>
      </c>
      <c r="O18" s="1" t="s">
        <v>91</v>
      </c>
      <c r="P18" s="2" t="s">
        <v>71</v>
      </c>
      <c r="Q18" s="24" t="s">
        <v>72</v>
      </c>
    </row>
    <row r="19" spans="1:17" x14ac:dyDescent="0.3">
      <c r="D19" s="14"/>
      <c r="E19" s="14"/>
      <c r="G19" s="9" t="s">
        <v>24</v>
      </c>
      <c r="H19" s="10">
        <v>0</v>
      </c>
      <c r="I19" s="10">
        <v>0</v>
      </c>
      <c r="J19" s="24">
        <v>9999999</v>
      </c>
      <c r="K19" s="24">
        <v>9999999</v>
      </c>
      <c r="O19" s="1">
        <v>1</v>
      </c>
      <c r="P19" s="2" t="s">
        <v>74</v>
      </c>
      <c r="Q19" s="24">
        <v>2</v>
      </c>
    </row>
    <row r="20" spans="1:17" x14ac:dyDescent="0.3">
      <c r="G20" s="8" t="s">
        <v>20</v>
      </c>
      <c r="H20" s="10">
        <v>0</v>
      </c>
      <c r="I20" s="10">
        <v>0</v>
      </c>
      <c r="J20" s="24">
        <v>9999999</v>
      </c>
      <c r="K20" s="24">
        <v>9999999</v>
      </c>
      <c r="O20" s="1">
        <v>2</v>
      </c>
      <c r="P20" s="2" t="s">
        <v>75</v>
      </c>
      <c r="Q20" s="24">
        <v>4</v>
      </c>
    </row>
    <row r="21" spans="1:17" x14ac:dyDescent="0.3">
      <c r="O21" s="1">
        <v>3</v>
      </c>
      <c r="P21" s="2" t="s">
        <v>76</v>
      </c>
      <c r="Q21" s="24">
        <v>6</v>
      </c>
    </row>
    <row r="22" spans="1:17" x14ac:dyDescent="0.3">
      <c r="G22" s="25" t="s">
        <v>43</v>
      </c>
      <c r="H22" s="25"/>
      <c r="I22" s="25"/>
      <c r="J22" s="25"/>
      <c r="K22" s="25"/>
      <c r="O22" s="1">
        <v>4</v>
      </c>
      <c r="P22" s="2" t="s">
        <v>77</v>
      </c>
      <c r="Q22" s="24">
        <v>9</v>
      </c>
    </row>
    <row r="23" spans="1:17" x14ac:dyDescent="0.3">
      <c r="G23" s="2" t="s">
        <v>15</v>
      </c>
      <c r="H23" s="2" t="s">
        <v>19</v>
      </c>
      <c r="I23" s="2" t="s">
        <v>5</v>
      </c>
      <c r="J23" s="24" t="s">
        <v>55</v>
      </c>
      <c r="K23" s="24" t="s">
        <v>56</v>
      </c>
      <c r="O23" s="1">
        <v>5</v>
      </c>
      <c r="P23" s="2" t="s">
        <v>78</v>
      </c>
      <c r="Q23" s="24">
        <v>12</v>
      </c>
    </row>
    <row r="24" spans="1:17" x14ac:dyDescent="0.3">
      <c r="G24" s="8" t="s">
        <v>21</v>
      </c>
      <c r="H24" s="10">
        <v>0.17</v>
      </c>
      <c r="I24" s="10">
        <v>0</v>
      </c>
      <c r="J24" s="24">
        <v>9999999</v>
      </c>
      <c r="K24" s="24">
        <v>9999999</v>
      </c>
      <c r="O24" s="1">
        <v>6</v>
      </c>
      <c r="P24" s="2" t="s">
        <v>79</v>
      </c>
      <c r="Q24" s="24">
        <v>16</v>
      </c>
    </row>
    <row r="25" spans="1:17" x14ac:dyDescent="0.3">
      <c r="G25" s="9" t="s">
        <v>22</v>
      </c>
      <c r="H25" s="10">
        <v>0.15</v>
      </c>
      <c r="I25" s="10">
        <v>0</v>
      </c>
      <c r="J25" s="24">
        <v>9999999</v>
      </c>
      <c r="K25" s="24">
        <v>9999999</v>
      </c>
      <c r="O25" s="1">
        <v>7</v>
      </c>
      <c r="P25" s="2" t="s">
        <v>80</v>
      </c>
      <c r="Q25" s="24">
        <v>20</v>
      </c>
    </row>
    <row r="26" spans="1:17" x14ac:dyDescent="0.3">
      <c r="G26" s="8" t="s">
        <v>23</v>
      </c>
      <c r="H26" s="10">
        <v>0.115</v>
      </c>
      <c r="I26" s="10">
        <v>0</v>
      </c>
      <c r="J26" s="24">
        <v>9999999</v>
      </c>
      <c r="K26" s="24">
        <v>9999999</v>
      </c>
    </row>
    <row r="27" spans="1:17" x14ac:dyDescent="0.3">
      <c r="G27" s="9" t="s">
        <v>24</v>
      </c>
      <c r="H27" s="10">
        <v>0.09</v>
      </c>
      <c r="I27" s="10">
        <v>0</v>
      </c>
      <c r="J27" s="24">
        <v>9999999</v>
      </c>
      <c r="K27" s="24">
        <v>9999999</v>
      </c>
    </row>
    <row r="28" spans="1:17" x14ac:dyDescent="0.3">
      <c r="G28" s="8" t="s">
        <v>20</v>
      </c>
      <c r="H28" s="10">
        <v>7.4999999999999997E-2</v>
      </c>
      <c r="I28" s="10">
        <v>0</v>
      </c>
      <c r="J28" s="24">
        <v>9999999</v>
      </c>
      <c r="K28" s="24">
        <v>9999999</v>
      </c>
      <c r="O28" s="25" t="s">
        <v>81</v>
      </c>
      <c r="P28" s="25"/>
      <c r="Q28" s="25"/>
    </row>
    <row r="29" spans="1:17" x14ac:dyDescent="0.3">
      <c r="O29" s="1" t="s">
        <v>91</v>
      </c>
      <c r="P29" s="2" t="s">
        <v>71</v>
      </c>
      <c r="Q29" s="24" t="s">
        <v>72</v>
      </c>
    </row>
    <row r="30" spans="1:17" x14ac:dyDescent="0.3">
      <c r="G30" s="25" t="s">
        <v>44</v>
      </c>
      <c r="H30" s="25"/>
      <c r="I30" s="25"/>
      <c r="J30" s="25"/>
      <c r="K30" s="25"/>
      <c r="O30" s="1">
        <v>1</v>
      </c>
      <c r="P30" s="2" t="s">
        <v>74</v>
      </c>
      <c r="Q30" s="24">
        <v>1</v>
      </c>
    </row>
    <row r="31" spans="1:17" x14ac:dyDescent="0.3">
      <c r="G31" s="2" t="s">
        <v>15</v>
      </c>
      <c r="H31" s="2" t="s">
        <v>19</v>
      </c>
      <c r="I31" s="2" t="s">
        <v>5</v>
      </c>
      <c r="J31" s="24" t="s">
        <v>55</v>
      </c>
      <c r="K31" s="24" t="s">
        <v>56</v>
      </c>
      <c r="O31" s="1">
        <v>2</v>
      </c>
      <c r="P31" s="2" t="s">
        <v>75</v>
      </c>
      <c r="Q31" s="24">
        <v>3</v>
      </c>
    </row>
    <row r="32" spans="1:17" x14ac:dyDescent="0.3">
      <c r="G32" s="8" t="s">
        <v>21</v>
      </c>
      <c r="H32" s="10">
        <v>0.17</v>
      </c>
      <c r="I32" s="22" t="s">
        <v>45</v>
      </c>
      <c r="J32" s="24">
        <v>9999999</v>
      </c>
      <c r="K32" s="24">
        <v>9999999</v>
      </c>
      <c r="O32" s="1">
        <v>3</v>
      </c>
      <c r="P32" s="2" t="s">
        <v>76</v>
      </c>
      <c r="Q32" s="24">
        <v>5</v>
      </c>
    </row>
    <row r="33" spans="7:17" x14ac:dyDescent="0.3">
      <c r="G33" s="9" t="s">
        <v>22</v>
      </c>
      <c r="H33" s="10">
        <v>0.15</v>
      </c>
      <c r="I33" s="22" t="s">
        <v>46</v>
      </c>
      <c r="J33" s="24">
        <v>9999999</v>
      </c>
      <c r="K33" s="24">
        <v>9999999</v>
      </c>
      <c r="O33" s="1">
        <v>4</v>
      </c>
      <c r="P33" s="2" t="s">
        <v>82</v>
      </c>
      <c r="Q33" s="24">
        <v>7</v>
      </c>
    </row>
    <row r="34" spans="7:17" x14ac:dyDescent="0.3">
      <c r="G34" s="8" t="s">
        <v>23</v>
      </c>
      <c r="H34" s="10">
        <v>0.115</v>
      </c>
      <c r="I34" s="22" t="s">
        <v>47</v>
      </c>
      <c r="J34" s="24">
        <v>9999999</v>
      </c>
      <c r="K34" s="24">
        <v>9999999</v>
      </c>
      <c r="O34" s="1">
        <v>5</v>
      </c>
      <c r="P34" s="2" t="s">
        <v>69</v>
      </c>
      <c r="Q34" s="24">
        <v>9</v>
      </c>
    </row>
    <row r="35" spans="7:17" x14ac:dyDescent="0.3">
      <c r="G35" s="9" t="s">
        <v>24</v>
      </c>
      <c r="H35" s="10">
        <v>0.09</v>
      </c>
      <c r="I35" s="22" t="s">
        <v>48</v>
      </c>
      <c r="J35" s="24">
        <v>9999999</v>
      </c>
      <c r="K35" s="24">
        <v>9999999</v>
      </c>
      <c r="O35" s="1">
        <v>6</v>
      </c>
      <c r="P35" s="2" t="s">
        <v>79</v>
      </c>
      <c r="Q35" s="24">
        <v>12</v>
      </c>
    </row>
    <row r="36" spans="7:17" x14ac:dyDescent="0.3">
      <c r="G36" s="8" t="s">
        <v>20</v>
      </c>
      <c r="H36" s="10">
        <v>7.4999999999999997E-2</v>
      </c>
      <c r="I36" s="22" t="s">
        <v>49</v>
      </c>
      <c r="J36" s="24">
        <v>9999999</v>
      </c>
      <c r="K36" s="24">
        <v>9999999</v>
      </c>
      <c r="O36" s="1">
        <v>7</v>
      </c>
      <c r="P36" s="2" t="s">
        <v>84</v>
      </c>
      <c r="Q36" s="24">
        <v>18</v>
      </c>
    </row>
    <row r="37" spans="7:17" x14ac:dyDescent="0.3">
      <c r="O37" s="1">
        <v>8</v>
      </c>
      <c r="P37" s="2" t="s">
        <v>83</v>
      </c>
      <c r="Q37" s="24">
        <v>30</v>
      </c>
    </row>
    <row r="39" spans="7:17" x14ac:dyDescent="0.3">
      <c r="O39" s="25" t="s">
        <v>85</v>
      </c>
      <c r="P39" s="25"/>
      <c r="Q39" s="25"/>
    </row>
    <row r="40" spans="7:17" x14ac:dyDescent="0.3">
      <c r="O40" s="1" t="s">
        <v>91</v>
      </c>
      <c r="P40" s="2" t="s">
        <v>71</v>
      </c>
      <c r="Q40" s="24" t="s">
        <v>72</v>
      </c>
    </row>
    <row r="41" spans="7:17" x14ac:dyDescent="0.3">
      <c r="O41" s="1">
        <v>1</v>
      </c>
      <c r="P41" s="2" t="s">
        <v>74</v>
      </c>
      <c r="Q41" s="24">
        <v>3</v>
      </c>
    </row>
    <row r="42" spans="7:17" x14ac:dyDescent="0.3">
      <c r="O42" s="1">
        <v>2</v>
      </c>
      <c r="P42" s="2" t="s">
        <v>66</v>
      </c>
      <c r="Q42" s="24">
        <v>4.5</v>
      </c>
    </row>
    <row r="43" spans="7:17" x14ac:dyDescent="0.3">
      <c r="O43" s="1">
        <v>3</v>
      </c>
      <c r="P43" s="2" t="s">
        <v>86</v>
      </c>
      <c r="Q43" s="24">
        <v>6.5</v>
      </c>
    </row>
    <row r="44" spans="7:17" x14ac:dyDescent="0.3">
      <c r="O44" s="1">
        <v>4</v>
      </c>
      <c r="P44" s="2" t="s">
        <v>77</v>
      </c>
      <c r="Q44" s="24">
        <v>15</v>
      </c>
    </row>
    <row r="45" spans="7:17" x14ac:dyDescent="0.3">
      <c r="O45" s="1">
        <v>5</v>
      </c>
      <c r="P45" s="2" t="s">
        <v>87</v>
      </c>
      <c r="Q45" s="24">
        <v>19.5</v>
      </c>
    </row>
    <row r="46" spans="7:17" x14ac:dyDescent="0.3">
      <c r="O46" s="1">
        <v>6</v>
      </c>
      <c r="P46" s="2" t="s">
        <v>88</v>
      </c>
      <c r="Q46" s="24">
        <v>22</v>
      </c>
    </row>
    <row r="47" spans="7:17" x14ac:dyDescent="0.3">
      <c r="O47" s="1">
        <v>7</v>
      </c>
      <c r="P47" s="2" t="s">
        <v>79</v>
      </c>
      <c r="Q47" s="24">
        <v>24</v>
      </c>
    </row>
    <row r="48" spans="7:17" x14ac:dyDescent="0.3">
      <c r="O48" s="1">
        <v>8</v>
      </c>
      <c r="P48" s="2" t="s">
        <v>80</v>
      </c>
      <c r="Q48" s="24">
        <v>26</v>
      </c>
    </row>
  </sheetData>
  <sortState xmlns:xlrd2="http://schemas.microsoft.com/office/spreadsheetml/2017/richdata2" ref="A14:A17">
    <sortCondition ref="A14:A17"/>
  </sortState>
  <mergeCells count="8">
    <mergeCell ref="O39:Q39"/>
    <mergeCell ref="G6:K6"/>
    <mergeCell ref="G14:K14"/>
    <mergeCell ref="G22:K22"/>
    <mergeCell ref="G30:K30"/>
    <mergeCell ref="O6:Q6"/>
    <mergeCell ref="O17:Q17"/>
    <mergeCell ref="O28:Q28"/>
  </mergeCell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weishen Kuay</dc:creator>
  <cp:lastModifiedBy>weishen Kuay</cp:lastModifiedBy>
  <dcterms:created xsi:type="dcterms:W3CDTF">2023-10-23T05:59:35Z</dcterms:created>
  <dcterms:modified xsi:type="dcterms:W3CDTF">2024-08-19T16:32:45Z</dcterms:modified>
</cp:coreProperties>
</file>