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bookViews>
    <workbookView xWindow="0" yWindow="0" windowWidth="21570" windowHeight="9405" activeTab="2"/>
  </bookViews>
  <sheets>
    <sheet name="OKodwrotnaXY" sheetId="1" r:id="rId1"/>
    <sheet name="OKodwrotnaXYZ" sheetId="2" r:id="rId2"/>
    <sheet name="OKodwrotnaXYZ (2)" sheetId="5" r:id="rId3"/>
    <sheet name="odwrotna_2" sheetId="3" r:id="rId4"/>
    <sheet name="Sheet2" sheetId="4" r:id="rId5"/>
  </sheets>
  <definedNames>
    <definedName name="_cos3">'OKodwrotnaXYZ (2)'!$B$35</definedName>
    <definedName name="_sin3">'OKodwrotnaXYZ (2)'!$B$36</definedName>
    <definedName name="alfaDest">'OKodwrotnaXYZ (2)'!$B$5</definedName>
    <definedName name="alfaXYOffsetXY">'OKodwrotnaXYZ (2)'!$B$10</definedName>
    <definedName name="destX">'OKodwrotnaXYZ (2)'!$B$2</definedName>
    <definedName name="destY">'OKodwrotnaXYZ (2)'!$B$3</definedName>
    <definedName name="destZ">'OKodwrotnaXYZ (2)'!$B$4</definedName>
    <definedName name="Length0">'OKodwrotnaXYZ (2)'!$B$12</definedName>
    <definedName name="Length1">'OKodwrotnaXYZ (2)'!$B$13</definedName>
    <definedName name="Length2">'OKodwrotnaXYZ (2)'!$B$14</definedName>
    <definedName name="O1X">'OKodwrotnaXYZ (2)'!$C$24</definedName>
    <definedName name="O1Y">'OKodwrotnaXYZ (2)'!$C$25</definedName>
    <definedName name="O1Z">'OKodwrotnaXYZ (2)'!$C$26</definedName>
    <definedName name="O2X">'OKodwrotnaXYZ (2)'!$D$24</definedName>
    <definedName name="O2Y">'OKodwrotnaXYZ (2)'!$D$25</definedName>
    <definedName name="O2Z">'OKodwrotnaXYZ (2)'!$D$26</definedName>
    <definedName name="O3X">'OKodwrotnaXYZ (2)'!$E$24</definedName>
    <definedName name="O3Y">'OKodwrotnaXYZ (2)'!$E$25</definedName>
    <definedName name="O3Z">'OKodwrotnaXYZ (2)'!$E$26</definedName>
    <definedName name="ODestX">'OKodwrotnaXYZ (2)'!$F$24</definedName>
    <definedName name="ODestY">'OKodwrotnaXYZ (2)'!$F$25</definedName>
    <definedName name="ODestZ">'OKodwrotnaXYZ (2)'!$F$26</definedName>
    <definedName name="offsetX">'OKodwrotnaXYZ (2)'!$B$7</definedName>
    <definedName name="offsetY">'OKodwrotnaXYZ (2)'!$B$8</definedName>
    <definedName name="offsetZ">'OKodwrotnaXYZ (2)'!$B$9</definedName>
    <definedName name="pXFromO1">'OKodwrotnaXYZ (2)'!$B$17</definedName>
    <definedName name="pXFromO2">'OKodwrotnaXYZ (2)'!$B$29</definedName>
    <definedName name="pYFromO1">'OKodwrotnaXYZ (2)'!$B$18</definedName>
    <definedName name="pYFromO2">'OKodwrotnaXYZ (2)'!$B$30</definedName>
    <definedName name="pZFromO1">'OKodwrotnaXYZ (2)'!$B$19</definedName>
    <definedName name="pZFromO2">'OKodwrotnaXYZ (2)'!$B$31</definedName>
    <definedName name="RpXpY">'OKodwrotnaXYZ (2)'!$B$33</definedName>
    <definedName name="theta0">'OKodwrotnaXYZ (2)'!$B$37</definedName>
    <definedName name="theta1">'OKodwrotnaXYZ (2)'!$B$38</definedName>
    <definedName name="theta2">'OKodwrotnaXYZ (2)'!$B$39</definedName>
  </definedNames>
  <calcPr calcId="162913" fullCalcOnLoad="1"/>
</workbook>
</file>

<file path=xl/calcChain.xml><?xml version="1.0" encoding="utf-8"?>
<calcChain xmlns="http://schemas.openxmlformats.org/spreadsheetml/2006/main">
  <c r="B40" i="5" l="1"/>
  <c r="D26" i="5"/>
  <c r="D43" i="5"/>
  <c r="C43" i="5"/>
  <c r="D44" i="5"/>
  <c r="E44" i="5" s="1"/>
  <c r="B10" i="5"/>
  <c r="C26" i="5"/>
  <c r="C25" i="5"/>
  <c r="C24" i="5"/>
  <c r="C27" i="5" s="1"/>
  <c r="B19" i="5"/>
  <c r="B18" i="5"/>
  <c r="B17" i="5"/>
  <c r="B5" i="5"/>
  <c r="C5" i="5" s="1"/>
  <c r="C14" i="5"/>
  <c r="E13" i="5"/>
  <c r="C13" i="5"/>
  <c r="C4" i="5"/>
  <c r="C3" i="5"/>
  <c r="C2" i="5"/>
  <c r="B31" i="2"/>
  <c r="D26" i="2"/>
  <c r="C26" i="2"/>
  <c r="B10" i="2"/>
  <c r="C10" i="2" s="1"/>
  <c r="B5" i="2"/>
  <c r="C5" i="2" s="1"/>
  <c r="C25" i="2"/>
  <c r="C24" i="2"/>
  <c r="C27" i="2"/>
  <c r="B19" i="2"/>
  <c r="B18" i="2"/>
  <c r="B17" i="2"/>
  <c r="B47" i="2"/>
  <c r="C47" i="2" s="1"/>
  <c r="G48" i="2"/>
  <c r="B33" i="2"/>
  <c r="G47" i="2"/>
  <c r="B41" i="2"/>
  <c r="C41" i="2" s="1"/>
  <c r="H41" i="2"/>
  <c r="G43" i="2"/>
  <c r="B18" i="3"/>
  <c r="B17" i="3"/>
  <c r="B16" i="3"/>
  <c r="B20" i="3" s="1"/>
  <c r="B14" i="3"/>
  <c r="C14" i="3" s="1"/>
  <c r="B13" i="3"/>
  <c r="B12" i="3" s="1"/>
  <c r="C12" i="3" s="1"/>
  <c r="B1" i="3"/>
  <c r="C61" i="2"/>
  <c r="D61" i="2" s="1"/>
  <c r="C60" i="2"/>
  <c r="D60" i="2" s="1"/>
  <c r="C58" i="2"/>
  <c r="D58" i="2" s="1"/>
  <c r="C57" i="2"/>
  <c r="D57" i="2" s="1"/>
  <c r="C4" i="2"/>
  <c r="C3" i="2"/>
  <c r="C2" i="2"/>
  <c r="C14" i="2"/>
  <c r="E13" i="2"/>
  <c r="C13" i="2"/>
  <c r="C9" i="1"/>
  <c r="C8" i="1"/>
  <c r="C6" i="1"/>
  <c r="C5" i="1"/>
  <c r="B13" i="1" l="1"/>
  <c r="B18" i="1" s="1"/>
  <c r="B37" i="5"/>
  <c r="B31" i="5"/>
  <c r="C10" i="5"/>
  <c r="E2" i="5"/>
  <c r="B20" i="2"/>
  <c r="G41" i="2"/>
  <c r="G44" i="2"/>
  <c r="B39" i="2"/>
  <c r="B40" i="2" s="1"/>
  <c r="B42" i="2" s="1"/>
  <c r="C33" i="2"/>
  <c r="G40" i="2"/>
  <c r="E41" i="2"/>
  <c r="B24" i="3"/>
  <c r="C20" i="3"/>
  <c r="B19" i="3"/>
  <c r="C13" i="3"/>
  <c r="D25" i="5" l="1"/>
  <c r="D24" i="5"/>
  <c r="B14" i="1"/>
  <c r="B19" i="1" s="1"/>
  <c r="B21" i="1" s="1"/>
  <c r="C21" i="1" s="1"/>
  <c r="B20" i="5"/>
  <c r="C20" i="5" s="1"/>
  <c r="B22" i="5"/>
  <c r="C37" i="5"/>
  <c r="E43" i="5"/>
  <c r="F43" i="5" s="1"/>
  <c r="G43" i="5" s="1"/>
  <c r="C20" i="2"/>
  <c r="B22" i="2"/>
  <c r="B46" i="2"/>
  <c r="E2" i="2" s="1"/>
  <c r="B45" i="2"/>
  <c r="B43" i="2"/>
  <c r="C43" i="2" s="1"/>
  <c r="C19" i="3"/>
  <c r="B23" i="3"/>
  <c r="D32" i="3"/>
  <c r="C32" i="3"/>
  <c r="C24" i="3"/>
  <c r="D31" i="3"/>
  <c r="C31" i="3"/>
  <c r="B15" i="1" l="1"/>
  <c r="C29" i="1" s="1"/>
  <c r="D29" i="1" s="1"/>
  <c r="B20" i="1"/>
  <c r="C33" i="1" s="1"/>
  <c r="D33" i="1" s="1"/>
  <c r="B16" i="1"/>
  <c r="C16" i="1" s="1"/>
  <c r="B30" i="5"/>
  <c r="B29" i="5"/>
  <c r="C22" i="5"/>
  <c r="D25" i="2"/>
  <c r="B30" i="2" s="1"/>
  <c r="C22" i="2"/>
  <c r="D24" i="2"/>
  <c r="B48" i="2"/>
  <c r="E60" i="2" s="1"/>
  <c r="B49" i="2"/>
  <c r="C49" i="2" s="1"/>
  <c r="C30" i="1"/>
  <c r="D30" i="1" s="1"/>
  <c r="D29" i="3"/>
  <c r="E8" i="3"/>
  <c r="C29" i="3"/>
  <c r="D28" i="3"/>
  <c r="E10" i="3"/>
  <c r="C23" i="3"/>
  <c r="C28" i="3"/>
  <c r="C42" i="2"/>
  <c r="E58" i="2"/>
  <c r="F58" i="2" s="1"/>
  <c r="E57" i="2"/>
  <c r="F57" i="2" s="1"/>
  <c r="B33" i="5" l="1"/>
  <c r="B35" i="5" s="1"/>
  <c r="C32" i="1"/>
  <c r="D32" i="1" s="1"/>
  <c r="C15" i="1"/>
  <c r="C20" i="1"/>
  <c r="D27" i="5"/>
  <c r="B32" i="5"/>
  <c r="C32" i="5" s="1"/>
  <c r="D27" i="2"/>
  <c r="B29" i="2"/>
  <c r="B32" i="2" s="1"/>
  <c r="C32" i="2" s="1"/>
  <c r="F60" i="2"/>
  <c r="E61" i="2"/>
  <c r="F61" i="2" s="1"/>
  <c r="C48" i="2"/>
  <c r="B36" i="5" l="1"/>
  <c r="B38" i="5" s="1"/>
  <c r="C33" i="5"/>
  <c r="E26" i="5" l="1"/>
  <c r="E25" i="5"/>
  <c r="E24" i="5"/>
  <c r="E27" i="5" s="1"/>
  <c r="D38" i="5"/>
  <c r="C38" i="5"/>
  <c r="B39" i="5"/>
  <c r="C39" i="5" s="1"/>
  <c r="C40" i="5" s="1"/>
  <c r="F26" i="5" l="1"/>
  <c r="F24" i="5"/>
  <c r="F25" i="5"/>
  <c r="F27" i="5" l="1"/>
</calcChain>
</file>

<file path=xl/sharedStrings.xml><?xml version="1.0" encoding="utf-8"?>
<sst xmlns="http://schemas.openxmlformats.org/spreadsheetml/2006/main" count="155" uniqueCount="80">
  <si>
    <t>L1</t>
  </si>
  <si>
    <t>L2</t>
  </si>
  <si>
    <t>px</t>
  </si>
  <si>
    <t>py</t>
  </si>
  <si>
    <t>c2</t>
  </si>
  <si>
    <t>s2</t>
  </si>
  <si>
    <t>th11=</t>
  </si>
  <si>
    <t>th21=</t>
  </si>
  <si>
    <t>th12=</t>
  </si>
  <si>
    <t>#</t>
  </si>
  <si>
    <t>x1</t>
  </si>
  <si>
    <t>z1</t>
  </si>
  <si>
    <t>pz</t>
  </si>
  <si>
    <t>C1</t>
  </si>
  <si>
    <t>S1</t>
  </si>
  <si>
    <t>c3</t>
  </si>
  <si>
    <t>[-1,1] or outside bounds</t>
  </si>
  <si>
    <t>s3</t>
  </si>
  <si>
    <t>th31=</t>
  </si>
  <si>
    <t>th22=</t>
  </si>
  <si>
    <t>th32=</t>
  </si>
  <si>
    <t>rad2deg factor=</t>
  </si>
  <si>
    <t>a1</t>
  </si>
  <si>
    <t>a2</t>
  </si>
  <si>
    <t>x</t>
  </si>
  <si>
    <t>#2D</t>
  </si>
  <si>
    <t>y</t>
  </si>
  <si>
    <t>z</t>
  </si>
  <si>
    <t>th1=</t>
  </si>
  <si>
    <t>fi=</t>
  </si>
  <si>
    <t>alfa=</t>
  </si>
  <si>
    <t>costh3=</t>
  </si>
  <si>
    <t>r^2=</t>
  </si>
  <si>
    <t>s=</t>
  </si>
  <si>
    <t>INT_FREQ</t>
  </si>
  <si>
    <r>
      <rPr>
        <b/>
        <sz val="11"/>
        <color rgb="FF000000"/>
        <rFont val="Liberation Sans"/>
      </rPr>
      <t>Prescaler - wartość dzielnika wewnętrznego zegara, którym będzie taktowany timer.</t>
    </r>
    <r>
      <rPr>
        <sz val="11"/>
        <color rgb="FF000000"/>
        <rFont val="Liberation Sans"/>
      </rPr>
      <t>0 - 65535.</t>
    </r>
  </si>
  <si>
    <t>Counter Mode - definiuje, czy timer ma zliczać w górę, czy w dół.</t>
  </si>
  <si>
    <t>Counter Period (AutoReload Register) - wartość, do której zlicza timer.</t>
  </si>
  <si>
    <t>Internal Clock Division - jeszcze jedno miejsce, gdzie można dokonać dzielenia sygnału taktującego timer.</t>
  </si>
  <si>
    <t>INT_FREQ - częstotliwość generowanego przerwania.</t>
  </si>
  <si>
    <t>TIM_CLK - częstotliwość taktowania magistrali, na której umieszczony jest timer.</t>
  </si>
  <si>
    <t>ARR, PSC, CKD - opisane wcześniej rejestry.</t>
  </si>
  <si>
    <t>ARR</t>
  </si>
  <si>
    <t>PSC</t>
  </si>
  <si>
    <t>CKD</t>
  </si>
  <si>
    <t>th01=</t>
  </si>
  <si>
    <t>L0</t>
  </si>
  <si>
    <t>th02=</t>
  </si>
  <si>
    <t>pxpy</t>
  </si>
  <si>
    <t>offX</t>
  </si>
  <si>
    <t>offY</t>
  </si>
  <si>
    <t>px from S1</t>
  </si>
  <si>
    <t>py from S1</t>
  </si>
  <si>
    <t>pz from S1</t>
  </si>
  <si>
    <t>offZ</t>
  </si>
  <si>
    <t>th0=</t>
  </si>
  <si>
    <t>y1</t>
  </si>
  <si>
    <t>alfaXY</t>
  </si>
  <si>
    <t>S1-S2</t>
  </si>
  <si>
    <t>alfa offsetXY</t>
  </si>
  <si>
    <t>alfa from S1</t>
  </si>
  <si>
    <t>px from S2</t>
  </si>
  <si>
    <t>py from S2</t>
  </si>
  <si>
    <t>pz from S2</t>
  </si>
  <si>
    <t>alfa from S2</t>
  </si>
  <si>
    <t>px from O1</t>
  </si>
  <si>
    <t>py from O1</t>
  </si>
  <si>
    <t>pz from O1</t>
  </si>
  <si>
    <t>alfaXY from O1</t>
  </si>
  <si>
    <t>alfaXYOffsetXY</t>
  </si>
  <si>
    <t>px from O2</t>
  </si>
  <si>
    <t>py from O2</t>
  </si>
  <si>
    <t>pz from O2</t>
  </si>
  <si>
    <t>O1</t>
  </si>
  <si>
    <t>O2</t>
  </si>
  <si>
    <t>alfaXY from O2</t>
  </si>
  <si>
    <t># same as from O1</t>
  </si>
  <si>
    <t>O3</t>
  </si>
  <si>
    <t>dest</t>
  </si>
  <si>
    <t>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</si>
</sst>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1"/>
      <color rgb="FFDFCCE4"/>
      <name val="Liberation Sans1"/>
    </font>
    <font>
      <b/>
      <sz val="11"/>
      <color rgb="FF512480"/>
      <name val="Liberation Sans1"/>
    </font>
    <font>
      <b/>
      <sz val="11"/>
      <color rgb="FF000000"/>
      <name val="Liberation Sans1"/>
    </font>
    <font>
      <b/>
      <sz val="11"/>
      <color rgb="FF000000"/>
      <name val="Liberation Sans"/>
    </font>
    <font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1C3687"/>
        <bgColor rgb="FF1C3687"/>
      </patternFill>
    </fill>
    <fill>
      <patternFill patternType="solid">
        <fgColor rgb="FFC2E0AE"/>
        <bgColor rgb="FFC2E0AE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164" fontId="0" fillId="0" borderId="0" xfId="0" applyNumberFormat="1"/>
    <xf numFmtId="164" fontId="14" fillId="9" borderId="0" xfId="0" applyNumberFormat="1" applyFont="1" applyFill="1"/>
    <xf numFmtId="164" fontId="15" fillId="10" borderId="0" xfId="0" applyNumberFormat="1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right" wrapText="1"/>
    </xf>
    <xf numFmtId="164" fontId="4" fillId="5" borderId="0" xfId="4" applyNumberFormat="1"/>
    <xf numFmtId="164" fontId="7" fillId="7" borderId="0" xfId="3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16" fillId="0" borderId="0" xfId="0" applyNumberFormat="1" applyFont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1"/>
          <c:h val="0.94535489250262117"/>
        </c:manualLayout>
      </c:layout>
      <c:scatterChart>
        <c:scatterStyle val="lineMarker"/>
        <c:varyColors val="0"/>
        <c:ser>
          <c:idx val="0"/>
          <c:order val="0"/>
          <c:spPr>
            <a:ln w="19083" cap="rnd">
              <a:solidFill>
                <a:srgbClr val="5B9BD5"/>
              </a:solidFill>
              <a:prstDash val="solid"/>
              <a:round/>
            </a:ln>
          </c:spPr>
          <c:marker>
            <c:symbol val="x"/>
            <c:size val="5"/>
          </c:marker>
          <c:xVal>
            <c:numRef>
              <c:f>OKodwrotnaXY!$B$29:$D$29</c:f>
              <c:numCache>
                <c:formatCode>#\ ##0.000</c:formatCode>
                <c:ptCount val="3"/>
                <c:pt idx="0">
                  <c:v>0</c:v>
                </c:pt>
                <c:pt idx="1">
                  <c:v>25.000000000000007</c:v>
                </c:pt>
                <c:pt idx="2">
                  <c:v>49.999999999999993</c:v>
                </c:pt>
              </c:numCache>
            </c:numRef>
          </c:xVal>
          <c:yVal>
            <c:numRef>
              <c:f>OKodwrotnaXY!$B$30:$D$30</c:f>
              <c:numCache>
                <c:formatCode>#\ ##0.000</c:formatCode>
                <c:ptCount val="3"/>
                <c:pt idx="0">
                  <c:v>0</c:v>
                </c:pt>
                <c:pt idx="1">
                  <c:v>-43.301270189221931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</c:marker>
          <c:xVal>
            <c:numRef>
              <c:f>OKodwrotnaXY!$B$32:$D$32</c:f>
              <c:numCache>
                <c:formatCode>#\ ##0.000</c:formatCode>
                <c:ptCount val="3"/>
                <c:pt idx="0">
                  <c:v>0</c:v>
                </c:pt>
                <c:pt idx="1">
                  <c:v>25.000000000000007</c:v>
                </c:pt>
                <c:pt idx="2">
                  <c:v>49.999999999999993</c:v>
                </c:pt>
              </c:numCache>
            </c:numRef>
          </c:xVal>
          <c:yVal>
            <c:numRef>
              <c:f>OKodwrotnaXY!$B$33:$D$33</c:f>
              <c:numCache>
                <c:formatCode>#\ ##0.000</c:formatCode>
                <c:ptCount val="3"/>
                <c:pt idx="0">
                  <c:v>0</c:v>
                </c:pt>
                <c:pt idx="1">
                  <c:v>43.301270189221931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27080"/>
        <c:axId val="382893256"/>
      </c:scatterChart>
      <c:valAx>
        <c:axId val="382893256"/>
        <c:scaling>
          <c:orientation val="minMax"/>
          <c:max val="100"/>
          <c:min val="-15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7227080"/>
        <c:crossesAt val="0"/>
        <c:crossBetween val="midCat"/>
        <c:majorUnit val="50"/>
        <c:minorUnit val="25"/>
      </c:valAx>
      <c:valAx>
        <c:axId val="447227080"/>
        <c:scaling>
          <c:orientation val="minMax"/>
          <c:max val="15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2893256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82717918339587"/>
          <c:y val="0.9274492134168861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0.99986838641747822"/>
          <c:h val="0.94485294117647067"/>
        </c:manualLayout>
      </c:layout>
      <c:scatterChart>
        <c:scatterStyle val="lineMarker"/>
        <c:varyColors val="0"/>
        <c:ser>
          <c:idx val="0"/>
          <c:order val="0"/>
          <c:spPr>
            <a:ln w="19083" cap="rnd">
              <a:solidFill>
                <a:srgbClr val="5B9BD5"/>
              </a:solidFill>
              <a:prstDash val="solid"/>
              <a:round/>
            </a:ln>
          </c:spPr>
          <c:marker>
            <c:symbol val="x"/>
            <c:size val="5"/>
          </c:marker>
          <c:xVal>
            <c:numRef>
              <c:f>OKodwrotnaXYZ!$B$57:$F$57</c:f>
              <c:numCache>
                <c:formatCode>#\ ##0.000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OKodwrotnaXYZ!$B$58:$F$58</c:f>
              <c:numCache>
                <c:formatCode>#\ ##0.000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</c:marker>
          <c:xVal>
            <c:numRef>
              <c:f>OKodwrotnaXYZ!$B$60:$F$60</c:f>
              <c:numCache>
                <c:formatCode>#\ ##0.000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OKodwrotnaXYZ!$B$61:$F$61</c:f>
              <c:numCache>
                <c:formatCode>#\ ##0.000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744"/>
        <c:axId val="479606424"/>
      </c:scatterChart>
      <c:valAx>
        <c:axId val="479606424"/>
        <c:scaling>
          <c:orientation val="minMax"/>
          <c:max val="100"/>
          <c:min val="-15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744"/>
        <c:crossesAt val="0"/>
        <c:crossBetween val="midCat"/>
        <c:majorUnit val="50"/>
        <c:minorUnit val="25"/>
      </c:valAx>
      <c:valAx>
        <c:axId val="479606744"/>
        <c:scaling>
          <c:orientation val="minMax"/>
          <c:max val="15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424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8056359860782"/>
          <c:y val="0.9282405175184829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pl-PL"/>
              <a:t>Plane </a:t>
            </a:r>
            <a:r>
              <a:rPr lang="en-US"/>
              <a:t>XY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"/>
          <c:y val="0"/>
          <c:w val="0.99986838641747822"/>
          <c:h val="0.94485294117647067"/>
        </c:manualLayout>
      </c:layout>
      <c:scatterChart>
        <c:scatterStyle val="lineMarker"/>
        <c:varyColors val="0"/>
        <c:ser>
          <c:idx val="1"/>
          <c:order val="0"/>
          <c:tx>
            <c:v>offset from Robot Origin</c:v>
          </c:tx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</c:marker>
          <c:xVal>
            <c:numRef>
              <c:f>OKodwrotnaXYZ!$B$24:$C$24</c:f>
              <c:numCache>
                <c:formatCode>#\ ##0.000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OKodwrotnaXYZ!$B$25:$C$25</c:f>
              <c:numCache>
                <c:formatCode>#\ ##0.000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7-4A06-8060-733C50B4EB2D}"/>
            </c:ext>
          </c:extLst>
        </c:ser>
        <c:ser>
          <c:idx val="0"/>
          <c:order val="1"/>
          <c:tx>
            <c:v>Seg1</c:v>
          </c:tx>
          <c:xVal>
            <c:numRef>
              <c:f>OKodwrotnaXYZ!$C$24:$D$24</c:f>
              <c:numCache>
                <c:formatCode>#\ ##0.000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xVal>
          <c:yVal>
            <c:numRef>
              <c:f>OKodwrotnaXYZ!$C$25:$D$25</c:f>
              <c:numCache>
                <c:formatCode>#\ ##0.000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7-4A06-8060-733C50B4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744"/>
        <c:axId val="479606424"/>
      </c:scatterChart>
      <c:valAx>
        <c:axId val="479606424"/>
        <c:scaling>
          <c:orientation val="minMax"/>
          <c:max val="150"/>
          <c:min val="-5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744"/>
        <c:crossesAt val="0"/>
        <c:crossBetween val="midCat"/>
        <c:majorUnit val="50"/>
        <c:minorUnit val="25"/>
      </c:valAx>
      <c:valAx>
        <c:axId val="479606744"/>
        <c:scaling>
          <c:orientation val="minMax"/>
          <c:max val="15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424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8056359860782"/>
          <c:y val="0.9282405175184829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Plane</a:t>
            </a:r>
            <a:r>
              <a:rPr lang="pl-PL" baseline="0"/>
              <a:t> XZ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xMode val="edge"/>
          <c:yMode val="edge"/>
          <c:x val="0"/>
          <c:y val="0"/>
          <c:w val="0.99986838641747822"/>
          <c:h val="0.94485294117647067"/>
        </c:manualLayout>
      </c:layout>
      <c:scatterChart>
        <c:scatterStyle val="lineMarker"/>
        <c:varyColors val="0"/>
        <c:ser>
          <c:idx val="0"/>
          <c:order val="0"/>
          <c:tx>
            <c:v>offset</c:v>
          </c:tx>
          <c:spPr>
            <a:ln w="19083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x"/>
            <c:size val="5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'OKodwrotnaXYZ (2)'!$B$43:$D$43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'OKodwrotnaXYZ (2)'!$B$44:$D$44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B-49D1-8DA3-D3019B48B403}"/>
            </c:ext>
          </c:extLst>
        </c:ser>
        <c:ser>
          <c:idx val="1"/>
          <c:order val="1"/>
          <c:tx>
            <c:v>S1</c:v>
          </c:tx>
          <c:spPr>
            <a:ln w="19083" cap="rnd">
              <a:solidFill>
                <a:schemeClr val="accent4"/>
              </a:solidFill>
              <a:prstDash val="solid"/>
              <a:round/>
            </a:ln>
          </c:spPr>
          <c:marker>
            <c:symbol val="square"/>
            <c:size val="5"/>
            <c:spPr>
              <a:ln>
                <a:solidFill>
                  <a:schemeClr val="accent4"/>
                </a:solidFill>
              </a:ln>
            </c:spPr>
          </c:marker>
          <c:xVal>
            <c:numRef>
              <c:f>'OKodwrotnaXYZ (2)'!$C$24:$D$24</c:f>
              <c:numCache>
                <c:formatCode>#\ ##0.000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'OKodwrotnaXYZ (2)'!$C$26:$D$26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B-49D1-8DA3-D3019B48B403}"/>
            </c:ext>
          </c:extLst>
        </c:ser>
        <c:ser>
          <c:idx val="3"/>
          <c:order val="2"/>
          <c:tx>
            <c:v>S2</c:v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'OKodwrotnaXYZ (2)'!$D$24:$E$24</c:f>
              <c:numCache>
                <c:formatCode>#\ ##0.000</c:formatCode>
                <c:ptCount val="2"/>
                <c:pt idx="0">
                  <c:v>32</c:v>
                </c:pt>
                <c:pt idx="1">
                  <c:v>95.133928571428569</c:v>
                </c:pt>
              </c:numCache>
            </c:numRef>
          </c:xVal>
          <c:yVal>
            <c:numRef>
              <c:f>'OKodwrotnaXYZ (2)'!$D$26:$E$26</c:f>
              <c:numCache>
                <c:formatCode>#\ ##0.000</c:formatCode>
                <c:ptCount val="2"/>
                <c:pt idx="0">
                  <c:v>0</c:v>
                </c:pt>
                <c:pt idx="1">
                  <c:v>15.463087115377544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B-49D1-8DA3-D3019B48B403}"/>
            </c:ext>
          </c:extLst>
        </c:ser>
        <c:ser>
          <c:idx val="2"/>
          <c:order val="3"/>
          <c:tx>
            <c:v>S3</c:v>
          </c:tx>
          <c:spPr>
            <a:ln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'OKodwrotnaXYZ (2)'!$E$24:$F$24</c:f>
              <c:numCache>
                <c:formatCode>#\ ##0.000</c:formatCode>
                <c:ptCount val="2"/>
                <c:pt idx="0">
                  <c:v>95.133928571428569</c:v>
                </c:pt>
                <c:pt idx="1">
                  <c:v>200</c:v>
                </c:pt>
              </c:numCache>
            </c:numRef>
          </c:xVal>
          <c:yVal>
            <c:numRef>
              <c:f>'OKodwrotnaXYZ (2)'!$E$26:$F$26</c:f>
              <c:numCache>
                <c:formatCode>#\ ##0.000</c:formatCode>
                <c:ptCount val="2"/>
                <c:pt idx="0">
                  <c:v>15.463087115377544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B-49D1-8DA3-D3019B48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744"/>
        <c:axId val="479606424"/>
      </c:scatterChart>
      <c:valAx>
        <c:axId val="479606424"/>
        <c:scaling>
          <c:orientation val="minMax"/>
          <c:max val="100"/>
          <c:min val="-20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744"/>
        <c:crossesAt val="0"/>
        <c:crossBetween val="midCat"/>
        <c:majorUnit val="50"/>
        <c:minorUnit val="25"/>
      </c:valAx>
      <c:valAx>
        <c:axId val="479606744"/>
        <c:scaling>
          <c:orientation val="minMax"/>
          <c:max val="20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424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8056359860782"/>
          <c:y val="0.9282405175184829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Plane </a:t>
            </a:r>
            <a:r>
              <a:rPr lang="en-US"/>
              <a:t>XY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"/>
          <c:y val="0"/>
          <c:w val="0.99986838641747822"/>
          <c:h val="0.94485294117647067"/>
        </c:manualLayout>
      </c:layout>
      <c:scatterChart>
        <c:scatterStyle val="lineMarker"/>
        <c:varyColors val="0"/>
        <c:ser>
          <c:idx val="1"/>
          <c:order val="0"/>
          <c:tx>
            <c:v>offset from Robot Origin</c:v>
          </c:tx>
          <c:spPr>
            <a:ln w="19083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square"/>
            <c:size val="5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'OKodwrotnaXYZ (2)'!$B$24:$C$24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'OKodwrotnaXYZ (2)'!$B$25:$C$25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FD0-8FBB-1D29AF6CB16D}"/>
            </c:ext>
          </c:extLst>
        </c:ser>
        <c:ser>
          <c:idx val="0"/>
          <c:order val="1"/>
          <c:tx>
            <c:v>Seg1</c:v>
          </c:tx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9.9760869992129714E-2"/>
                  <c:y val="3.94489979333280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5F-4FD0-8FBB-1D29AF6CB16D}"/>
                </c:ext>
              </c:extLst>
            </c:dLbl>
            <c:dLbl>
              <c:idx val="1"/>
              <c:layout>
                <c:manualLayout>
                  <c:x val="-0.14964130498819464"/>
                  <c:y val="-5.25986639111041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5F-4FD0-8FBB-1D29AF6CB16D}"/>
                </c:ext>
              </c:extLst>
            </c:dLbl>
            <c:numFmt formatCode="# 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'OKodwrotnaXYZ (2)'!$C$24:$D$24</c:f>
              <c:numCache>
                <c:formatCode>#\ ##0.000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'OKodwrotnaXYZ (2)'!$C$25:$D$25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F-4FD0-8FBB-1D29AF6CB16D}"/>
            </c:ext>
          </c:extLst>
        </c:ser>
        <c:ser>
          <c:idx val="2"/>
          <c:order val="2"/>
          <c:tx>
            <c:v>seg2</c:v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'OKodwrotnaXYZ (2)'!$D$24:$E$24</c:f>
              <c:numCache>
                <c:formatCode>#\ ##0.000</c:formatCode>
                <c:ptCount val="2"/>
                <c:pt idx="0">
                  <c:v>32</c:v>
                </c:pt>
                <c:pt idx="1">
                  <c:v>95.133928571428569</c:v>
                </c:pt>
              </c:numCache>
            </c:numRef>
          </c:xVal>
          <c:yVal>
            <c:numRef>
              <c:f>'OKodwrotnaXYZ (2)'!$D$25:$E$25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F-4FD0-8FBB-1D29AF6CB16D}"/>
            </c:ext>
          </c:extLst>
        </c:ser>
        <c:ser>
          <c:idx val="3"/>
          <c:order val="3"/>
          <c:tx>
            <c:v>Seg3</c:v>
          </c:tx>
          <c:spPr>
            <a:ln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'OKodwrotnaXYZ (2)'!$E$24:$F$24</c:f>
              <c:numCache>
                <c:formatCode>#\ ##0.000</c:formatCode>
                <c:ptCount val="2"/>
                <c:pt idx="0">
                  <c:v>95.133928571428569</c:v>
                </c:pt>
                <c:pt idx="1">
                  <c:v>200</c:v>
                </c:pt>
              </c:numCache>
            </c:numRef>
          </c:xVal>
          <c:yVal>
            <c:numRef>
              <c:f>'OKodwrotnaXYZ (2)'!$E$25:$F$25</c:f>
              <c:numCache>
                <c:formatCode>#\ ##0.000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5F-4FD0-8FBB-1D29AF6C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744"/>
        <c:axId val="479606424"/>
      </c:scatterChart>
      <c:valAx>
        <c:axId val="479606424"/>
        <c:scaling>
          <c:orientation val="minMax"/>
          <c:max val="200"/>
          <c:min val="-5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744"/>
        <c:crossesAt val="0"/>
        <c:crossBetween val="midCat"/>
        <c:majorUnit val="50"/>
        <c:minorUnit val="25"/>
      </c:valAx>
      <c:valAx>
        <c:axId val="479606744"/>
        <c:scaling>
          <c:orientation val="minMax"/>
          <c:max val="20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06424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6066560621647387E-2"/>
          <c:y val="5.3219907973046279E-2"/>
          <c:w val="0.34427017743390687"/>
          <c:h val="0.450899921028415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1"/>
          <c:h val="0.94568548801810148"/>
        </c:manualLayout>
      </c:layout>
      <c:scatterChart>
        <c:scatterStyle val="lineMarker"/>
        <c:varyColors val="0"/>
        <c:ser>
          <c:idx val="0"/>
          <c:order val="0"/>
          <c:spPr>
            <a:ln w="19083" cap="rnd">
              <a:solidFill>
                <a:srgbClr val="5B9BD5"/>
              </a:solidFill>
              <a:prstDash val="solid"/>
              <a:round/>
            </a:ln>
          </c:spPr>
          <c:marker>
            <c:symbol val="x"/>
            <c:size val="5"/>
          </c:marker>
          <c:xVal>
            <c:numRef>
              <c:f>odwrotna_2!$B$28:$D$28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odwrotna_2!$B$29:$D$29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</c:marker>
          <c:xVal>
            <c:numRef>
              <c:f>odwrotna_2!$B$31:$D$31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odwrotna_2!$B$32:$D$32</c:f>
              <c:numCache>
                <c:formatCode>#\ ##0.000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4072"/>
        <c:axId val="479568496"/>
      </c:scatterChart>
      <c:valAx>
        <c:axId val="479568496"/>
        <c:scaling>
          <c:orientation val="minMax"/>
          <c:max val="100"/>
          <c:min val="-15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574072"/>
        <c:crossesAt val="0"/>
        <c:crossBetween val="midCat"/>
        <c:majorUnit val="50"/>
        <c:minorUnit val="25"/>
      </c:valAx>
      <c:valAx>
        <c:axId val="479574072"/>
        <c:scaling>
          <c:orientation val="minMax"/>
          <c:max val="150"/>
          <c:min val="-50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#\ ##0.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568496"/>
        <c:crossesAt val="0"/>
        <c:crossBetween val="midCat"/>
        <c:majorUnit val="50"/>
        <c:minorUnit val="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84857061365979"/>
          <c:y val="0.9265266207274847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76278" y="3900236"/>
    <xdr:ext cx="2446559" cy="563764"/>
    <xdr:pic>
      <xdr:nvPicPr>
        <xdr:cNvPr id="2" name="Image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176278" y="3900236"/>
          <a:ext cx="2446559" cy="563764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7</xdr:col>
      <xdr:colOff>129963</xdr:colOff>
      <xdr:row>2</xdr:row>
      <xdr:rowOff>50035</xdr:rowOff>
    </xdr:from>
    <xdr:ext cx="5469483" cy="5907956"/>
    <xdr:graphicFrame macro="">
      <xdr:nvGraphicFramePr>
        <xdr:cNvPr id="6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1425684" y="2355841"/>
    <xdr:ext cx="5174278" cy="3368155"/>
    <xdr:pic>
      <xdr:nvPicPr>
        <xdr:cNvPr id="3" name="Imag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1425684" y="2355841"/>
          <a:ext cx="5174278" cy="3368155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1775597" y="-6839"/>
    <xdr:ext cx="5571000" cy="3234964"/>
    <xdr:pic>
      <xdr:nvPicPr>
        <xdr:cNvPr id="4" name="Imag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11775597" y="-6839"/>
          <a:ext cx="5571000" cy="3234964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1807638" y="3177357"/>
    <xdr:ext cx="5336639" cy="2979362"/>
    <xdr:pic>
      <xdr:nvPicPr>
        <xdr:cNvPr id="5" name="Image 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1807638" y="3177357"/>
          <a:ext cx="5336639" cy="2979362"/>
        </a:xfrm>
        <a:prstGeom prst="rect">
          <a:avLst/>
        </a:prstGeom>
        <a:noFill/>
        <a:ln cap="flat"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157353" y="5395661"/>
    <xdr:ext cx="2446559" cy="563764"/>
    <xdr:pic>
      <xdr:nvPicPr>
        <xdr:cNvPr id="2" name="Image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157353" y="5395661"/>
          <a:ext cx="2446559" cy="563764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3978384" y="4146541"/>
    <xdr:ext cx="5174278" cy="3368155"/>
    <xdr:pic>
      <xdr:nvPicPr>
        <xdr:cNvPr id="3" name="Imag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3978384" y="4146541"/>
          <a:ext cx="5174278" cy="3368155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3994922" y="355111"/>
    <xdr:ext cx="5571000" cy="3234964"/>
    <xdr:pic>
      <xdr:nvPicPr>
        <xdr:cNvPr id="4" name="Imag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3994922" y="355111"/>
          <a:ext cx="5571000" cy="3234964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8340147" y="5486927"/>
    <xdr:ext cx="5336639" cy="2979362"/>
    <xdr:pic>
      <xdr:nvPicPr>
        <xdr:cNvPr id="5" name="Image 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8340147" y="5486927"/>
          <a:ext cx="5336639" cy="2979362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10</xdr:col>
      <xdr:colOff>185760</xdr:colOff>
      <xdr:row>0</xdr:row>
      <xdr:rowOff>96121</xdr:rowOff>
    </xdr:from>
    <xdr:ext cx="5470562" cy="5973116"/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absoluteAnchor>
    <xdr:pos x="6740636" y="164162"/>
    <xdr:ext cx="1139397" cy="532080"/>
    <xdr:pic>
      <xdr:nvPicPr>
        <xdr:cNvPr id="6" name="Image 5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6740636" y="164162"/>
          <a:ext cx="1139397" cy="532080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5</xdr:col>
      <xdr:colOff>404835</xdr:colOff>
      <xdr:row>6</xdr:row>
      <xdr:rowOff>0</xdr:rowOff>
    </xdr:from>
    <xdr:ext cx="3309915" cy="2897412"/>
    <xdr:graphicFrame macro="">
      <xdr:nvGraphicFramePr>
        <xdr:cNvPr id="8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157353" y="5395661"/>
    <xdr:ext cx="2446559" cy="563764"/>
    <xdr:pic>
      <xdr:nvPicPr>
        <xdr:cNvPr id="2" name="Image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157353" y="5395661"/>
          <a:ext cx="2446559" cy="563764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3778359" y="241291"/>
    <xdr:ext cx="5174278" cy="3368155"/>
    <xdr:pic>
      <xdr:nvPicPr>
        <xdr:cNvPr id="3" name="Imag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3778359" y="241291"/>
          <a:ext cx="5174278" cy="3368155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7727472" y="5422411"/>
    <xdr:ext cx="5571000" cy="3234964"/>
    <xdr:pic>
      <xdr:nvPicPr>
        <xdr:cNvPr id="4" name="Imag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7727472" y="5422411"/>
          <a:ext cx="5571000" cy="3234964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6682797" y="5467877"/>
    <xdr:ext cx="5336639" cy="2979362"/>
    <xdr:pic>
      <xdr:nvPicPr>
        <xdr:cNvPr id="5" name="Image 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6682797" y="5467877"/>
          <a:ext cx="5336639" cy="2979362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10</xdr:col>
      <xdr:colOff>291352</xdr:colOff>
      <xdr:row>0</xdr:row>
      <xdr:rowOff>96121</xdr:rowOff>
    </xdr:from>
    <xdr:ext cx="4560795" cy="5002555"/>
    <xdr:graphicFrame macro="">
      <xdr:nvGraphicFramePr>
        <xdr:cNvPr id="6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absoluteAnchor>
    <xdr:pos x="6740636" y="164162"/>
    <xdr:ext cx="1139397" cy="532080"/>
    <xdr:pic>
      <xdr:nvPicPr>
        <xdr:cNvPr id="7" name="Image 5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6740636" y="164162"/>
          <a:ext cx="1139397" cy="532080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5</xdr:col>
      <xdr:colOff>191923</xdr:colOff>
      <xdr:row>2</xdr:row>
      <xdr:rowOff>112058</xdr:rowOff>
    </xdr:from>
    <xdr:ext cx="3483607" cy="3126441"/>
    <xdr:graphicFrame macro="">
      <xdr:nvGraphicFramePr>
        <xdr:cNvPr id="8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1558875" y="3673803"/>
    <xdr:ext cx="5174278" cy="3368155"/>
    <xdr:pic>
      <xdr:nvPicPr>
        <xdr:cNvPr id="2" name="Imag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1558875" y="3673803"/>
          <a:ext cx="5174278" cy="3368155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11576880" y="171724"/>
    <xdr:ext cx="5336639" cy="2979362"/>
    <xdr:pic>
      <xdr:nvPicPr>
        <xdr:cNvPr id="3" name="Image 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1576880" y="171724"/>
          <a:ext cx="5336639" cy="2979362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4337639" y="642960"/>
    <xdr:ext cx="2446559" cy="563764"/>
    <xdr:pic>
      <xdr:nvPicPr>
        <xdr:cNvPr id="4" name="Image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4337639" y="642960"/>
          <a:ext cx="2446559" cy="563764"/>
        </a:xfrm>
        <a:prstGeom prst="rect">
          <a:avLst/>
        </a:prstGeom>
        <a:noFill/>
        <a:ln cap="flat">
          <a:noFill/>
        </a:ln>
      </xdr:spPr>
    </xdr:pic>
    <xdr:clientData/>
  </xdr:absoluteAnchor>
  <xdr:oneCellAnchor>
    <xdr:from>
      <xdr:col>7</xdr:col>
      <xdr:colOff>129963</xdr:colOff>
      <xdr:row>2</xdr:row>
      <xdr:rowOff>50401</xdr:rowOff>
    </xdr:from>
    <xdr:ext cx="5469483" cy="5833798"/>
    <xdr:graphicFrame macro="">
      <xdr:nvGraphicFramePr>
        <xdr:cNvPr id="6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absoluteAnchor>
    <xdr:pos x="12441957" y="2504157"/>
    <xdr:ext cx="5571000" cy="3234964"/>
    <xdr:pic>
      <xdr:nvPicPr>
        <xdr:cNvPr id="5" name="Imag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2441957" y="2504157"/>
          <a:ext cx="5571000" cy="3234964"/>
        </a:xfrm>
        <a:prstGeom prst="rect">
          <a:avLst/>
        </a:prstGeom>
        <a:noFill/>
        <a:ln cap="flat"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workbookViewId="0">
      <selection activeCell="D33" sqref="D33"/>
    </sheetView>
  </sheetViews>
  <sheetFormatPr defaultRowHeight="12.75"/>
  <cols>
    <col min="1" max="1" width="13.75" style="1" customWidth="1"/>
    <col min="2" max="1023" width="10.625" style="1" customWidth="1"/>
    <col min="1024" max="1024" width="9" style="1" customWidth="1"/>
    <col min="1025" max="1025" width="9" customWidth="1"/>
  </cols>
  <sheetData>
    <row r="1" spans="1:3" ht="14.25"/>
    <row r="2" spans="1:3" ht="14.25"/>
    <row r="3" spans="1:3" ht="15">
      <c r="B3" s="2"/>
    </row>
    <row r="4" spans="1:3" ht="15">
      <c r="B4" s="2"/>
    </row>
    <row r="5" spans="1:3" ht="15">
      <c r="A5" s="1" t="s">
        <v>0</v>
      </c>
      <c r="B5" s="2">
        <v>50</v>
      </c>
      <c r="C5">
        <f>B5^2</f>
        <v>2500</v>
      </c>
    </row>
    <row r="6" spans="1:3" ht="15">
      <c r="A6" s="1" t="s">
        <v>1</v>
      </c>
      <c r="B6" s="2">
        <v>50</v>
      </c>
      <c r="C6">
        <f>B6^2</f>
        <v>2500</v>
      </c>
    </row>
    <row r="7" spans="1:3" ht="14.25"/>
    <row r="8" spans="1:3" ht="15">
      <c r="A8" s="1" t="s">
        <v>2</v>
      </c>
      <c r="B8" s="2">
        <v>50</v>
      </c>
      <c r="C8">
        <f>B8^2</f>
        <v>2500</v>
      </c>
    </row>
    <row r="9" spans="1:3" ht="15">
      <c r="A9" s="1" t="s">
        <v>3</v>
      </c>
      <c r="B9" s="2">
        <v>0</v>
      </c>
      <c r="C9">
        <f>B9^2</f>
        <v>0</v>
      </c>
    </row>
    <row r="10" spans="1:3" ht="15">
      <c r="B10" s="2"/>
    </row>
    <row r="11" spans="1:3" ht="14.25"/>
    <row r="12" spans="1:3" ht="15">
      <c r="A12" s="3"/>
      <c r="C12" s="3"/>
    </row>
    <row r="13" spans="1:3" ht="14.25">
      <c r="A13" s="1" t="s">
        <v>4</v>
      </c>
      <c r="B13" s="1">
        <f>(C8+C9-C5-C6)/(2*B5*B6)</f>
        <v>-0.5</v>
      </c>
    </row>
    <row r="14" spans="1:3" ht="14.25">
      <c r="A14" s="1" t="s">
        <v>5</v>
      </c>
      <c r="B14" s="1">
        <f>SQRT(1-B13^2)</f>
        <v>0.8660254037844386</v>
      </c>
    </row>
    <row r="15" spans="1:3" ht="15">
      <c r="A15" s="3" t="s">
        <v>6</v>
      </c>
      <c r="B15" s="1">
        <f>ATAN2(B8,B9)-ATAN2(B5+B6*B13,B6*B14)</f>
        <v>-1.0471975511965976</v>
      </c>
      <c r="C15" s="3">
        <f>DEGREES(B15)</f>
        <v>-59.999999999999993</v>
      </c>
    </row>
    <row r="16" spans="1:3" ht="15">
      <c r="A16" s="3" t="s">
        <v>7</v>
      </c>
      <c r="B16" s="1">
        <f>ATAN2(B13,B14)</f>
        <v>2.0943951023931957</v>
      </c>
      <c r="C16" s="3">
        <f>DEGREES(B16)</f>
        <v>120.00000000000001</v>
      </c>
    </row>
    <row r="17" spans="1:4" ht="14.25"/>
    <row r="18" spans="1:4" ht="14.25">
      <c r="A18" s="1" t="s">
        <v>4</v>
      </c>
      <c r="B18" s="1">
        <f>B13</f>
        <v>-0.5</v>
      </c>
    </row>
    <row r="19" spans="1:4" ht="14.25">
      <c r="A19" s="1" t="s">
        <v>5</v>
      </c>
      <c r="B19" s="1">
        <f>-B14</f>
        <v>-0.8660254037844386</v>
      </c>
      <c r="C19"/>
    </row>
    <row r="20" spans="1:4" ht="15">
      <c r="A20" s="3" t="s">
        <v>8</v>
      </c>
      <c r="B20" s="1">
        <f>ATAN2(B8,B9)-ATAN2(B5+B6*B18,B6*B19)</f>
        <v>1.0471975511965976</v>
      </c>
      <c r="C20" s="3">
        <f>DEGREES(B20)</f>
        <v>59.999999999999993</v>
      </c>
      <c r="D20" s="1" t="s">
        <v>9</v>
      </c>
    </row>
    <row r="21" spans="1:4" ht="15">
      <c r="A21" s="3" t="s">
        <v>7</v>
      </c>
      <c r="B21" s="1">
        <f>ATAN2(B18,B19)</f>
        <v>-2.0943951023931957</v>
      </c>
      <c r="C21" s="3">
        <f>DEGREES(B21)</f>
        <v>-120.00000000000001</v>
      </c>
    </row>
    <row r="22" spans="1:4" ht="14.25">
      <c r="A22"/>
      <c r="B22"/>
    </row>
    <row r="23" spans="1:4" ht="14.25">
      <c r="A23"/>
      <c r="B23"/>
    </row>
    <row r="24" spans="1:4" ht="14.25">
      <c r="A24"/>
      <c r="B24"/>
      <c r="C24"/>
    </row>
    <row r="25" spans="1:4" ht="14.25">
      <c r="A25"/>
      <c r="B25"/>
      <c r="C25"/>
      <c r="D25" s="1" t="s">
        <v>9</v>
      </c>
    </row>
    <row r="26" spans="1:4" ht="14.25"/>
    <row r="27" spans="1:4" ht="14.25"/>
    <row r="28" spans="1:4" ht="14.25"/>
    <row r="29" spans="1:4" ht="14.25">
      <c r="A29" s="1" t="s">
        <v>10</v>
      </c>
      <c r="B29" s="1">
        <v>0</v>
      </c>
      <c r="C29" s="1">
        <f>B5*COS(B15)</f>
        <v>25.000000000000007</v>
      </c>
      <c r="D29" s="1">
        <f>C29+B6*COS(B15+B16)</f>
        <v>49.999999999999993</v>
      </c>
    </row>
    <row r="30" spans="1:4" ht="14.25">
      <c r="A30" s="1" t="s">
        <v>11</v>
      </c>
      <c r="B30" s="1">
        <v>0</v>
      </c>
      <c r="C30" s="1">
        <f>B5*SIN(B15)</f>
        <v>-43.301270189221931</v>
      </c>
      <c r="D30" s="1">
        <f>C30+B6*SIN(B15+B16)</f>
        <v>0</v>
      </c>
    </row>
    <row r="31" spans="1:4" ht="14.25"/>
    <row r="32" spans="1:4" ht="14.25">
      <c r="A32" s="1" t="s">
        <v>10</v>
      </c>
      <c r="B32" s="1">
        <v>0</v>
      </c>
      <c r="C32" s="1">
        <f>B5*COS(B20)</f>
        <v>25.000000000000007</v>
      </c>
      <c r="D32" s="1">
        <f>C32+B6*COS(B20+B21)</f>
        <v>49.999999999999993</v>
      </c>
    </row>
    <row r="33" spans="1:4" ht="14.25">
      <c r="A33" s="1" t="s">
        <v>11</v>
      </c>
      <c r="B33" s="1">
        <v>0</v>
      </c>
      <c r="C33" s="1">
        <f>B5*SIN(B20)</f>
        <v>43.301270189221931</v>
      </c>
      <c r="D33" s="1">
        <f>C33+B6*SIN(B20+B21)</f>
        <v>0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9"/>
  <sheetViews>
    <sheetView workbookViewId="0">
      <selection activeCell="B2" sqref="B2"/>
    </sheetView>
  </sheetViews>
  <sheetFormatPr defaultRowHeight="12.75"/>
  <cols>
    <col min="1" max="1" width="13.75" style="1" customWidth="1"/>
    <col min="2" max="1023" width="10.625" style="1" customWidth="1"/>
    <col min="1024" max="1024" width="9" style="1" customWidth="1"/>
    <col min="1025" max="1025" width="9" customWidth="1"/>
  </cols>
  <sheetData>
    <row r="1" spans="1:7" ht="14.25"/>
    <row r="2" spans="1:7" ht="15">
      <c r="A2" s="1" t="s">
        <v>2</v>
      </c>
      <c r="B2" s="2">
        <v>100</v>
      </c>
      <c r="C2" s="1">
        <f>B2^2</f>
        <v>10000</v>
      </c>
      <c r="E2" s="1" t="e">
        <f>_a2*COS(_th2)+_a3*COS(_th2+_th3)</f>
        <v>#NAME?</v>
      </c>
      <c r="G2" s="1" t="s">
        <v>2</v>
      </c>
    </row>
    <row r="3" spans="1:7" ht="15">
      <c r="A3" s="1" t="s">
        <v>3</v>
      </c>
      <c r="B3" s="2">
        <v>50</v>
      </c>
      <c r="C3" s="1">
        <f>B3^2</f>
        <v>2500</v>
      </c>
      <c r="G3" s="1" t="s">
        <v>3</v>
      </c>
    </row>
    <row r="4" spans="1:7" ht="15">
      <c r="A4" s="1" t="s">
        <v>12</v>
      </c>
      <c r="B4" s="2">
        <v>0</v>
      </c>
      <c r="C4" s="1">
        <f>B4^2</f>
        <v>0</v>
      </c>
      <c r="G4" s="1" t="s">
        <v>2</v>
      </c>
    </row>
    <row r="5" spans="1:7" ht="15">
      <c r="A5" s="1" t="s">
        <v>57</v>
      </c>
      <c r="B5" s="1" t="e">
        <f>ATAN2(_x,_y)</f>
        <v>#NAME?</v>
      </c>
      <c r="C5" s="3" t="e">
        <f>DEGREES(B5)</f>
        <v>#NAME?</v>
      </c>
      <c r="D5" s="1" t="s">
        <v>24</v>
      </c>
    </row>
    <row r="6" spans="1:7" ht="14.25"/>
    <row r="7" spans="1:7" ht="15">
      <c r="A7" s="1" t="s">
        <v>49</v>
      </c>
      <c r="B7" s="2">
        <v>30</v>
      </c>
    </row>
    <row r="8" spans="1:7" ht="15">
      <c r="A8" s="1" t="s">
        <v>50</v>
      </c>
      <c r="B8" s="2">
        <v>30</v>
      </c>
    </row>
    <row r="9" spans="1:7" ht="15">
      <c r="A9" s="1" t="s">
        <v>54</v>
      </c>
      <c r="B9" s="2">
        <v>-30</v>
      </c>
    </row>
    <row r="10" spans="1:7" ht="15">
      <c r="A10" s="1" t="s">
        <v>59</v>
      </c>
      <c r="B10" s="2">
        <f>ATAN2(B7,B8)</f>
        <v>0.78539816339744828</v>
      </c>
      <c r="C10" s="3">
        <f>DEGREES(B10)</f>
        <v>45</v>
      </c>
      <c r="D10" s="1" t="s">
        <v>24</v>
      </c>
    </row>
    <row r="11" spans="1:7" ht="14.25"/>
    <row r="12" spans="1:7" ht="15">
      <c r="A12" s="1" t="s">
        <v>46</v>
      </c>
      <c r="B12" s="2">
        <v>32</v>
      </c>
      <c r="D12" s="2">
        <v>32</v>
      </c>
    </row>
    <row r="13" spans="1:7" ht="15">
      <c r="A13" s="1" t="s">
        <v>0</v>
      </c>
      <c r="B13" s="2">
        <v>65</v>
      </c>
      <c r="C13" s="1">
        <f>B13^2</f>
        <v>4225</v>
      </c>
      <c r="D13" s="2">
        <v>65</v>
      </c>
      <c r="E13" s="1">
        <f>DEGREES(ATAN2(150,20))</f>
        <v>7.594643368591445</v>
      </c>
    </row>
    <row r="14" spans="1:7" ht="15">
      <c r="A14" s="1" t="s">
        <v>1</v>
      </c>
      <c r="B14" s="2">
        <v>106</v>
      </c>
      <c r="C14" s="1">
        <f>B14^2</f>
        <v>11236</v>
      </c>
      <c r="D14" s="2">
        <v>106</v>
      </c>
    </row>
    <row r="15" spans="1:7" ht="14.25"/>
    <row r="16" spans="1:7" ht="14.25"/>
    <row r="17" spans="1:1024" ht="15">
      <c r="A17" s="1" t="s">
        <v>51</v>
      </c>
      <c r="B17" s="2" t="e">
        <f>_x-B7</f>
        <v>#NAME?</v>
      </c>
    </row>
    <row r="18" spans="1:1024" ht="15">
      <c r="A18" s="1" t="s">
        <v>52</v>
      </c>
      <c r="B18" s="2" t="e">
        <f>_y-B8</f>
        <v>#NAME?</v>
      </c>
    </row>
    <row r="19" spans="1:1024" ht="15">
      <c r="A19" s="1" t="s">
        <v>53</v>
      </c>
      <c r="B19" s="2" t="e">
        <f>_z-B9</f>
        <v>#NAME?</v>
      </c>
    </row>
    <row r="20" spans="1:1024" ht="15">
      <c r="A20" s="1" t="s">
        <v>60</v>
      </c>
      <c r="B20" s="2" t="e">
        <f>ATAN2(B17,B18)</f>
        <v>#NAME?</v>
      </c>
      <c r="C20" s="3" t="e">
        <f>DEGREES(B20)</f>
        <v>#NAME?</v>
      </c>
      <c r="D20" s="7" t="s">
        <v>9</v>
      </c>
    </row>
    <row r="21" spans="1:1024" ht="14.25"/>
    <row r="22" spans="1:1024" ht="15">
      <c r="A22" s="3" t="s">
        <v>55</v>
      </c>
      <c r="B22" s="1" t="e">
        <f>B20</f>
        <v>#NAME?</v>
      </c>
      <c r="C22" s="3" t="e">
        <f>DEGREES(B22)</f>
        <v>#NAME?</v>
      </c>
      <c r="D22" s="7" t="s">
        <v>9</v>
      </c>
    </row>
    <row r="23" spans="1:1024" s="9" customFormat="1" ht="15.75" thickBot="1">
      <c r="A23" s="8"/>
      <c r="B23" s="8"/>
      <c r="C23" s="19" t="s">
        <v>14</v>
      </c>
      <c r="D23" s="19" t="s">
        <v>58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</row>
    <row r="24" spans="1:1024" ht="14.25">
      <c r="A24" s="10" t="s">
        <v>10</v>
      </c>
      <c r="B24" s="11">
        <v>0</v>
      </c>
      <c r="C24" s="11">
        <f>B8</f>
        <v>30</v>
      </c>
      <c r="D24" s="12" t="e">
        <f>C24+COS(B22)*_d1</f>
        <v>#NAME?</v>
      </c>
    </row>
    <row r="25" spans="1:1024" ht="14.25">
      <c r="A25" s="13" t="s">
        <v>56</v>
      </c>
      <c r="B25" s="14">
        <v>0</v>
      </c>
      <c r="C25" s="14">
        <f>B8</f>
        <v>30</v>
      </c>
      <c r="D25" s="15" t="e">
        <f>C25+SIN(B22)*_d1</f>
        <v>#NAME?</v>
      </c>
    </row>
    <row r="26" spans="1:1024" ht="15" thickBot="1">
      <c r="A26" s="16" t="s">
        <v>11</v>
      </c>
      <c r="B26" s="17">
        <v>0</v>
      </c>
      <c r="C26" s="17">
        <f>B9</f>
        <v>-30</v>
      </c>
      <c r="D26" s="18">
        <f>C26</f>
        <v>-30</v>
      </c>
    </row>
    <row r="27" spans="1:1024" ht="14.25">
      <c r="C27" s="1">
        <f>SQRT(POWER(C24,2)+POWER(C25,2))</f>
        <v>42.426406871192853</v>
      </c>
      <c r="D27" s="1" t="e">
        <f>SQRT(POWER(D24-C24,2)+POWER(D25-C25,2))</f>
        <v>#NAME?</v>
      </c>
    </row>
    <row r="28" spans="1:1024" ht="14.25"/>
    <row r="29" spans="1:1024" ht="15">
      <c r="A29" s="1" t="s">
        <v>61</v>
      </c>
      <c r="B29" s="2" t="e">
        <f>_x-D24</f>
        <v>#NAME?</v>
      </c>
    </row>
    <row r="30" spans="1:1024" ht="15">
      <c r="A30" s="1" t="s">
        <v>62</v>
      </c>
      <c r="B30" s="2" t="e">
        <f>_y-D25</f>
        <v>#NAME?</v>
      </c>
    </row>
    <row r="31" spans="1:1024" ht="15">
      <c r="A31" s="1" t="s">
        <v>63</v>
      </c>
      <c r="B31" s="2" t="e">
        <f>_z-D26</f>
        <v>#NAME?</v>
      </c>
    </row>
    <row r="32" spans="1:1024" ht="15">
      <c r="A32" s="1" t="s">
        <v>64</v>
      </c>
      <c r="B32" s="2" t="e">
        <f>ATAN2(B29,B30)</f>
        <v>#NAME?</v>
      </c>
      <c r="C32" s="3" t="e">
        <f>DEGREES(B32)</f>
        <v>#NAME?</v>
      </c>
      <c r="D32" s="7" t="s">
        <v>9</v>
      </c>
    </row>
    <row r="33" spans="1:8" ht="15">
      <c r="A33" s="1" t="s">
        <v>48</v>
      </c>
      <c r="B33" s="2" t="e">
        <f>SQRT(_x^2+_y^2)</f>
        <v>#NAME?</v>
      </c>
      <c r="C33" s="1" t="e">
        <f>B33^2</f>
        <v>#NAME?</v>
      </c>
    </row>
    <row r="34" spans="1:8" ht="14.25"/>
    <row r="35" spans="1:8" ht="14.25"/>
    <row r="36" spans="1:8" ht="14.25"/>
    <row r="37" spans="1:8" ht="14.25">
      <c r="A37" s="1" t="s">
        <v>13</v>
      </c>
    </row>
    <row r="38" spans="1:8" ht="14.25">
      <c r="A38" s="1" t="s">
        <v>14</v>
      </c>
    </row>
    <row r="39" spans="1:8" ht="14.25">
      <c r="A39" s="1" t="s">
        <v>15</v>
      </c>
      <c r="B39" s="1">
        <f>(C2+C3+(B4-B12)^2-C13-C14)/(2*B13*B14)</f>
        <v>-0.14056603773584905</v>
      </c>
      <c r="D39" s="1" t="s">
        <v>16</v>
      </c>
    </row>
    <row r="40" spans="1:8" ht="14.25">
      <c r="A40" s="1" t="s">
        <v>17</v>
      </c>
      <c r="B40" s="1">
        <f>SQRT(1-B39^2)</f>
        <v>0.99007130502567531</v>
      </c>
      <c r="G40" s="1">
        <f>C2 + C3 + C4-C13-C14</f>
        <v>-2961</v>
      </c>
    </row>
    <row r="41" spans="1:8" ht="15">
      <c r="A41" s="3" t="s">
        <v>45</v>
      </c>
      <c r="B41" s="1">
        <f>ATAN2(B2,B4)</f>
        <v>0</v>
      </c>
      <c r="C41" s="3">
        <f>DEGREES(B41)</f>
        <v>0</v>
      </c>
      <c r="D41" s="6"/>
      <c r="E41" s="1">
        <f>B41*(180/PI())</f>
        <v>0</v>
      </c>
      <c r="G41" s="1" t="e">
        <f>POWER(_x, 2) + POWER(_y, 2) + POWER(_z,2)-C13-C14</f>
        <v>#NAME?</v>
      </c>
      <c r="H41" s="1">
        <f>(2*B13*B14)</f>
        <v>13780</v>
      </c>
    </row>
    <row r="42" spans="1:8" ht="15">
      <c r="A42" s="3" t="s">
        <v>6</v>
      </c>
      <c r="B42" s="1" t="e">
        <f>ATAN2(B33,B4)-ATAN2(B13+B14*B39,B14*B40)</f>
        <v>#NAME?</v>
      </c>
      <c r="C42" s="3" t="e">
        <f>DEGREES(B42)</f>
        <v>#NAME?</v>
      </c>
      <c r="D42" s="6"/>
    </row>
    <row r="43" spans="1:8" ht="15">
      <c r="A43" s="3" t="s">
        <v>7</v>
      </c>
      <c r="B43" s="1">
        <f>ATAN2(B39,B40)</f>
        <v>1.7118294324457703</v>
      </c>
      <c r="C43" s="3">
        <f>DEGREES(B43)</f>
        <v>98.080601725417708</v>
      </c>
      <c r="D43" s="6"/>
      <c r="G43" s="1" t="e">
        <f>POWER(_x, 2) + POWER(_y, 2) + POWER(_z,2)</f>
        <v>#NAME?</v>
      </c>
    </row>
    <row r="44" spans="1:8" ht="14.25">
      <c r="G44" s="1">
        <f>C13-C14</f>
        <v>-7011</v>
      </c>
    </row>
    <row r="45" spans="1:8" ht="14.25">
      <c r="A45" s="1" t="s">
        <v>15</v>
      </c>
      <c r="B45" s="1">
        <f>B39</f>
        <v>-0.14056603773584905</v>
      </c>
    </row>
    <row r="46" spans="1:8" ht="14.25">
      <c r="A46" s="1" t="s">
        <v>17</v>
      </c>
      <c r="B46" s="1">
        <f>-SQRT(1-B39^2)</f>
        <v>-0.99007130502567531</v>
      </c>
    </row>
    <row r="47" spans="1:8" ht="15">
      <c r="A47" s="3" t="s">
        <v>47</v>
      </c>
      <c r="B47" s="1" t="e">
        <f>ATAN2(B2,_y)</f>
        <v>#NAME?</v>
      </c>
      <c r="C47" s="3" t="e">
        <f>DEGREES(B47)</f>
        <v>#NAME?</v>
      </c>
      <c r="D47" s="7" t="s">
        <v>9</v>
      </c>
      <c r="G47" s="1">
        <f>ATAN2(B2,B4)</f>
        <v>0</v>
      </c>
    </row>
    <row r="48" spans="1:8" ht="15">
      <c r="A48" s="3" t="s">
        <v>8</v>
      </c>
      <c r="B48" s="1" t="e">
        <f>ATAN2(B33,B4)-ATAN2(B13+B14*B45,B14*B46)</f>
        <v>#NAME?</v>
      </c>
      <c r="C48" s="3" t="e">
        <f>DEGREES(B48)</f>
        <v>#NAME?</v>
      </c>
      <c r="D48" s="7"/>
      <c r="G48" s="1">
        <f>ATAN2(B2,B4)</f>
        <v>0</v>
      </c>
    </row>
    <row r="49" spans="1:6" ht="15">
      <c r="A49" s="3" t="s">
        <v>19</v>
      </c>
      <c r="B49" s="1">
        <f>ATAN2(B45,B46)</f>
        <v>-1.7118294324457703</v>
      </c>
      <c r="C49" s="3">
        <f>DEGREES(B49)</f>
        <v>-98.080601725417708</v>
      </c>
      <c r="D49" s="7"/>
    </row>
    <row r="50" spans="1:6" ht="14.25"/>
    <row r="51" spans="1:6" ht="14.25"/>
    <row r="52" spans="1:6" ht="14.25"/>
    <row r="53" spans="1:6" ht="14.25">
      <c r="D53" s="1" t="s">
        <v>9</v>
      </c>
    </row>
    <row r="54" spans="1:6" ht="14.25"/>
    <row r="55" spans="1:6" ht="14.25"/>
    <row r="56" spans="1:6" ht="14.25"/>
    <row r="57" spans="1:6" ht="14.25">
      <c r="A57" s="1" t="s">
        <v>10</v>
      </c>
      <c r="B57" s="1">
        <v>0</v>
      </c>
      <c r="C57" s="1" t="e">
        <f>B57+#REF!</f>
        <v>#REF!</v>
      </c>
      <c r="D57" s="1" t="e">
        <f>C57</f>
        <v>#REF!</v>
      </c>
      <c r="E57" s="1" t="e">
        <f>B13*COS(B42)+D57</f>
        <v>#NAME?</v>
      </c>
      <c r="F57" s="1" t="e">
        <f>E57+B14*COS(B42+B43)</f>
        <v>#NAME?</v>
      </c>
    </row>
    <row r="58" spans="1:6" ht="14.25">
      <c r="A58" s="1" t="s">
        <v>11</v>
      </c>
      <c r="B58" s="1">
        <v>0</v>
      </c>
      <c r="C58" s="1">
        <f>B58</f>
        <v>0</v>
      </c>
      <c r="D58" s="1">
        <f>C58+B12</f>
        <v>32</v>
      </c>
      <c r="E58" s="1" t="e">
        <f>B13*SIN(B42)+D58</f>
        <v>#NAME?</v>
      </c>
      <c r="F58" s="1" t="e">
        <f>E58+B14*SIN(B42+B43)</f>
        <v>#NAME?</v>
      </c>
    </row>
    <row r="59" spans="1:6" ht="14.25"/>
    <row r="60" spans="1:6" ht="14.25">
      <c r="A60" s="1" t="s">
        <v>10</v>
      </c>
      <c r="B60" s="1">
        <v>0</v>
      </c>
      <c r="C60" s="1" t="e">
        <f>B60+#REF!</f>
        <v>#REF!</v>
      </c>
      <c r="D60" s="1" t="e">
        <f>C60</f>
        <v>#REF!</v>
      </c>
      <c r="E60" s="1" t="e">
        <f>B13*COS(B48)+D60</f>
        <v>#NAME?</v>
      </c>
      <c r="F60" s="1" t="e">
        <f>E60+B14*COS(B48+B49)</f>
        <v>#NAME?</v>
      </c>
    </row>
    <row r="61" spans="1:6" ht="14.25">
      <c r="A61" s="1" t="s">
        <v>11</v>
      </c>
      <c r="B61" s="1">
        <v>0</v>
      </c>
      <c r="C61" s="1">
        <f>B61</f>
        <v>0</v>
      </c>
      <c r="D61" s="1">
        <f>C61+B12</f>
        <v>32</v>
      </c>
      <c r="E61" s="1" t="e">
        <f>B13*SIN(B48)+D61</f>
        <v>#NAME?</v>
      </c>
      <c r="F61" s="1" t="e">
        <f>E61+B14*SIN(B48+B49)</f>
        <v>#NAME?</v>
      </c>
    </row>
    <row r="69" ht="14.25"/>
  </sheetData>
  <pageMargins left="0" right="0" top="0.39370078740157505" bottom="0.39370078740157505" header="0" footer="0"/>
  <pageSetup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44"/>
  <sheetViews>
    <sheetView tabSelected="1" topLeftCell="A10" zoomScale="115" zoomScaleNormal="115" workbookViewId="0">
      <selection activeCell="B40" sqref="B40"/>
    </sheetView>
  </sheetViews>
  <sheetFormatPr defaultRowHeight="14.25"/>
  <cols>
    <col min="1" max="1" width="14.75" style="1" bestFit="1" customWidth="1"/>
    <col min="2" max="1023" width="10.625" style="1" customWidth="1"/>
    <col min="1024" max="1024" width="9" style="1" customWidth="1"/>
    <col min="1025" max="1025" width="9" customWidth="1"/>
  </cols>
  <sheetData>
    <row r="2" spans="1:7" ht="15">
      <c r="A2" s="1" t="s">
        <v>2</v>
      </c>
      <c r="B2" s="2">
        <v>200</v>
      </c>
      <c r="C2" s="1">
        <f>B2^2</f>
        <v>40000</v>
      </c>
      <c r="E2" s="1" t="e">
        <f>_a2*COS(_th2)+_a3*COS(_th2+_th3)</f>
        <v>#NAME?</v>
      </c>
      <c r="G2" s="1" t="s">
        <v>2</v>
      </c>
    </row>
    <row r="3" spans="1:7" ht="15">
      <c r="A3" s="1" t="s">
        <v>3</v>
      </c>
      <c r="B3" s="2">
        <v>0</v>
      </c>
      <c r="C3" s="1">
        <f>B3^2</f>
        <v>0</v>
      </c>
      <c r="G3" s="1" t="s">
        <v>3</v>
      </c>
    </row>
    <row r="4" spans="1:7" ht="15">
      <c r="A4" s="1" t="s">
        <v>12</v>
      </c>
      <c r="B4" s="2">
        <v>0</v>
      </c>
      <c r="C4" s="1">
        <f>B4^2</f>
        <v>0</v>
      </c>
      <c r="G4" s="1" t="s">
        <v>2</v>
      </c>
    </row>
    <row r="5" spans="1:7" ht="15">
      <c r="A5" s="1" t="s">
        <v>57</v>
      </c>
      <c r="B5" s="1">
        <f>ATAN2(destX,destY)</f>
        <v>0</v>
      </c>
      <c r="C5" s="3">
        <f>DEGREES(B5)</f>
        <v>0</v>
      </c>
      <c r="D5" s="1" t="s">
        <v>24</v>
      </c>
    </row>
    <row r="7" spans="1:7" ht="15">
      <c r="A7" s="1" t="s">
        <v>49</v>
      </c>
      <c r="B7" s="2">
        <v>0</v>
      </c>
    </row>
    <row r="8" spans="1:7" ht="15">
      <c r="A8" s="1" t="s">
        <v>50</v>
      </c>
      <c r="B8" s="2">
        <v>0</v>
      </c>
    </row>
    <row r="9" spans="1:7" ht="15">
      <c r="A9" s="1" t="s">
        <v>54</v>
      </c>
      <c r="B9" s="2">
        <v>0</v>
      </c>
    </row>
    <row r="10" spans="1:7" ht="15">
      <c r="A10" s="1" t="s">
        <v>69</v>
      </c>
      <c r="B10" s="2" t="e">
        <f>ATAN2(offsetX,offsetY)</f>
        <v>#DIV/0!</v>
      </c>
      <c r="C10" s="3" t="e">
        <f>DEGREES(B10)</f>
        <v>#DIV/0!</v>
      </c>
      <c r="D10" s="1" t="s">
        <v>24</v>
      </c>
    </row>
    <row r="12" spans="1:7" ht="15">
      <c r="A12" s="1" t="s">
        <v>46</v>
      </c>
      <c r="B12" s="2">
        <v>32</v>
      </c>
      <c r="D12" s="2">
        <v>32</v>
      </c>
    </row>
    <row r="13" spans="1:7" ht="15">
      <c r="A13" s="1" t="s">
        <v>0</v>
      </c>
      <c r="B13" s="2">
        <v>65</v>
      </c>
      <c r="C13" s="1">
        <f>B13^2</f>
        <v>4225</v>
      </c>
      <c r="D13" s="2">
        <v>65</v>
      </c>
      <c r="E13" s="1">
        <f>DEGREES(ATAN2(150,20))</f>
        <v>7.594643368591445</v>
      </c>
    </row>
    <row r="14" spans="1:7" ht="15">
      <c r="A14" s="1" t="s">
        <v>1</v>
      </c>
      <c r="B14" s="2">
        <v>106</v>
      </c>
      <c r="C14" s="1">
        <f>B14^2</f>
        <v>11236</v>
      </c>
      <c r="D14" s="2">
        <v>106</v>
      </c>
    </row>
    <row r="17" spans="1:1024" ht="15">
      <c r="A17" s="1" t="s">
        <v>65</v>
      </c>
      <c r="B17" s="2">
        <f>destX-offsetX</f>
        <v>200</v>
      </c>
    </row>
    <row r="18" spans="1:1024" ht="15">
      <c r="A18" s="1" t="s">
        <v>66</v>
      </c>
      <c r="B18" s="2">
        <f>destY-offsetY</f>
        <v>0</v>
      </c>
    </row>
    <row r="19" spans="1:1024" ht="15">
      <c r="A19" s="1" t="s">
        <v>67</v>
      </c>
      <c r="B19" s="2">
        <f>destZ-offsetZ</f>
        <v>0</v>
      </c>
    </row>
    <row r="20" spans="1:1024" ht="15">
      <c r="A20" s="1" t="s">
        <v>68</v>
      </c>
      <c r="B20" s="2">
        <f>theta0</f>
        <v>0</v>
      </c>
      <c r="C20" s="3">
        <f>DEGREES(B20)</f>
        <v>0</v>
      </c>
      <c r="D20" s="7" t="s">
        <v>9</v>
      </c>
    </row>
    <row r="22" spans="1:1024" ht="15">
      <c r="A22" s="3" t="s">
        <v>55</v>
      </c>
      <c r="B22" s="1">
        <f>theta0</f>
        <v>0</v>
      </c>
      <c r="C22" s="3">
        <f>DEGREES(B37)</f>
        <v>0</v>
      </c>
      <c r="D22" s="7" t="s">
        <v>9</v>
      </c>
    </row>
    <row r="23" spans="1:1024" s="9" customFormat="1" ht="15.75" thickBot="1">
      <c r="A23" s="8"/>
      <c r="B23" s="8"/>
      <c r="C23" s="19" t="s">
        <v>73</v>
      </c>
      <c r="D23" s="19" t="s">
        <v>74</v>
      </c>
      <c r="E23" s="8" t="s">
        <v>77</v>
      </c>
      <c r="F23" s="8" t="s">
        <v>79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</row>
    <row r="24" spans="1:1024" ht="15" thickBot="1">
      <c r="A24" s="10" t="s">
        <v>10</v>
      </c>
      <c r="B24" s="11">
        <v>0</v>
      </c>
      <c r="C24" s="11">
        <f>offsetX</f>
        <v>0</v>
      </c>
      <c r="D24" s="12">
        <f>offsetX+Length0*COS(theta0)</f>
        <v>32</v>
      </c>
      <c r="E24" s="12">
        <f>O2X+Length1*COS(theta1)*COS(theta0)</f>
        <v>95.133928571428569</v>
      </c>
      <c r="F24" s="12">
        <f>O3X+Length2*COS(theta1+theta2)*COS(theta0)</f>
        <v>200</v>
      </c>
    </row>
    <row r="25" spans="1:1024" ht="15" thickBot="1">
      <c r="A25" s="13" t="s">
        <v>56</v>
      </c>
      <c r="B25" s="14">
        <v>0</v>
      </c>
      <c r="C25" s="14">
        <f>offsetY</f>
        <v>0</v>
      </c>
      <c r="D25" s="12">
        <f>offsetY+Length0*SIN(theta0)</f>
        <v>0</v>
      </c>
      <c r="E25" s="12">
        <f>O2Y+Length1*COS(theta1)*SIN(theta0)</f>
        <v>0</v>
      </c>
      <c r="F25" s="12">
        <f>O3Y+Length2*COS(theta1+theta2)*SIN(theta0)</f>
        <v>0</v>
      </c>
    </row>
    <row r="26" spans="1:1024" ht="15" thickBot="1">
      <c r="A26" s="16" t="s">
        <v>11</v>
      </c>
      <c r="B26" s="17">
        <v>0</v>
      </c>
      <c r="C26" s="17">
        <f>offsetZ</f>
        <v>0</v>
      </c>
      <c r="D26" s="12">
        <f>offsetZ</f>
        <v>0</v>
      </c>
      <c r="E26" s="12">
        <f>O2Z+Length1*SIN(theta1)</f>
        <v>15.463087115377544</v>
      </c>
      <c r="F26" s="12">
        <f>O3Z+Length2*SIN(theta1+theta2)</f>
        <v>0</v>
      </c>
    </row>
    <row r="27" spans="1:1024">
      <c r="C27" s="1">
        <f>SQRT(POWER(C24,2)+POWER(C25,2))</f>
        <v>0</v>
      </c>
      <c r="D27" s="1">
        <f>SQRT(POWER(D24-C24,2)+POWER(D25-C25,2))</f>
        <v>32</v>
      </c>
      <c r="E27" s="1">
        <f>SQRT(POWER(O3X-O2X,2)+POWER(O3Z-O2Z,2))</f>
        <v>65</v>
      </c>
      <c r="F27" s="1">
        <f>SQRT(POWER(ODestX-O3X,2)+POWER(ODestZ-O3Z,2))</f>
        <v>106</v>
      </c>
    </row>
    <row r="29" spans="1:1024" ht="15">
      <c r="A29" s="1" t="s">
        <v>70</v>
      </c>
      <c r="B29" s="2">
        <f>destX-O2X</f>
        <v>168</v>
      </c>
    </row>
    <row r="30" spans="1:1024" ht="15">
      <c r="A30" s="1" t="s">
        <v>71</v>
      </c>
      <c r="B30" s="2">
        <f>destY-O2Y</f>
        <v>0</v>
      </c>
    </row>
    <row r="31" spans="1:1024" ht="15">
      <c r="A31" s="1" t="s">
        <v>72</v>
      </c>
      <c r="B31" s="2">
        <f>destZ-O2Z</f>
        <v>0</v>
      </c>
    </row>
    <row r="32" spans="1:1024" ht="15">
      <c r="A32" s="1" t="s">
        <v>75</v>
      </c>
      <c r="B32" s="2">
        <f>ATAN2(B29,B30)</f>
        <v>0</v>
      </c>
      <c r="C32" s="3">
        <f>DEGREES(B32)</f>
        <v>0</v>
      </c>
      <c r="D32" s="7" t="s">
        <v>76</v>
      </c>
    </row>
    <row r="33" spans="1:1024" ht="15">
      <c r="A33" s="1" t="s">
        <v>48</v>
      </c>
      <c r="B33" s="2">
        <f>SQRT(POWER(pXFromO2,2)+POWER(pYFromO2,2))</f>
        <v>168</v>
      </c>
      <c r="C33" s="1">
        <f>B33^2</f>
        <v>28224</v>
      </c>
    </row>
    <row r="35" spans="1:1024">
      <c r="A35" s="1" t="s">
        <v>15</v>
      </c>
      <c r="B35" s="1">
        <f>(POWER(RpXpY,2)+POWER(pZFromO2,2)-POWER(Length1,2)-POWER(Length2,2))/(2*Length1*Length2)</f>
        <v>0.92619738751814229</v>
      </c>
    </row>
    <row r="36" spans="1:1024">
      <c r="A36" s="1" t="s">
        <v>17</v>
      </c>
      <c r="B36" s="1">
        <f>-SQRT(1-POWER(_cos3,2))</f>
        <v>-0.37703898917030876</v>
      </c>
    </row>
    <row r="37" spans="1:1024" ht="15">
      <c r="A37" s="3" t="s">
        <v>45</v>
      </c>
      <c r="B37" s="1">
        <f>ATAN2(pXFromO1,pYFromO1)</f>
        <v>0</v>
      </c>
      <c r="C37" s="3">
        <f>DEGREES(theta0)</f>
        <v>0</v>
      </c>
    </row>
    <row r="38" spans="1:1024" ht="15">
      <c r="A38" s="3" t="s">
        <v>6</v>
      </c>
      <c r="B38" s="1">
        <f>ATAN2(RpXpY,pZFromO2)-ATAN2(Length1+Length2*_cos3,Length2*_sin3)</f>
        <v>0.24019666285541616</v>
      </c>
      <c r="C38" s="3">
        <f>DEGREES(theta1)</f>
        <v>13.762255034742095</v>
      </c>
      <c r="D38" s="1">
        <f>COS(theta1)</f>
        <v>0.97129120879120878</v>
      </c>
    </row>
    <row r="39" spans="1:1024" ht="15">
      <c r="A39" s="3" t="s">
        <v>7</v>
      </c>
      <c r="B39" s="1">
        <f>ATAN2(_cos3,_sin3)</f>
        <v>-0.38659725358477687</v>
      </c>
      <c r="C39" s="3">
        <f>DEGREES(theta2)</f>
        <v>-22.15039100175655</v>
      </c>
    </row>
    <row r="40" spans="1:1024">
      <c r="B40" s="1">
        <f>RADIANS(C40)</f>
        <v>1.1841990732101197</v>
      </c>
      <c r="C40" s="1">
        <f>C39+90</f>
        <v>67.849608998243454</v>
      </c>
    </row>
    <row r="42" spans="1:1024" s="9" customFormat="1">
      <c r="A42" s="8"/>
      <c r="B42" s="8"/>
      <c r="C42" s="8"/>
      <c r="D42" s="8" t="s">
        <v>73</v>
      </c>
      <c r="E42" s="8" t="s">
        <v>74</v>
      </c>
      <c r="F42" s="8" t="s">
        <v>77</v>
      </c>
      <c r="G42" s="8" t="s">
        <v>78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pans="1:1024">
      <c r="A43" s="1" t="s">
        <v>10</v>
      </c>
      <c r="B43" s="1">
        <v>0</v>
      </c>
      <c r="C43" s="1">
        <f>offsetX</f>
        <v>0</v>
      </c>
      <c r="D43" s="1">
        <f>offsetX</f>
        <v>0</v>
      </c>
      <c r="E43" s="1">
        <f>D43+Length0*COS(theta0)</f>
        <v>32</v>
      </c>
      <c r="F43" s="1">
        <f>E43+Length1*COS(theta0)</f>
        <v>97</v>
      </c>
      <c r="G43" s="1">
        <f>F43+Length2*COS(theta0)</f>
        <v>203</v>
      </c>
    </row>
    <row r="44" spans="1:1024">
      <c r="A44" s="1" t="s">
        <v>11</v>
      </c>
      <c r="B44" s="1">
        <v>0</v>
      </c>
      <c r="C44" s="1">
        <v>0</v>
      </c>
      <c r="D44" s="1">
        <f>offsetZ</f>
        <v>0</v>
      </c>
      <c r="E44" s="1">
        <f>D44</f>
        <v>0</v>
      </c>
      <c r="F44" s="1">
        <v>0</v>
      </c>
      <c r="G44" s="1">
        <v>0</v>
      </c>
    </row>
  </sheetData>
  <pageMargins left="0" right="0" top="0.39370078740157505" bottom="0.39370078740157505" header="0" footer="0"/>
  <pageSetup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workbookViewId="0"/>
  </sheetViews>
  <sheetFormatPr defaultRowHeight="12.75"/>
  <cols>
    <col min="1" max="1" width="13.75" style="1" customWidth="1"/>
    <col min="2" max="1023" width="10.625" style="1" customWidth="1"/>
    <col min="1024" max="1024" width="9" style="1" customWidth="1"/>
    <col min="1025" max="1025" width="9" customWidth="1"/>
  </cols>
  <sheetData>
    <row r="1" spans="1:5" ht="14.25">
      <c r="A1" s="1" t="s">
        <v>21</v>
      </c>
      <c r="B1" s="1">
        <f>(180/PI())</f>
        <v>57.295779513082323</v>
      </c>
    </row>
    <row r="2" spans="1:5" ht="14.25"/>
    <row r="3" spans="1:5" ht="14.25"/>
    <row r="4" spans="1:5" ht="14.25"/>
    <row r="5" spans="1:5" ht="15">
      <c r="A5" s="1" t="s">
        <v>22</v>
      </c>
      <c r="B5" s="2">
        <v>50</v>
      </c>
      <c r="C5" s="1" t="s">
        <v>0</v>
      </c>
    </row>
    <row r="6" spans="1:5" ht="15">
      <c r="A6" s="1" t="s">
        <v>23</v>
      </c>
      <c r="B6" s="2">
        <v>100</v>
      </c>
      <c r="C6" s="1" t="s">
        <v>1</v>
      </c>
    </row>
    <row r="7" spans="1:5" ht="14.25"/>
    <row r="8" spans="1:5" ht="15">
      <c r="A8" s="1" t="s">
        <v>24</v>
      </c>
      <c r="B8" s="2">
        <v>-25</v>
      </c>
      <c r="C8" s="1" t="s">
        <v>25</v>
      </c>
      <c r="E8" s="1" t="e">
        <f>_a2*COS(_th2)+_a3*COS(_th2+_th3)</f>
        <v>#NAME?</v>
      </c>
    </row>
    <row r="9" spans="1:5" ht="15">
      <c r="A9" s="1" t="s">
        <v>26</v>
      </c>
      <c r="B9" s="2">
        <v>0</v>
      </c>
    </row>
    <row r="10" spans="1:5" ht="15">
      <c r="A10" s="1" t="s">
        <v>27</v>
      </c>
      <c r="B10" s="2">
        <v>-130</v>
      </c>
      <c r="C10" s="1" t="s">
        <v>25</v>
      </c>
      <c r="E10" s="1" t="e">
        <f>_a2*SIN(_th2)+_a3*SIN(_th2+_th3)</f>
        <v>#NAME?</v>
      </c>
    </row>
    <row r="11" spans="1:5" ht="14.25"/>
    <row r="12" spans="1:5" ht="15">
      <c r="A12" s="3" t="s">
        <v>28</v>
      </c>
      <c r="B12" s="1" t="e">
        <f>fi-alfa</f>
        <v>#NAME?</v>
      </c>
      <c r="C12" s="3" t="e">
        <f>DEGREES(B12)</f>
        <v>#NAME?</v>
      </c>
    </row>
    <row r="13" spans="1:5" ht="14.25">
      <c r="A13" s="1" t="s">
        <v>29</v>
      </c>
      <c r="B13" s="1" t="e">
        <f>ATAN2(_x,_y)</f>
        <v>#NAME?</v>
      </c>
      <c r="C13" s="1" t="e">
        <f>DEGREES(B13)</f>
        <v>#NAME?</v>
      </c>
    </row>
    <row r="14" spans="1:5" ht="14.25">
      <c r="A14" s="1" t="s">
        <v>30</v>
      </c>
      <c r="B14" s="1" t="e">
        <f>ATAN2(SQRT(_x^2+_y^2-_d^2),_d)</f>
        <v>#NAME?</v>
      </c>
      <c r="C14" s="1" t="e">
        <f>DEGREES(B14)</f>
        <v>#NAME?</v>
      </c>
    </row>
    <row r="15" spans="1:5" ht="14.25"/>
    <row r="16" spans="1:5" ht="14.25">
      <c r="A16" s="1" t="s">
        <v>31</v>
      </c>
      <c r="B16" s="1" t="e">
        <f>(_x^2+_y^2-_d^2+(_z^2-_d1^2)-_a2^2-_a3^2)/(2*_a2*_a3)</f>
        <v>#NAME?</v>
      </c>
    </row>
    <row r="17" spans="1:4" ht="14.25">
      <c r="A17" s="1" t="s">
        <v>32</v>
      </c>
      <c r="B17" s="1" t="e">
        <f>_x^2+_y^2-_d^2</f>
        <v>#NAME?</v>
      </c>
    </row>
    <row r="18" spans="1:4" ht="14.25">
      <c r="A18" s="1" t="s">
        <v>33</v>
      </c>
      <c r="B18" s="1" t="e">
        <f>_z-_d1</f>
        <v>#NAME?</v>
      </c>
    </row>
    <row r="19" spans="1:4" ht="15">
      <c r="A19" s="3" t="s">
        <v>18</v>
      </c>
      <c r="B19" s="1" t="e">
        <f>ATAN2(costh3,SQRT(1-costh3^2))</f>
        <v>#NAME?</v>
      </c>
      <c r="C19" s="3" t="e">
        <f>DEGREES(B19)</f>
        <v>#NAME?</v>
      </c>
    </row>
    <row r="20" spans="1:4" ht="15">
      <c r="A20" s="3" t="s">
        <v>20</v>
      </c>
      <c r="B20" s="1" t="e">
        <f>ATAN2(costh3,-SQRT(1-costh3^2))</f>
        <v>#NAME?</v>
      </c>
      <c r="C20" s="3" t="e">
        <f>DEGREES(B20)</f>
        <v>#NAME?</v>
      </c>
      <c r="D20" s="1" t="s">
        <v>9</v>
      </c>
    </row>
    <row r="21" spans="1:4" ht="14.25"/>
    <row r="22" spans="1:4" ht="14.25"/>
    <row r="23" spans="1:4" ht="15">
      <c r="A23" s="3" t="s">
        <v>7</v>
      </c>
      <c r="B23" s="1" t="e">
        <f>ATAN2(SQRT(_x^2+_y^2-_d^2),_z-_d1)-ATAN2(_a2+_a3*COS(_th31),_a3*SIN(_th31))</f>
        <v>#NAME?</v>
      </c>
      <c r="C23" s="3" t="e">
        <f>DEGREES(B23)</f>
        <v>#NAME?</v>
      </c>
    </row>
    <row r="24" spans="1:4" ht="15">
      <c r="A24" s="3" t="s">
        <v>7</v>
      </c>
      <c r="B24" s="1" t="e">
        <f>ATAN2(SQRT(_x^2+_y^2-_d^2),_z-_d1)-ATAN2(_a2+_a3*COS(_th32),_a3*SIN(_th32))</f>
        <v>#NAME?</v>
      </c>
      <c r="C24" s="3" t="e">
        <f>DEGREES(B24)</f>
        <v>#NAME?</v>
      </c>
      <c r="D24" s="1" t="s">
        <v>9</v>
      </c>
    </row>
    <row r="25" spans="1:4" ht="14.25"/>
    <row r="26" spans="1:4" ht="14.25"/>
    <row r="27" spans="1:4" ht="14.25"/>
    <row r="28" spans="1:4" ht="14.25">
      <c r="A28" s="1" t="s">
        <v>10</v>
      </c>
      <c r="B28" s="1">
        <v>0</v>
      </c>
      <c r="C28" s="1" t="e">
        <f>_a2*COS(_th21)</f>
        <v>#NAME?</v>
      </c>
      <c r="D28" s="1" t="e">
        <f>_a2*COS(_th21)+_a3*COS(_th21+_th31)</f>
        <v>#NAME?</v>
      </c>
    </row>
    <row r="29" spans="1:4" ht="14.25">
      <c r="A29" s="1" t="s">
        <v>11</v>
      </c>
      <c r="B29" s="1">
        <v>0</v>
      </c>
      <c r="C29" s="1" t="e">
        <f>_a2*SIN(_th21)</f>
        <v>#NAME?</v>
      </c>
      <c r="D29" s="1" t="e">
        <f>_a2*SIN(_th21)+_a3*SIN(_th21+_th31)</f>
        <v>#NAME?</v>
      </c>
    </row>
    <row r="30" spans="1:4" ht="14.25"/>
    <row r="31" spans="1:4" ht="14.25">
      <c r="A31" s="1" t="s">
        <v>10</v>
      </c>
      <c r="B31" s="1">
        <v>0</v>
      </c>
      <c r="C31" s="1" t="e">
        <f>_a2*COS(_th22)</f>
        <v>#NAME?</v>
      </c>
      <c r="D31" s="1" t="e">
        <f>_a2*COS(_th22)+_a3*COS(_th22+_th32)</f>
        <v>#NAME?</v>
      </c>
    </row>
    <row r="32" spans="1:4" ht="14.25">
      <c r="A32" s="1" t="s">
        <v>11</v>
      </c>
      <c r="B32" s="1">
        <v>0</v>
      </c>
      <c r="C32" s="1" t="e">
        <f>_a2*SIN(_th22)</f>
        <v>#NAME?</v>
      </c>
      <c r="D32" s="1" t="e">
        <f>_a2*SIN(_th22)+_a3*SIN(_th22+_th32)</f>
        <v>#NAME?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3.9"/>
  <cols>
    <col min="1" max="1" width="97.25" style="4" customWidth="1"/>
    <col min="2" max="2" width="9" customWidth="1"/>
  </cols>
  <sheetData>
    <row r="1" spans="1:1" ht="14.25"/>
    <row r="2" spans="1:1" ht="14.25">
      <c r="A2" s="4" t="s">
        <v>34</v>
      </c>
    </row>
    <row r="3" spans="1:1" ht="15">
      <c r="A3" s="5" t="s">
        <v>35</v>
      </c>
    </row>
    <row r="4" spans="1:1" ht="15">
      <c r="A4" s="5" t="s">
        <v>36</v>
      </c>
    </row>
    <row r="5" spans="1:1" ht="15">
      <c r="A5" s="5" t="s">
        <v>37</v>
      </c>
    </row>
    <row r="6" spans="1:1" ht="15">
      <c r="A6" s="5" t="s">
        <v>38</v>
      </c>
    </row>
    <row r="7" spans="1:1" ht="15">
      <c r="A7" s="5" t="s">
        <v>39</v>
      </c>
    </row>
    <row r="8" spans="1:1" ht="15">
      <c r="A8" s="5" t="s">
        <v>40</v>
      </c>
    </row>
    <row r="9" spans="1:1" ht="15">
      <c r="A9" s="5" t="s">
        <v>41</v>
      </c>
    </row>
    <row r="10" spans="1:1" ht="14.25">
      <c r="A10" s="4" t="s">
        <v>42</v>
      </c>
    </row>
    <row r="11" spans="1:1" ht="14.25">
      <c r="A11" s="4" t="s">
        <v>43</v>
      </c>
    </row>
    <row r="12" spans="1:1" ht="14.25">
      <c r="A12" s="4" t="s">
        <v>44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size="40" baseType="lpstr">
      <vt:lpstr>OKodwrotnaXY</vt:lpstr>
      <vt:lpstr>OKodwrotnaXYZ</vt:lpstr>
      <vt:lpstr>OKodwrotnaXYZ (2)</vt:lpstr>
      <vt:lpstr>odwrotna_2</vt:lpstr>
      <vt:lpstr>Sheet2</vt:lpstr>
      <vt:lpstr>_cos3</vt:lpstr>
      <vt:lpstr>_sin3</vt:lpstr>
      <vt:lpstr>alfaDest</vt:lpstr>
      <vt:lpstr>alfaXYOffsetXY</vt:lpstr>
      <vt:lpstr>destX</vt:lpstr>
      <vt:lpstr>destY</vt:lpstr>
      <vt:lpstr>destZ</vt:lpstr>
      <vt:lpstr>Length0</vt:lpstr>
      <vt:lpstr>Length1</vt:lpstr>
      <vt:lpstr>Length2</vt:lpstr>
      <vt:lpstr>O1X</vt:lpstr>
      <vt:lpstr>O1Y</vt:lpstr>
      <vt:lpstr>O1Z</vt:lpstr>
      <vt:lpstr>O2X</vt:lpstr>
      <vt:lpstr>O2Y</vt:lpstr>
      <vt:lpstr>O2Z</vt:lpstr>
      <vt:lpstr>O3X</vt:lpstr>
      <vt:lpstr>O3Y</vt:lpstr>
      <vt:lpstr>O3Z</vt:lpstr>
      <vt:lpstr>ODestX</vt:lpstr>
      <vt:lpstr>ODestY</vt:lpstr>
      <vt:lpstr>ODestZ</vt:lpstr>
      <vt:lpstr>offsetX</vt:lpstr>
      <vt:lpstr>offsetY</vt:lpstr>
      <vt:lpstr>offsetZ</vt:lpstr>
      <vt:lpstr>pXFromO1</vt:lpstr>
      <vt:lpstr>pXFromO2</vt:lpstr>
      <vt:lpstr>pYFromO1</vt:lpstr>
      <vt:lpstr>pYFromO2</vt:lpstr>
      <vt:lpstr>pZFromO1</vt:lpstr>
      <vt:lpstr>pZFromO2</vt:lpstr>
      <vt:lpstr>RpXpY</vt:lpstr>
      <vt:lpstr>theta0</vt:lpstr>
      <vt:lpstr>theta1</vt:lpstr>
      <vt:lpstr>theta2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cp:revision>11</cp:revision>
  <dcterms:created xsi:type="dcterms:W3CDTF">2018-04-27T15:01:34Z</dcterms:created>
  <dcterms:modified xsi:type="dcterms:W3CDTF">2018-05-13T20:29:37Z</dcterms:modified>
</cp:coreProperties>
</file>