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python\JupyterWork\genshin\"/>
    </mc:Choice>
  </mc:AlternateContent>
  <xr:revisionPtr revIDLastSave="0" documentId="13_ncr:1_{07367EF2-99E2-4E75-8A10-D86606A7DD86}" xr6:coauthVersionLast="47" xr6:coauthVersionMax="47" xr10:uidLastSave="{00000000-0000-0000-0000-000000000000}"/>
  <bookViews>
    <workbookView xWindow="3525" yWindow="3330" windowWidth="22875" windowHeight="11820" activeTab="1" xr2:uid="{00000000-000D-0000-FFFF-FFFF00000000}"/>
  </bookViews>
  <sheets>
    <sheet name="正表" sheetId="4" r:id="rId1"/>
    <sheet name="更新and修正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7" i="4" l="1"/>
  <c r="P107" i="4"/>
  <c r="O107" i="4"/>
  <c r="L107" i="4"/>
  <c r="K107" i="4"/>
  <c r="N107" i="4" s="1"/>
  <c r="J107" i="4"/>
  <c r="T107" i="4" s="1"/>
  <c r="I107" i="4"/>
  <c r="H107" i="4" s="1"/>
  <c r="Q106" i="4"/>
  <c r="P106" i="4"/>
  <c r="O106" i="4"/>
  <c r="L106" i="4"/>
  <c r="K106" i="4"/>
  <c r="N106" i="4" s="1"/>
  <c r="J106" i="4"/>
  <c r="H106" i="4"/>
  <c r="T181" i="4"/>
  <c r="T180" i="4"/>
  <c r="T179" i="4"/>
  <c r="T158" i="4"/>
  <c r="I123" i="4"/>
  <c r="I122" i="4"/>
  <c r="I121" i="4"/>
  <c r="I113" i="4"/>
  <c r="I112" i="4"/>
  <c r="I111" i="4"/>
  <c r="I102" i="4"/>
  <c r="I103" i="4"/>
  <c r="I232" i="4"/>
  <c r="P70" i="4"/>
  <c r="O70" i="4"/>
  <c r="N70" i="4"/>
  <c r="M70" i="4"/>
  <c r="I70" i="4"/>
  <c r="H70" i="4"/>
  <c r="T70" i="4" s="1"/>
  <c r="P69" i="4"/>
  <c r="O69" i="4"/>
  <c r="N69" i="4"/>
  <c r="M69" i="4"/>
  <c r="I69" i="4"/>
  <c r="H69" i="4" s="1"/>
  <c r="T69" i="4" s="1"/>
  <c r="P68" i="4"/>
  <c r="O68" i="4"/>
  <c r="N68" i="4"/>
  <c r="M68" i="4"/>
  <c r="I68" i="4"/>
  <c r="H68" i="4"/>
  <c r="T68" i="4" s="1"/>
  <c r="H169" i="4"/>
  <c r="O189" i="4"/>
  <c r="O186" i="4"/>
  <c r="R189" i="4"/>
  <c r="Q189" i="4"/>
  <c r="P189" i="4"/>
  <c r="L189" i="4"/>
  <c r="N189" i="4" s="1"/>
  <c r="K189" i="4"/>
  <c r="F189" i="4"/>
  <c r="H189" i="4" s="1"/>
  <c r="R186" i="4"/>
  <c r="Q186" i="4"/>
  <c r="P186" i="4"/>
  <c r="L186" i="4"/>
  <c r="K186" i="4"/>
  <c r="N186" i="4" s="1"/>
  <c r="F186" i="4"/>
  <c r="H186" i="4" s="1"/>
  <c r="L133" i="4"/>
  <c r="K133" i="4"/>
  <c r="N133" i="4" s="1"/>
  <c r="I133" i="4"/>
  <c r="O133" i="4" s="1"/>
  <c r="G133" i="4"/>
  <c r="F133" i="4"/>
  <c r="L132" i="4"/>
  <c r="K132" i="4"/>
  <c r="N132" i="4" s="1"/>
  <c r="G132" i="4"/>
  <c r="H132" i="4" s="1"/>
  <c r="L131" i="4"/>
  <c r="K131" i="4"/>
  <c r="G130" i="4"/>
  <c r="F131" i="4"/>
  <c r="H131" i="4" s="1"/>
  <c r="F132" i="4"/>
  <c r="F130" i="4"/>
  <c r="H130" i="4" s="1"/>
  <c r="I131" i="4"/>
  <c r="O131" i="4" s="1"/>
  <c r="I132" i="4"/>
  <c r="O132" i="4" s="1"/>
  <c r="I130" i="4"/>
  <c r="O130" i="4"/>
  <c r="L130" i="4"/>
  <c r="K130" i="4"/>
  <c r="F12" i="4"/>
  <c r="G12" i="4"/>
  <c r="I12" i="4"/>
  <c r="J12" i="4"/>
  <c r="K12" i="4"/>
  <c r="L12" i="4"/>
  <c r="O12" i="4"/>
  <c r="P12" i="4"/>
  <c r="Q12" i="4"/>
  <c r="R12" i="4"/>
  <c r="F13" i="4"/>
  <c r="G13" i="4"/>
  <c r="H13" i="4" s="1"/>
  <c r="T13" i="4" s="1"/>
  <c r="I13" i="4"/>
  <c r="J13" i="4"/>
  <c r="K13" i="4"/>
  <c r="L13" i="4"/>
  <c r="O13" i="4"/>
  <c r="P13" i="4"/>
  <c r="Q13" i="4"/>
  <c r="R13" i="4"/>
  <c r="F14" i="4"/>
  <c r="I14" i="4"/>
  <c r="J14" i="4"/>
  <c r="K14" i="4"/>
  <c r="L14" i="4"/>
  <c r="O14" i="4"/>
  <c r="P14" i="4"/>
  <c r="Q14" i="4"/>
  <c r="R14" i="4"/>
  <c r="F15" i="4"/>
  <c r="H15" i="4" s="1"/>
  <c r="I15" i="4"/>
  <c r="J15" i="4"/>
  <c r="K15" i="4"/>
  <c r="N15" i="4" s="1"/>
  <c r="L15" i="4"/>
  <c r="O15" i="4"/>
  <c r="P15" i="4"/>
  <c r="Q15" i="4"/>
  <c r="R15" i="4"/>
  <c r="F17" i="4"/>
  <c r="G17" i="4"/>
  <c r="I17" i="4"/>
  <c r="J17" i="4"/>
  <c r="K17" i="4"/>
  <c r="L17" i="4"/>
  <c r="N17" i="4" s="1"/>
  <c r="O17" i="4"/>
  <c r="P17" i="4"/>
  <c r="Q17" i="4"/>
  <c r="R17" i="4"/>
  <c r="F18" i="4"/>
  <c r="G18" i="4"/>
  <c r="I18" i="4"/>
  <c r="J18" i="4"/>
  <c r="K18" i="4"/>
  <c r="N18" i="4" s="1"/>
  <c r="L18" i="4"/>
  <c r="O18" i="4"/>
  <c r="P18" i="4"/>
  <c r="Q18" i="4"/>
  <c r="R18" i="4"/>
  <c r="F19" i="4"/>
  <c r="I19" i="4"/>
  <c r="J19" i="4"/>
  <c r="K19" i="4"/>
  <c r="L19" i="4"/>
  <c r="N19" i="4" s="1"/>
  <c r="O19" i="4"/>
  <c r="P19" i="4"/>
  <c r="Q19" i="4"/>
  <c r="R19" i="4"/>
  <c r="F20" i="4"/>
  <c r="I20" i="4"/>
  <c r="J20" i="4"/>
  <c r="K20" i="4"/>
  <c r="N20" i="4" s="1"/>
  <c r="L20" i="4"/>
  <c r="O20" i="4"/>
  <c r="P20" i="4"/>
  <c r="Q20" i="4"/>
  <c r="R20" i="4"/>
  <c r="H23" i="4"/>
  <c r="I23" i="4"/>
  <c r="T23" i="4" s="1"/>
  <c r="J23" i="4"/>
  <c r="K23" i="4"/>
  <c r="L23" i="4"/>
  <c r="O23" i="4"/>
  <c r="P23" i="4"/>
  <c r="Q23" i="4"/>
  <c r="H24" i="4"/>
  <c r="I24" i="4"/>
  <c r="T24" i="4" s="1"/>
  <c r="J24" i="4"/>
  <c r="K24" i="4"/>
  <c r="P24" i="4"/>
  <c r="Q24" i="4"/>
  <c r="G27" i="4"/>
  <c r="H27" i="4" s="1"/>
  <c r="K27" i="4"/>
  <c r="L27" i="4"/>
  <c r="O27" i="4"/>
  <c r="P27" i="4"/>
  <c r="Q27" i="4"/>
  <c r="H28" i="4"/>
  <c r="K28" i="4"/>
  <c r="L28" i="4"/>
  <c r="O28" i="4"/>
  <c r="P28" i="4"/>
  <c r="Q28" i="4"/>
  <c r="G31" i="4"/>
  <c r="H31" i="4" s="1"/>
  <c r="I31" i="4"/>
  <c r="K31" i="4"/>
  <c r="L31" i="4"/>
  <c r="N31" i="4" s="1"/>
  <c r="O31" i="4"/>
  <c r="P31" i="4"/>
  <c r="Q31" i="4"/>
  <c r="H32" i="4"/>
  <c r="I32" i="4"/>
  <c r="K32" i="4"/>
  <c r="L32" i="4"/>
  <c r="O32" i="4"/>
  <c r="P32" i="4"/>
  <c r="Q32" i="4"/>
  <c r="G35" i="4"/>
  <c r="H35" i="4" s="1"/>
  <c r="I35" i="4"/>
  <c r="K35" i="4"/>
  <c r="L35" i="4"/>
  <c r="O35" i="4"/>
  <c r="P35" i="4"/>
  <c r="Q35" i="4"/>
  <c r="H36" i="4"/>
  <c r="I36" i="4"/>
  <c r="K36" i="4"/>
  <c r="L36" i="4"/>
  <c r="O36" i="4"/>
  <c r="P36" i="4"/>
  <c r="Q36" i="4"/>
  <c r="G39" i="4"/>
  <c r="H39" i="4" s="1"/>
  <c r="I39" i="4"/>
  <c r="K39" i="4"/>
  <c r="N39" i="4"/>
  <c r="L39" i="4"/>
  <c r="O39" i="4"/>
  <c r="P39" i="4"/>
  <c r="Q39" i="4"/>
  <c r="H40" i="4"/>
  <c r="I40" i="4"/>
  <c r="K40" i="4"/>
  <c r="L40" i="4"/>
  <c r="N40" i="4" s="1"/>
  <c r="T40" i="4" s="1"/>
  <c r="O40" i="4"/>
  <c r="P40" i="4"/>
  <c r="Q40" i="4"/>
  <c r="G43" i="4"/>
  <c r="H43" i="4" s="1"/>
  <c r="I43" i="4"/>
  <c r="K43" i="4"/>
  <c r="L43" i="4"/>
  <c r="O43" i="4"/>
  <c r="P43" i="4"/>
  <c r="H44" i="4"/>
  <c r="I44" i="4"/>
  <c r="K44" i="4"/>
  <c r="L44" i="4"/>
  <c r="O44" i="4"/>
  <c r="P44" i="4"/>
  <c r="H45" i="4"/>
  <c r="I45" i="4"/>
  <c r="T45" i="4" s="1"/>
  <c r="K45" i="4"/>
  <c r="L45" i="4"/>
  <c r="O45" i="4"/>
  <c r="P45" i="4"/>
  <c r="H46" i="4"/>
  <c r="I46" i="4"/>
  <c r="T46" i="4" s="1"/>
  <c r="K46" i="4"/>
  <c r="L46" i="4"/>
  <c r="O46" i="4"/>
  <c r="P46" i="4"/>
  <c r="G49" i="4"/>
  <c r="H49" i="4" s="1"/>
  <c r="I49" i="4"/>
  <c r="K49" i="4"/>
  <c r="L49" i="4"/>
  <c r="O49" i="4"/>
  <c r="P49" i="4"/>
  <c r="Q49" i="4"/>
  <c r="H50" i="4"/>
  <c r="I50" i="4"/>
  <c r="K50" i="4"/>
  <c r="L50" i="4"/>
  <c r="N50" i="4" s="1"/>
  <c r="O50" i="4"/>
  <c r="P50" i="4"/>
  <c r="Q50" i="4"/>
  <c r="H53" i="4"/>
  <c r="I53" i="4"/>
  <c r="J53" i="4"/>
  <c r="O53" i="4" s="1"/>
  <c r="L53" i="4"/>
  <c r="N53" i="4"/>
  <c r="P53" i="4"/>
  <c r="Q53" i="4"/>
  <c r="H54" i="4"/>
  <c r="I54" i="4"/>
  <c r="J54" i="4"/>
  <c r="O54" i="4" s="1"/>
  <c r="T54" i="4" s="1"/>
  <c r="L54" i="4"/>
  <c r="N54" i="4" s="1"/>
  <c r="M54" i="4"/>
  <c r="P54" i="4"/>
  <c r="Q54" i="4"/>
  <c r="H55" i="4"/>
  <c r="I55" i="4"/>
  <c r="J55" i="4"/>
  <c r="O55" i="4" s="1"/>
  <c r="K55" i="4"/>
  <c r="L55" i="4"/>
  <c r="M55" i="4" s="1"/>
  <c r="P55" i="4"/>
  <c r="Q55" i="4"/>
  <c r="H56" i="4"/>
  <c r="I56" i="4"/>
  <c r="J56" i="4"/>
  <c r="O56" i="4" s="1"/>
  <c r="K56" i="4"/>
  <c r="L56" i="4"/>
  <c r="P56" i="4"/>
  <c r="Q56" i="4"/>
  <c r="H59" i="4"/>
  <c r="I59" i="4"/>
  <c r="J59" i="4"/>
  <c r="L59" i="4"/>
  <c r="M59" i="4" s="1"/>
  <c r="O59" i="4"/>
  <c r="P59" i="4"/>
  <c r="Q59" i="4"/>
  <c r="H60" i="4"/>
  <c r="I60" i="4"/>
  <c r="J60" i="4"/>
  <c r="L60" i="4"/>
  <c r="N60" i="4" s="1"/>
  <c r="T60" i="4" s="1"/>
  <c r="O60" i="4"/>
  <c r="P60" i="4"/>
  <c r="Q60" i="4"/>
  <c r="H63" i="4"/>
  <c r="I63" i="4"/>
  <c r="T63" i="4" s="1"/>
  <c r="J63" i="4"/>
  <c r="L63" i="4"/>
  <c r="P63" i="4"/>
  <c r="Q63" i="4"/>
  <c r="H64" i="4"/>
  <c r="I64" i="4"/>
  <c r="T64" i="4" s="1"/>
  <c r="J64" i="4"/>
  <c r="L64" i="4"/>
  <c r="P64" i="4"/>
  <c r="Q64" i="4"/>
  <c r="H72" i="4"/>
  <c r="I72" i="4"/>
  <c r="J72" i="4"/>
  <c r="L72" i="4"/>
  <c r="O72" i="4"/>
  <c r="P72" i="4"/>
  <c r="Q72" i="4"/>
  <c r="H73" i="4"/>
  <c r="I73" i="4"/>
  <c r="J73" i="4"/>
  <c r="L73" i="4"/>
  <c r="O73" i="4"/>
  <c r="P73" i="4"/>
  <c r="Q73" i="4"/>
  <c r="H74" i="4"/>
  <c r="I74" i="4"/>
  <c r="J74" i="4"/>
  <c r="L74" i="4"/>
  <c r="O74" i="4"/>
  <c r="P74" i="4"/>
  <c r="Q74" i="4"/>
  <c r="H75" i="4"/>
  <c r="I75" i="4"/>
  <c r="J75" i="4"/>
  <c r="L75" i="4"/>
  <c r="O75" i="4"/>
  <c r="P75" i="4"/>
  <c r="Q75" i="4"/>
  <c r="H78" i="4"/>
  <c r="I78" i="4"/>
  <c r="L78" i="4"/>
  <c r="O78" i="4"/>
  <c r="P78" i="4"/>
  <c r="Q78" i="4"/>
  <c r="H79" i="4"/>
  <c r="I79" i="4"/>
  <c r="M79" i="4"/>
  <c r="N79" i="4"/>
  <c r="O79" i="4"/>
  <c r="P79" i="4"/>
  <c r="Q79" i="4"/>
  <c r="H80" i="4"/>
  <c r="I80" i="4"/>
  <c r="L80" i="4"/>
  <c r="M80" i="4" s="1"/>
  <c r="O80" i="4"/>
  <c r="P80" i="4"/>
  <c r="Q80" i="4"/>
  <c r="H83" i="4"/>
  <c r="I83" i="4"/>
  <c r="J83" i="4"/>
  <c r="L83" i="4"/>
  <c r="N83" i="4" s="1"/>
  <c r="T83" i="4" s="1"/>
  <c r="O83" i="4"/>
  <c r="P83" i="4"/>
  <c r="I84" i="4"/>
  <c r="H84" i="4" s="1"/>
  <c r="J84" i="4"/>
  <c r="O84" i="4" s="1"/>
  <c r="N84" i="4"/>
  <c r="P84" i="4"/>
  <c r="H87" i="4"/>
  <c r="I87" i="4"/>
  <c r="O87" i="4" s="1"/>
  <c r="M87" i="4"/>
  <c r="N87" i="4"/>
  <c r="P87" i="4"/>
  <c r="H88" i="4"/>
  <c r="I88" i="4"/>
  <c r="O88" i="4"/>
  <c r="M88" i="4"/>
  <c r="N88" i="4"/>
  <c r="P88" i="4"/>
  <c r="H89" i="4"/>
  <c r="I89" i="4"/>
  <c r="O89" i="4" s="1"/>
  <c r="M89" i="4"/>
  <c r="N89" i="4"/>
  <c r="P89" i="4"/>
  <c r="H92" i="4"/>
  <c r="I92" i="4"/>
  <c r="T92" i="4" s="1"/>
  <c r="J92" i="4"/>
  <c r="P92" i="4"/>
  <c r="H93" i="4"/>
  <c r="I93" i="4"/>
  <c r="T93" i="4" s="1"/>
  <c r="J93" i="4"/>
  <c r="P93" i="4"/>
  <c r="H94" i="4"/>
  <c r="I94" i="4"/>
  <c r="J94" i="4"/>
  <c r="P94" i="4"/>
  <c r="H98" i="4"/>
  <c r="I98" i="4"/>
  <c r="J98" i="4"/>
  <c r="P98" i="4"/>
  <c r="H99" i="4"/>
  <c r="T99" i="4" s="1"/>
  <c r="I99" i="4"/>
  <c r="J99" i="4"/>
  <c r="P99" i="4"/>
  <c r="H102" i="4"/>
  <c r="T102" i="4"/>
  <c r="P102" i="4"/>
  <c r="H103" i="4"/>
  <c r="T103" i="4"/>
  <c r="P103" i="4"/>
  <c r="H108" i="4"/>
  <c r="K108" i="4"/>
  <c r="N108" i="4" s="1"/>
  <c r="L108" i="4"/>
  <c r="O108" i="4"/>
  <c r="P108" i="4"/>
  <c r="Q108" i="4"/>
  <c r="H111" i="4"/>
  <c r="T111" i="4"/>
  <c r="J111" i="4"/>
  <c r="P111" i="4"/>
  <c r="H112" i="4"/>
  <c r="T112" i="4"/>
  <c r="J112" i="4"/>
  <c r="P112" i="4"/>
  <c r="H113" i="4"/>
  <c r="T113" i="4"/>
  <c r="J113" i="4"/>
  <c r="P113" i="4"/>
  <c r="H116" i="4"/>
  <c r="I116" i="4"/>
  <c r="J116" i="4"/>
  <c r="P116" i="4"/>
  <c r="H117" i="4"/>
  <c r="I117" i="4"/>
  <c r="J117" i="4"/>
  <c r="P117" i="4"/>
  <c r="H118" i="4"/>
  <c r="I118" i="4"/>
  <c r="J118" i="4"/>
  <c r="P118" i="4"/>
  <c r="H121" i="4"/>
  <c r="T121" i="4"/>
  <c r="P121" i="4"/>
  <c r="H122" i="4"/>
  <c r="T122" i="4"/>
  <c r="P122" i="4"/>
  <c r="H123" i="4"/>
  <c r="T123" i="4"/>
  <c r="P123" i="4"/>
  <c r="H126" i="4"/>
  <c r="I126" i="4"/>
  <c r="T126" i="4" s="1"/>
  <c r="P126" i="4"/>
  <c r="I136" i="4"/>
  <c r="O136" i="4" s="1"/>
  <c r="H136" i="4"/>
  <c r="M136" i="4"/>
  <c r="N136" i="4"/>
  <c r="P136" i="4"/>
  <c r="R136" i="4"/>
  <c r="T136" i="4" s="1"/>
  <c r="H137" i="4"/>
  <c r="I137" i="4"/>
  <c r="O137" i="4" s="1"/>
  <c r="M137" i="4"/>
  <c r="N137" i="4"/>
  <c r="R137" i="4"/>
  <c r="H140" i="4"/>
  <c r="I140" i="4"/>
  <c r="O140" i="4" s="1"/>
  <c r="N140" i="4"/>
  <c r="H141" i="4"/>
  <c r="I141" i="4"/>
  <c r="O141" i="4" s="1"/>
  <c r="T141" i="4" s="1"/>
  <c r="N141" i="4"/>
  <c r="H144" i="4"/>
  <c r="L144" i="4"/>
  <c r="M144" i="4" s="1"/>
  <c r="O144" i="4"/>
  <c r="R144" i="4"/>
  <c r="H145" i="4"/>
  <c r="T145" i="4" s="1"/>
  <c r="K145" i="4"/>
  <c r="N145" i="4" s="1"/>
  <c r="O145" i="4"/>
  <c r="R145" i="4"/>
  <c r="H146" i="4"/>
  <c r="T146" i="4" s="1"/>
  <c r="M146" i="4"/>
  <c r="N146" i="4"/>
  <c r="O146" i="4"/>
  <c r="R146" i="4"/>
  <c r="H149" i="4"/>
  <c r="M149" i="4"/>
  <c r="N149" i="4"/>
  <c r="O149" i="4"/>
  <c r="T149" i="4" s="1"/>
  <c r="P149" i="4"/>
  <c r="H150" i="4"/>
  <c r="M150" i="4"/>
  <c r="N150" i="4"/>
  <c r="T150" i="4" s="1"/>
  <c r="O150" i="4"/>
  <c r="P150" i="4"/>
  <c r="H153" i="4"/>
  <c r="M153" i="4"/>
  <c r="N153" i="4"/>
  <c r="O153" i="4"/>
  <c r="P153" i="4"/>
  <c r="H154" i="4"/>
  <c r="M154" i="4"/>
  <c r="N154" i="4"/>
  <c r="O154" i="4"/>
  <c r="P154" i="4"/>
  <c r="H157" i="4"/>
  <c r="M157" i="4"/>
  <c r="N157" i="4"/>
  <c r="O157" i="4"/>
  <c r="T157" i="4" s="1"/>
  <c r="P157" i="4"/>
  <c r="H158" i="4"/>
  <c r="M158" i="4"/>
  <c r="N158" i="4"/>
  <c r="O158" i="4"/>
  <c r="P158" i="4"/>
  <c r="H161" i="4"/>
  <c r="I161" i="4"/>
  <c r="O161" i="4" s="1"/>
  <c r="T161" i="4" s="1"/>
  <c r="M161" i="4"/>
  <c r="N161" i="4"/>
  <c r="H162" i="4"/>
  <c r="I162" i="4"/>
  <c r="O162" i="4" s="1"/>
  <c r="M162" i="4"/>
  <c r="N162" i="4"/>
  <c r="H165" i="4"/>
  <c r="I165" i="4"/>
  <c r="T165" i="4" s="1"/>
  <c r="M165" i="4"/>
  <c r="N165" i="4"/>
  <c r="I169" i="4"/>
  <c r="P169" i="4"/>
  <c r="Q169" i="4"/>
  <c r="I170" i="4"/>
  <c r="H170" i="4" s="1"/>
  <c r="P170" i="4"/>
  <c r="Q170" i="4"/>
  <c r="H171" i="4"/>
  <c r="I171" i="4"/>
  <c r="P171" i="4"/>
  <c r="Q171" i="4"/>
  <c r="H172" i="4"/>
  <c r="I172" i="4"/>
  <c r="P172" i="4"/>
  <c r="Q172" i="4"/>
  <c r="H175" i="4"/>
  <c r="K175" i="4"/>
  <c r="L175" i="4"/>
  <c r="O175" i="4"/>
  <c r="P175" i="4"/>
  <c r="Q175" i="4"/>
  <c r="R175" i="4"/>
  <c r="H176" i="4"/>
  <c r="K176" i="4"/>
  <c r="M176" i="4" s="1"/>
  <c r="L176" i="4"/>
  <c r="O176" i="4"/>
  <c r="P176" i="4"/>
  <c r="Q176" i="4"/>
  <c r="R176" i="4"/>
  <c r="H179" i="4"/>
  <c r="M179" i="4"/>
  <c r="N179" i="4"/>
  <c r="O179" i="4"/>
  <c r="P179" i="4"/>
  <c r="R179" i="4"/>
  <c r="H180" i="4"/>
  <c r="M180" i="4"/>
  <c r="N180" i="4"/>
  <c r="O180" i="4"/>
  <c r="P180" i="4"/>
  <c r="R180" i="4"/>
  <c r="H181" i="4"/>
  <c r="K181" i="4"/>
  <c r="L181" i="4"/>
  <c r="O181" i="4"/>
  <c r="P181" i="4"/>
  <c r="R181" i="4"/>
  <c r="F185" i="4"/>
  <c r="G185" i="4"/>
  <c r="K185" i="4"/>
  <c r="L185" i="4"/>
  <c r="O185" i="4"/>
  <c r="P185" i="4"/>
  <c r="Q185" i="4"/>
  <c r="R185" i="4"/>
  <c r="F187" i="4"/>
  <c r="K187" i="4"/>
  <c r="L187" i="4"/>
  <c r="O187" i="4"/>
  <c r="P187" i="4"/>
  <c r="Q187" i="4"/>
  <c r="R187" i="4"/>
  <c r="F188" i="4"/>
  <c r="G188" i="4"/>
  <c r="K188" i="4"/>
  <c r="M188" i="4" s="1"/>
  <c r="L188" i="4"/>
  <c r="O188" i="4"/>
  <c r="P188" i="4"/>
  <c r="Q188" i="4"/>
  <c r="R188" i="4"/>
  <c r="F190" i="4"/>
  <c r="H190" i="4" s="1"/>
  <c r="K190" i="4"/>
  <c r="L190" i="4"/>
  <c r="O190" i="4"/>
  <c r="P190" i="4"/>
  <c r="Q190" i="4"/>
  <c r="R190" i="4"/>
  <c r="H193" i="4"/>
  <c r="I193" i="4"/>
  <c r="O193" i="4" s="1"/>
  <c r="M193" i="4"/>
  <c r="N193" i="4"/>
  <c r="H194" i="4"/>
  <c r="I194" i="4"/>
  <c r="O194" i="4" s="1"/>
  <c r="K194" i="4"/>
  <c r="M194" i="4" s="1"/>
  <c r="G197" i="4"/>
  <c r="H197" i="4" s="1"/>
  <c r="M197" i="4"/>
  <c r="N197" i="4"/>
  <c r="O197" i="4"/>
  <c r="P197" i="4"/>
  <c r="Q197" i="4"/>
  <c r="H198" i="4"/>
  <c r="K198" i="4"/>
  <c r="M198" i="4" s="1"/>
  <c r="O198" i="4"/>
  <c r="P198" i="4"/>
  <c r="Q198" i="4"/>
  <c r="H201" i="4"/>
  <c r="I201" i="4"/>
  <c r="P201" i="4"/>
  <c r="Q201" i="4"/>
  <c r="H202" i="4"/>
  <c r="I202" i="4"/>
  <c r="P202" i="4"/>
  <c r="Q202" i="4"/>
  <c r="H203" i="4"/>
  <c r="I203" i="4"/>
  <c r="P203" i="4"/>
  <c r="Q203" i="4"/>
  <c r="H206" i="4"/>
  <c r="I206" i="4"/>
  <c r="T206" i="4" s="1"/>
  <c r="P206" i="4"/>
  <c r="Q206" i="4"/>
  <c r="H210" i="4"/>
  <c r="N210" i="4"/>
  <c r="O210" i="4"/>
  <c r="T210" i="4" s="1"/>
  <c r="P210" i="4"/>
  <c r="Q210" i="4"/>
  <c r="H213" i="4"/>
  <c r="M213" i="4"/>
  <c r="N213" i="4"/>
  <c r="O213" i="4"/>
  <c r="P213" i="4"/>
  <c r="Q213" i="4"/>
  <c r="H217" i="4"/>
  <c r="I217" i="4"/>
  <c r="N217" i="4"/>
  <c r="O217" i="4"/>
  <c r="P217" i="4"/>
  <c r="Q217" i="4"/>
  <c r="H218" i="4"/>
  <c r="I218" i="4"/>
  <c r="K218" i="4"/>
  <c r="N218" i="4" s="1"/>
  <c r="O218" i="4"/>
  <c r="P218" i="4"/>
  <c r="Q218" i="4"/>
  <c r="H219" i="4"/>
  <c r="I219" i="4"/>
  <c r="K219" i="4"/>
  <c r="M219" i="4" s="1"/>
  <c r="O219" i="4"/>
  <c r="P219" i="4"/>
  <c r="Q219" i="4"/>
  <c r="H222" i="4"/>
  <c r="I222" i="4"/>
  <c r="J222" i="4"/>
  <c r="M222" i="4"/>
  <c r="P222" i="4"/>
  <c r="Q222" i="4"/>
  <c r="H225" i="4"/>
  <c r="I225" i="4"/>
  <c r="M225" i="4"/>
  <c r="N225" i="4"/>
  <c r="O225" i="4"/>
  <c r="P225" i="4"/>
  <c r="Q225" i="4"/>
  <c r="H226" i="4"/>
  <c r="I226" i="4"/>
  <c r="M226" i="4"/>
  <c r="N226" i="4"/>
  <c r="O226" i="4"/>
  <c r="P226" i="4"/>
  <c r="Q226" i="4"/>
  <c r="H227" i="4"/>
  <c r="I227" i="4"/>
  <c r="M227" i="4"/>
  <c r="N227" i="4"/>
  <c r="O227" i="4"/>
  <c r="P227" i="4"/>
  <c r="Q227" i="4"/>
  <c r="H230" i="4"/>
  <c r="I230" i="4"/>
  <c r="T230" i="4" s="1"/>
  <c r="P230" i="4"/>
  <c r="I231" i="4"/>
  <c r="H231" i="4" s="1"/>
  <c r="M231" i="4"/>
  <c r="N231" i="4"/>
  <c r="P231" i="4"/>
  <c r="H232" i="4"/>
  <c r="M232" i="4"/>
  <c r="N232" i="4"/>
  <c r="O232" i="4"/>
  <c r="P232" i="4"/>
  <c r="H235" i="4"/>
  <c r="I235" i="4"/>
  <c r="N235" i="4"/>
  <c r="O235" i="4"/>
  <c r="P235" i="4"/>
  <c r="Q235" i="4"/>
  <c r="H236" i="4"/>
  <c r="I236" i="4"/>
  <c r="M236" i="4"/>
  <c r="N236" i="4"/>
  <c r="O236" i="4"/>
  <c r="P236" i="4"/>
  <c r="Q236" i="4"/>
  <c r="H237" i="4"/>
  <c r="I237" i="4"/>
  <c r="M237" i="4"/>
  <c r="N237" i="4"/>
  <c r="O237" i="4"/>
  <c r="P237" i="4"/>
  <c r="Q237" i="4"/>
  <c r="H240" i="4"/>
  <c r="M240" i="4"/>
  <c r="N240" i="4"/>
  <c r="O240" i="4"/>
  <c r="P240" i="4"/>
  <c r="R240" i="4"/>
  <c r="H241" i="4"/>
  <c r="M241" i="4"/>
  <c r="N241" i="4"/>
  <c r="O241" i="4"/>
  <c r="P241" i="4"/>
  <c r="R241" i="4"/>
  <c r="H242" i="4"/>
  <c r="N242" i="4"/>
  <c r="O242" i="4"/>
  <c r="P242" i="4"/>
  <c r="R242" i="4"/>
  <c r="H245" i="4"/>
  <c r="T245" i="4" s="1"/>
  <c r="M245" i="4"/>
  <c r="N245" i="4"/>
  <c r="O245" i="4"/>
  <c r="P245" i="4"/>
  <c r="H246" i="4"/>
  <c r="N246" i="4"/>
  <c r="O246" i="4"/>
  <c r="P246" i="4"/>
  <c r="H247" i="4"/>
  <c r="M247" i="4"/>
  <c r="N247" i="4"/>
  <c r="O247" i="4"/>
  <c r="P247" i="4"/>
  <c r="I250" i="4"/>
  <c r="H250" i="4"/>
  <c r="J250" i="4"/>
  <c r="P250" i="4"/>
  <c r="H251" i="4"/>
  <c r="I251" i="4"/>
  <c r="J251" i="4"/>
  <c r="P251" i="4"/>
  <c r="H252" i="4"/>
  <c r="I252" i="4"/>
  <c r="J252" i="4"/>
  <c r="P252" i="4"/>
  <c r="M44" i="4"/>
  <c r="T98" i="4"/>
  <c r="N56" i="4"/>
  <c r="M53" i="4"/>
  <c r="M20" i="4"/>
  <c r="N194" i="4"/>
  <c r="N27" i="4"/>
  <c r="H187" i="4"/>
  <c r="I187" i="4" s="1"/>
  <c r="N13" i="4"/>
  <c r="N59" i="4"/>
  <c r="T59" i="4" s="1"/>
  <c r="M18" i="4"/>
  <c r="M12" i="4"/>
  <c r="M132" i="4"/>
  <c r="M131" i="4"/>
  <c r="T94" i="4"/>
  <c r="N14" i="4"/>
  <c r="M39" i="4"/>
  <c r="M133" i="4"/>
  <c r="T106" i="4" l="1"/>
  <c r="T108" i="4"/>
  <c r="N55" i="4"/>
  <c r="O165" i="4"/>
  <c r="T241" i="4"/>
  <c r="T197" i="4"/>
  <c r="M185" i="4"/>
  <c r="T140" i="4"/>
  <c r="T117" i="4"/>
  <c r="T75" i="4"/>
  <c r="T50" i="4"/>
  <c r="M49" i="4"/>
  <c r="M31" i="4"/>
  <c r="H18" i="4"/>
  <c r="M17" i="4"/>
  <c r="T154" i="4"/>
  <c r="T27" i="4"/>
  <c r="T247" i="4"/>
  <c r="T246" i="4"/>
  <c r="T88" i="4"/>
  <c r="N80" i="4"/>
  <c r="T80" i="4" s="1"/>
  <c r="M56" i="4"/>
  <c r="M43" i="4"/>
  <c r="M19" i="4"/>
  <c r="N131" i="4"/>
  <c r="T237" i="4"/>
  <c r="N219" i="4"/>
  <c r="T217" i="4"/>
  <c r="T213" i="4"/>
  <c r="T194" i="4"/>
  <c r="T79" i="4"/>
  <c r="T73" i="4"/>
  <c r="N44" i="4"/>
  <c r="T44" i="4" s="1"/>
  <c r="H133" i="4"/>
  <c r="J133" i="4" s="1"/>
  <c r="T84" i="4"/>
  <c r="T15" i="4"/>
  <c r="T131" i="4"/>
  <c r="T132" i="4"/>
  <c r="T55" i="4"/>
  <c r="M15" i="4"/>
  <c r="T232" i="4"/>
  <c r="T231" i="4"/>
  <c r="T193" i="4"/>
  <c r="H188" i="4"/>
  <c r="H185" i="4"/>
  <c r="T162" i="4"/>
  <c r="T153" i="4"/>
  <c r="M50" i="4"/>
  <c r="T49" i="4"/>
  <c r="M28" i="4"/>
  <c r="H20" i="4"/>
  <c r="T20" i="4" s="1"/>
  <c r="H14" i="4"/>
  <c r="T14" i="4" s="1"/>
  <c r="N12" i="4"/>
  <c r="T189" i="4"/>
  <c r="T242" i="4"/>
  <c r="T236" i="4"/>
  <c r="T226" i="4"/>
  <c r="T53" i="4"/>
  <c r="N43" i="4"/>
  <c r="T43" i="4" s="1"/>
  <c r="T186" i="4"/>
  <c r="T133" i="4"/>
  <c r="N198" i="4"/>
  <c r="N49" i="4"/>
  <c r="M186" i="4"/>
  <c r="T203" i="4"/>
  <c r="T202" i="4"/>
  <c r="T201" i="4"/>
  <c r="N188" i="4"/>
  <c r="N185" i="4"/>
  <c r="N181" i="4"/>
  <c r="N144" i="4"/>
  <c r="T144" i="4" s="1"/>
  <c r="T137" i="4"/>
  <c r="M83" i="4"/>
  <c r="T39" i="4"/>
  <c r="N35" i="4"/>
  <c r="T35" i="4" s="1"/>
  <c r="M32" i="4"/>
  <c r="T31" i="4"/>
  <c r="M13" i="4"/>
  <c r="M189" i="4"/>
  <c r="T240" i="4"/>
  <c r="M130" i="4"/>
  <c r="N130" i="4"/>
  <c r="T130" i="4" s="1"/>
  <c r="M35" i="4"/>
  <c r="T225" i="4"/>
  <c r="T218" i="4"/>
  <c r="N190" i="4"/>
  <c r="M36" i="4"/>
  <c r="H19" i="4"/>
  <c r="T19" i="4" s="1"/>
  <c r="N36" i="4"/>
  <c r="T36" i="4" s="1"/>
  <c r="N176" i="4"/>
  <c r="T176" i="4" s="1"/>
  <c r="N32" i="4"/>
  <c r="T32" i="4" s="1"/>
  <c r="T235" i="4"/>
  <c r="T198" i="4"/>
  <c r="N187" i="4"/>
  <c r="T187" i="4" s="1"/>
  <c r="T118" i="4"/>
  <c r="T89" i="4"/>
  <c r="T87" i="4"/>
  <c r="T72" i="4"/>
  <c r="M40" i="4"/>
  <c r="H17" i="4"/>
  <c r="T17" i="4" s="1"/>
  <c r="H12" i="4"/>
  <c r="M60" i="4"/>
  <c r="T18" i="4"/>
  <c r="M187" i="4"/>
  <c r="M190" i="4"/>
  <c r="T227" i="4"/>
  <c r="T219" i="4"/>
  <c r="I190" i="4"/>
  <c r="N175" i="4"/>
  <c r="T175" i="4" s="1"/>
  <c r="M175" i="4"/>
  <c r="T116" i="4"/>
  <c r="M78" i="4"/>
  <c r="N78" i="4"/>
  <c r="T78" i="4" s="1"/>
  <c r="T74" i="4"/>
  <c r="T56" i="4"/>
  <c r="N28" i="4"/>
  <c r="T28" i="4" s="1"/>
  <c r="M14" i="4"/>
  <c r="T185" i="4" l="1"/>
  <c r="T188" i="4"/>
  <c r="T12" i="4"/>
  <c r="T190" i="4"/>
</calcChain>
</file>

<file path=xl/sharedStrings.xml><?xml version="1.0" encoding="utf-8"?>
<sst xmlns="http://schemas.openxmlformats.org/spreadsheetml/2006/main" count="1898" uniqueCount="327">
  <si>
    <t>说明书 Introduction</t>
  </si>
  <si>
    <r>
      <t xml:space="preserve">
</t>
    </r>
    <r>
      <rPr>
        <sz val="12"/>
        <color indexed="30"/>
        <rFont val="宋体"/>
        <charset val="134"/>
      </rPr>
      <t>1.圣遗物副词条</t>
    </r>
    <r>
      <rPr>
        <sz val="12"/>
        <color indexed="10"/>
        <rFont val="宋体"/>
        <charset val="134"/>
      </rPr>
      <t xml:space="preserve">
①24词条毕业水准，大前提为养成周期30天；
</t>
    </r>
    <r>
      <rPr>
        <sz val="12"/>
        <rFont val="宋体"/>
        <charset val="134"/>
      </rPr>
      <t>②词条数分配双暴18条；
③主要有效属性6条（如，大攻击，大防御等）；
④有一种次要有效属性额外补4条（如，胡桃80精通）；
⑤有两种次要有效属性总共补3+3条（如，香菱）；
⑥单有效词条角色，14条（如心海的大生命）；
⑦三精通风系角色，花和羽毛总计8条精通。</t>
    </r>
    <r>
      <rPr>
        <sz val="12"/>
        <color indexed="10"/>
        <rFont val="宋体"/>
        <charset val="134"/>
      </rPr>
      <t xml:space="preserve">
</t>
    </r>
  </si>
  <si>
    <r>
      <t xml:space="preserve">2.装备、命座
</t>
    </r>
    <r>
      <rPr>
        <sz val="12"/>
        <rFont val="宋体"/>
        <charset val="134"/>
      </rPr>
      <t>①武器角色皆为90级
②五星武器默认精1；
③四星祈愿/活动武器默认精5；
④四星锻造/纪行武器默认精3；
⑤五星角色默认0命，四星角色默认6命。</t>
    </r>
  </si>
  <si>
    <r>
      <t xml:space="preserve">3.天赋等级
</t>
    </r>
    <r>
      <rPr>
        <sz val="12"/>
        <rFont val="宋体"/>
        <charset val="134"/>
      </rPr>
      <t>①技能加点在优先级正确为前提
②每个角色三个天赋等级分别为10、9、8（+3）；
③理性思考，皇冠收益不满意的技能不点满；
④没必要升的技能写6级表示诚意（如，万叶E）；
⑤完全无用的技能写2级刷存在感（如，雷神A）。</t>
    </r>
  </si>
  <si>
    <r>
      <t xml:space="preserve">
4.面板细则
</t>
    </r>
    <r>
      <rPr>
        <sz val="12"/>
        <rFont val="宋体"/>
        <charset val="134"/>
      </rPr>
      <t>①非冰系面板暴率计80%为上限，多余部分换算为等额暴伤；
②规定在突破、天赋、武器等都不加暴率的情况下，面板至多70%暴率（如护摩胡桃）；
③冰系考虑双冰、冰套考虑冻结。现有面板再加上这些buff后，以暴率90%封顶，甘雨蓄力箭100%暴率封顶；
④表格中的是面板值，若无特别说明则已隐藏buff值；
⑤若双暴对该角色没有意义，用any（任意）表示。</t>
    </r>
    <r>
      <rPr>
        <sz val="12"/>
        <color indexed="30"/>
        <rFont val="宋体"/>
        <charset val="134"/>
      </rPr>
      <t xml:space="preserve">
</t>
    </r>
  </si>
  <si>
    <r>
      <t>5.伤害/数值预估细则</t>
    </r>
    <r>
      <rPr>
        <sz val="12"/>
        <rFont val="宋体"/>
        <charset val="134"/>
      </rPr>
      <t xml:space="preserve">
①默认已暴击；给出的是暴击时伤害（因为比期望直观）；
②取一种容易实测且有实战评估价值的动作做数值预估；
③怪物模型：90级，10%抗性；</t>
    </r>
  </si>
  <si>
    <t>④岩系护盾的盾值计入了普遍生效的150%吸收量。钟离计入千岩4给全队提供的30%护盾强效，其余情况默认为基础盾值；
⑤烟绯是四层重击，可莉带金花；</t>
  </si>
  <si>
    <t>⑥结合实战经验，伤害预估时，不计狼末被动，岩系武器计带盾满层。
⑦香菱实战常绑班尼特，所以这里伤害是计入点赞+1202攻击的伤害，但面板计双火隐藏点赞buff。</t>
  </si>
  <si>
    <t>⑧流浪乐章算触发一种有效的被动；</t>
  </si>
  <si>
    <t>角色</t>
  </si>
  <si>
    <t>武器</t>
  </si>
  <si>
    <t>套装</t>
  </si>
  <si>
    <t>主词条</t>
  </si>
  <si>
    <t>技能</t>
  </si>
  <si>
    <t>角色白值</t>
  </si>
  <si>
    <t>武器白值</t>
  </si>
  <si>
    <t>实际攻击</t>
  </si>
  <si>
    <t>生命</t>
  </si>
  <si>
    <t>元素精通</t>
  </si>
  <si>
    <t>额外暴率</t>
  </si>
  <si>
    <t>额外暴伤</t>
  </si>
  <si>
    <t>暴率</t>
  </si>
  <si>
    <t>暴伤</t>
  </si>
  <si>
    <t>增伤</t>
  </si>
  <si>
    <t>防御区</t>
  </si>
  <si>
    <t>抗性区</t>
  </si>
  <si>
    <t>倍率</t>
  </si>
  <si>
    <t>动作</t>
  </si>
  <si>
    <t>数值预估</t>
  </si>
  <si>
    <t>胡桃</t>
  </si>
  <si>
    <t>护摩之杖</t>
  </si>
  <si>
    <t>追忆4</t>
  </si>
  <si>
    <t>生火暴</t>
  </si>
  <si>
    <t>10/9/8</t>
  </si>
  <si>
    <t>重击蒸发</t>
  </si>
  <si>
    <t>精火暴</t>
  </si>
  <si>
    <t>匣里灭辰</t>
  </si>
  <si>
    <t>魔女4</t>
  </si>
  <si>
    <t>充能效率</t>
  </si>
  <si>
    <t>托马</t>
  </si>
  <si>
    <t>西风长枪</t>
  </si>
  <si>
    <t>2旗印2千岩</t>
  </si>
  <si>
    <t>充生暴</t>
  </si>
  <si>
    <t>2/12/11</t>
  </si>
  <si>
    <t>any</t>
  </si>
  <si>
    <t>/</t>
  </si>
  <si>
    <t>满层护盾</t>
  </si>
  <si>
    <t>黑缨枪</t>
  </si>
  <si>
    <t>充生生</t>
  </si>
  <si>
    <t>宵宫</t>
  </si>
  <si>
    <t>飞雷之弦振</t>
  </si>
  <si>
    <t>攻火暴</t>
  </si>
  <si>
    <t>10/9/7</t>
  </si>
  <si>
    <t>开E首箭</t>
  </si>
  <si>
    <t>弓藏</t>
  </si>
  <si>
    <t>烟绯</t>
  </si>
  <si>
    <t>四风原典</t>
  </si>
  <si>
    <t>乐团4</t>
  </si>
  <si>
    <t>10/10/12</t>
  </si>
  <si>
    <t>开Q重击蒸发</t>
  </si>
  <si>
    <t>流浪乐章</t>
  </si>
  <si>
    <t>可莉</t>
  </si>
  <si>
    <t>金花重击蒸发</t>
  </si>
  <si>
    <t>迪卢克</t>
  </si>
  <si>
    <t>狼的末路</t>
  </si>
  <si>
    <t>Q蒸发</t>
  </si>
  <si>
    <t>螭骨剑</t>
  </si>
  <si>
    <t>防御力</t>
  </si>
  <si>
    <t>辛焱</t>
  </si>
  <si>
    <t>无工之剑</t>
  </si>
  <si>
    <t>2苍白2骑士</t>
  </si>
  <si>
    <t>攻物暴</t>
  </si>
  <si>
    <t>9/10/13</t>
  </si>
  <si>
    <t>Q横扫</t>
  </si>
  <si>
    <t>白影剑</t>
  </si>
  <si>
    <t>祭礼大剑</t>
  </si>
  <si>
    <t>千岩4</t>
  </si>
  <si>
    <t>防防防</t>
  </si>
  <si>
    <t>6/12/11</t>
  </si>
  <si>
    <t>E盾值</t>
  </si>
  <si>
    <t>安柏</t>
  </si>
  <si>
    <t>终末嗟叹之诗</t>
  </si>
  <si>
    <t>宗室4</t>
  </si>
  <si>
    <t>10/11/12</t>
  </si>
  <si>
    <t>Q总共</t>
  </si>
  <si>
    <t>阿莫斯之弓</t>
  </si>
  <si>
    <t>蓄力蒸发</t>
  </si>
  <si>
    <t>香菱</t>
  </si>
  <si>
    <t>天空之脊</t>
  </si>
  <si>
    <t>旗印4</t>
  </si>
  <si>
    <t>充火暴</t>
  </si>
  <si>
    <t>2/11/13</t>
  </si>
  <si>
    <t>Q踩班蒸发</t>
  </si>
  <si>
    <t>渔获</t>
  </si>
  <si>
    <t>班尼特</t>
  </si>
  <si>
    <t>风鹰剑</t>
  </si>
  <si>
    <t>天空之刃</t>
  </si>
  <si>
    <t>生命值</t>
  </si>
  <si>
    <t>少女4</t>
  </si>
  <si>
    <t>充生治</t>
  </si>
  <si>
    <t>Q治疗</t>
  </si>
  <si>
    <t>治疗加成</t>
  </si>
  <si>
    <t>珊瑚宫心海</t>
  </si>
  <si>
    <t>不灭月华</t>
  </si>
  <si>
    <t>海染4</t>
  </si>
  <si>
    <t>生水治</t>
  </si>
  <si>
    <t>6/8/10</t>
  </si>
  <si>
    <t>开Q普攻</t>
  </si>
  <si>
    <t>试做金珀</t>
  </si>
  <si>
    <t>讨龙英杰谭</t>
  </si>
  <si>
    <t>生生治</t>
  </si>
  <si>
    <t>6/9/8</t>
  </si>
  <si>
    <t>水母回血</t>
  </si>
  <si>
    <t>达达利亚</t>
  </si>
  <si>
    <t>冬极百星</t>
  </si>
  <si>
    <t>2沉沦2角斗</t>
  </si>
  <si>
    <t>攻水暴</t>
  </si>
  <si>
    <t>2/9/10</t>
  </si>
  <si>
    <t>近战Q蒸发</t>
  </si>
  <si>
    <t>天空之翼</t>
  </si>
  <si>
    <t>行秋</t>
  </si>
  <si>
    <t>祭礼剑</t>
  </si>
  <si>
    <t>2沉沦2宗室</t>
  </si>
  <si>
    <t>2/12/13</t>
  </si>
  <si>
    <t>Q剑雨</t>
  </si>
  <si>
    <t>磐岩结绿</t>
  </si>
  <si>
    <t>充水暴</t>
  </si>
  <si>
    <t>莫娜</t>
  </si>
  <si>
    <t>Q暴击蒸发</t>
  </si>
  <si>
    <t>Q暴击</t>
  </si>
  <si>
    <t>芭芭拉</t>
  </si>
  <si>
    <t>6/12/12</t>
  </si>
  <si>
    <t>Q瞬抬</t>
  </si>
  <si>
    <t>早柚</t>
  </si>
  <si>
    <t>翠绿4</t>
  </si>
  <si>
    <t>精攻治</t>
  </si>
  <si>
    <t>Q每次治疗</t>
  </si>
  <si>
    <t>西风大剑</t>
  </si>
  <si>
    <t>枫原万叶</t>
  </si>
  <si>
    <t>苍古自由之誓</t>
  </si>
  <si>
    <t>精精精</t>
  </si>
  <si>
    <t>6/6/6</t>
  </si>
  <si>
    <t>扩散</t>
  </si>
  <si>
    <t>铁蜂刺</t>
  </si>
  <si>
    <t>魈</t>
  </si>
  <si>
    <t>和璞鸢</t>
  </si>
  <si>
    <t>2翠绿2角斗</t>
  </si>
  <si>
    <t>攻风暴</t>
  </si>
  <si>
    <t>10/8/9</t>
  </si>
  <si>
    <t>开大首插</t>
  </si>
  <si>
    <t>决斗之枪</t>
  </si>
  <si>
    <t>温迪</t>
  </si>
  <si>
    <t>西风猎弓</t>
  </si>
  <si>
    <t>绝弦</t>
  </si>
  <si>
    <t>充精精</t>
  </si>
  <si>
    <t>琴</t>
  </si>
  <si>
    <t>腐殖之剑</t>
  </si>
  <si>
    <t>攻攻治</t>
  </si>
  <si>
    <t>6/9/10</t>
  </si>
  <si>
    <t>西风剑</t>
  </si>
  <si>
    <t>充攻治</t>
  </si>
  <si>
    <t>砂糖</t>
  </si>
  <si>
    <t>祭礼残章</t>
  </si>
  <si>
    <t>空/荧（风）</t>
  </si>
  <si>
    <t>雷电将军</t>
  </si>
  <si>
    <t>薙草之稻光</t>
  </si>
  <si>
    <t>充雷暴</t>
  </si>
  <si>
    <t>Q满层拔刀</t>
  </si>
  <si>
    <t>充攻暴</t>
  </si>
  <si>
    <t>九条裟罗</t>
  </si>
  <si>
    <t>6/13/12</t>
  </si>
  <si>
    <t>Q吃乌羽</t>
  </si>
  <si>
    <t>祭礼弓</t>
  </si>
  <si>
    <t>刻晴</t>
  </si>
  <si>
    <t>雾切之回光</t>
  </si>
  <si>
    <t>2如雷2角斗</t>
  </si>
  <si>
    <t>攻雷暴</t>
  </si>
  <si>
    <t>重击</t>
  </si>
  <si>
    <t>匣里龙吟</t>
  </si>
  <si>
    <t>雷泽</t>
  </si>
  <si>
    <t>角斗4</t>
  </si>
  <si>
    <t>普攻一段</t>
  </si>
  <si>
    <t>菲谢尔</t>
  </si>
  <si>
    <t>2/13/11</t>
  </si>
  <si>
    <t>奥兹攻击</t>
  </si>
  <si>
    <t>丽莎</t>
  </si>
  <si>
    <t>2雷2角斗</t>
  </si>
  <si>
    <t>8/13/12</t>
  </si>
  <si>
    <t>满层E</t>
  </si>
  <si>
    <t>8/12/13</t>
  </si>
  <si>
    <t>Q每段</t>
  </si>
  <si>
    <t>北斗</t>
  </si>
  <si>
    <t>6/12/13</t>
  </si>
  <si>
    <t>Q闪电链</t>
  </si>
  <si>
    <t>空/荧（雷）</t>
  </si>
  <si>
    <t>勾玉加充能</t>
  </si>
  <si>
    <t>申鹤</t>
  </si>
  <si>
    <t>息灾</t>
  </si>
  <si>
    <t>2角斗2追忆</t>
  </si>
  <si>
    <t>攻攻攻</t>
  </si>
  <si>
    <t>2/10/9</t>
  </si>
  <si>
    <t>Q伤害</t>
  </si>
  <si>
    <t>伤害预估</t>
  </si>
  <si>
    <t>神里绫华</t>
  </si>
  <si>
    <t>冰风4</t>
  </si>
  <si>
    <t>攻冰暴</t>
  </si>
  <si>
    <t>9/8/10</t>
  </si>
  <si>
    <t>霜灭切割</t>
  </si>
  <si>
    <t>天目影打刀</t>
  </si>
  <si>
    <t>优菈</t>
  </si>
  <si>
    <t>松籁响起之时</t>
  </si>
  <si>
    <t>苍白4</t>
  </si>
  <si>
    <t>Q13层光剑</t>
  </si>
  <si>
    <t>（eQAAAAEAAAA）</t>
  </si>
  <si>
    <t>甘雨</t>
  </si>
  <si>
    <t>霜华矢两段</t>
  </si>
  <si>
    <t>试做澹月</t>
  </si>
  <si>
    <t>凯亚</t>
  </si>
  <si>
    <t>6/11/13</t>
  </si>
  <si>
    <t>充冰暴</t>
  </si>
  <si>
    <t>重云</t>
  </si>
  <si>
    <t>2冰风2宗室</t>
  </si>
  <si>
    <t>七七</t>
  </si>
  <si>
    <t>6/9/9</t>
  </si>
  <si>
    <t>符文治疗</t>
  </si>
  <si>
    <t>笛剑</t>
  </si>
  <si>
    <t>迪奥娜</t>
  </si>
  <si>
    <t>2少女2千岩</t>
  </si>
  <si>
    <t>生生生</t>
  </si>
  <si>
    <t>长E盾值</t>
  </si>
  <si>
    <t>罗莎莉亚</t>
  </si>
  <si>
    <t>埃洛伊</t>
  </si>
  <si>
    <t>2冰风2角斗</t>
  </si>
  <si>
    <t>Q满线圈</t>
  </si>
  <si>
    <t>荒泷一斗</t>
  </si>
  <si>
    <t>赤角石溃杵</t>
  </si>
  <si>
    <t>华馆4</t>
  </si>
  <si>
    <t>防岩暴</t>
  </si>
  <si>
    <t>开Q重击连斩</t>
  </si>
  <si>
    <t>五郎</t>
  </si>
  <si>
    <t>流放4</t>
  </si>
  <si>
    <t>充岩暴</t>
  </si>
  <si>
    <t>Q每次</t>
  </si>
  <si>
    <t>def倍率</t>
  </si>
  <si>
    <t>阿贝多</t>
  </si>
  <si>
    <t>辰砂之纺锤</t>
  </si>
  <si>
    <t>2/10/8</t>
  </si>
  <si>
    <t>E刹那之花</t>
  </si>
  <si>
    <t>磐岩4</t>
  </si>
  <si>
    <t>钟离</t>
  </si>
  <si>
    <t>6/10/9</t>
  </si>
  <si>
    <t>E实际盾值</t>
  </si>
  <si>
    <t>Q开盾天星</t>
  </si>
  <si>
    <t>2磐岩2宗室</t>
  </si>
  <si>
    <t>生岩暴</t>
  </si>
  <si>
    <t>诺艾尔</t>
  </si>
  <si>
    <t>高达首刀</t>
  </si>
  <si>
    <t>凝光</t>
  </si>
  <si>
    <t>2磐岩2角斗</t>
  </si>
  <si>
    <t>攻岩暴</t>
  </si>
  <si>
    <t>9/12/13</t>
  </si>
  <si>
    <t>Q每颗</t>
  </si>
  <si>
    <t>尘世之锁</t>
  </si>
  <si>
    <t>空/荧（岩）</t>
  </si>
  <si>
    <t>Q每波</t>
  </si>
  <si>
    <t>黑剑</t>
  </si>
  <si>
    <t>防御</t>
  </si>
  <si>
    <t>云堇</t>
  </si>
  <si>
    <t>防防暴</t>
  </si>
  <si>
    <t>北斗攻击bug（已编辑</t>
  </si>
  <si>
    <t>芭芭拉生命加成（已编辑</t>
  </si>
  <si>
    <t>心海金珀（已编辑</t>
  </si>
  <si>
    <t>18+6（已编辑</t>
  </si>
  <si>
    <t>钟离8条大生命对齐万叶（已编辑</t>
  </si>
  <si>
    <t>行秋、托马写出充能（已编辑</t>
  </si>
  <si>
    <t>阿贝多加上千岩4（已编辑</t>
  </si>
  <si>
    <t>2.4版本：</t>
  </si>
  <si>
    <r>
      <t>添加</t>
    </r>
    <r>
      <rPr>
        <sz val="12"/>
        <color indexed="30"/>
        <rFont val="宋体"/>
        <charset val="134"/>
      </rPr>
      <t>申鹤</t>
    </r>
    <r>
      <rPr>
        <sz val="12"/>
        <rFont val="宋体"/>
        <charset val="134"/>
      </rPr>
      <t>相关数据</t>
    </r>
  </si>
  <si>
    <r>
      <t>添加</t>
    </r>
    <r>
      <rPr>
        <sz val="12"/>
        <color indexed="30"/>
        <rFont val="宋体"/>
        <charset val="134"/>
      </rPr>
      <t>云堇</t>
    </r>
    <r>
      <rPr>
        <sz val="12"/>
        <rFont val="宋体"/>
        <charset val="134"/>
      </rPr>
      <t>相关数据</t>
    </r>
  </si>
  <si>
    <r>
      <t>香菱</t>
    </r>
    <r>
      <rPr>
        <sz val="12"/>
        <rFont val="宋体"/>
        <charset val="134"/>
      </rPr>
      <t>攻击修正</t>
    </r>
  </si>
  <si>
    <r>
      <t>班尼特</t>
    </r>
    <r>
      <rPr>
        <sz val="12"/>
        <rFont val="宋体"/>
        <charset val="134"/>
      </rPr>
      <t>添加奶妈思路，两行，添加充能效率数据</t>
    </r>
  </si>
  <si>
    <r>
      <t>芭芭拉</t>
    </r>
    <r>
      <rPr>
        <sz val="12"/>
        <rFont val="宋体"/>
        <charset val="134"/>
      </rPr>
      <t>生命值修正，相应治疗数据变化</t>
    </r>
  </si>
  <si>
    <r>
      <t>甘雨</t>
    </r>
    <r>
      <rPr>
        <sz val="12"/>
        <rFont val="宋体"/>
        <charset val="134"/>
      </rPr>
      <t>试做攻击修正</t>
    </r>
  </si>
  <si>
    <r>
      <t>荒泷一斗</t>
    </r>
    <r>
      <rPr>
        <sz val="12"/>
        <rFont val="宋体"/>
        <charset val="134"/>
      </rPr>
      <t>添加白影剑的数据</t>
    </r>
  </si>
  <si>
    <r>
      <t>五郎</t>
    </r>
    <r>
      <rPr>
        <sz val="12"/>
        <rFont val="宋体"/>
        <charset val="134"/>
      </rPr>
      <t>添加充能效率数据</t>
    </r>
  </si>
  <si>
    <t>“如雷角斗4件套”bug</t>
  </si>
  <si>
    <t>魈攻击</t>
  </si>
  <si>
    <t>八重神子</t>
    <phoneticPr fontId="3" type="noConversion"/>
  </si>
  <si>
    <t>2.5版本：</t>
    <phoneticPr fontId="3" type="noConversion"/>
  </si>
  <si>
    <t>添加八重神子相关数据</t>
    <phoneticPr fontId="3" type="noConversion"/>
  </si>
  <si>
    <t>作图里菲谢尔、刻晴是2+2</t>
    <phoneticPr fontId="3" type="noConversion"/>
  </si>
  <si>
    <t>试做澹月</t>
    <phoneticPr fontId="3" type="noConversion"/>
  </si>
  <si>
    <t>神乐之真意</t>
    <phoneticPr fontId="3" type="noConversion"/>
  </si>
  <si>
    <t>平雷4</t>
    <phoneticPr fontId="3" type="noConversion"/>
  </si>
  <si>
    <t>7/10/9</t>
    <phoneticPr fontId="3" type="noConversion"/>
  </si>
  <si>
    <t>元素精通</t>
    <phoneticPr fontId="3" type="noConversion"/>
  </si>
  <si>
    <t>杀生樱落雷</t>
    <phoneticPr fontId="3" type="noConversion"/>
  </si>
  <si>
    <t>天空之卷</t>
    <phoneticPr fontId="3" type="noConversion"/>
  </si>
  <si>
    <t>匣里日月</t>
    <phoneticPr fontId="3" type="noConversion"/>
  </si>
  <si>
    <t>流浪乐章</t>
    <phoneticPr fontId="3" type="noConversion"/>
  </si>
  <si>
    <t>破魔之弓</t>
    <phoneticPr fontId="3" type="noConversion"/>
  </si>
  <si>
    <t>甘雨增加破魔之弓的数据</t>
    <phoneticPr fontId="3" type="noConversion"/>
  </si>
  <si>
    <t>优菈</t>
    <phoneticPr fontId="3" type="noConversion"/>
  </si>
  <si>
    <t>阿贝多</t>
    <phoneticPr fontId="3" type="noConversion"/>
  </si>
  <si>
    <t>甘雨</t>
    <phoneticPr fontId="3" type="noConversion"/>
  </si>
  <si>
    <t>八重</t>
    <phoneticPr fontId="3" type="noConversion"/>
  </si>
  <si>
    <t>魈</t>
    <phoneticPr fontId="3" type="noConversion"/>
  </si>
  <si>
    <t>丽莎</t>
    <phoneticPr fontId="3" type="noConversion"/>
  </si>
  <si>
    <t>神里绫人</t>
    <phoneticPr fontId="13" type="noConversion"/>
  </si>
  <si>
    <t>波乱月白经津</t>
    <phoneticPr fontId="13" type="noConversion"/>
  </si>
  <si>
    <t>回响4</t>
    <phoneticPr fontId="13" type="noConversion"/>
  </si>
  <si>
    <t>攻水暴</t>
    <phoneticPr fontId="13" type="noConversion"/>
  </si>
  <si>
    <t>6/10/9</t>
    <phoneticPr fontId="13" type="noConversion"/>
  </si>
  <si>
    <t>E首刀+回响</t>
    <phoneticPr fontId="13" type="noConversion"/>
  </si>
  <si>
    <t>磐岩结绿</t>
    <phoneticPr fontId="13" type="noConversion"/>
  </si>
  <si>
    <t>沉沦4</t>
    <phoneticPr fontId="13" type="noConversion"/>
  </si>
  <si>
    <t>E首刀+沉沦4</t>
    <phoneticPr fontId="13" type="noConversion"/>
  </si>
  <si>
    <t>黑剑</t>
    <phoneticPr fontId="13" type="noConversion"/>
  </si>
  <si>
    <t>辰砂4</t>
    <phoneticPr fontId="13" type="noConversion"/>
  </si>
  <si>
    <t>开大首插</t>
    <phoneticPr fontId="13" type="noConversion"/>
  </si>
  <si>
    <t>2.6版本</t>
  </si>
  <si>
    <t>修正钟离2+2的生命值</t>
  </si>
  <si>
    <t>修正风系角色的精通数值，以及对应的扩散伤害</t>
  </si>
  <si>
    <t>添加神里绫人的相关数据</t>
  </si>
  <si>
    <t>修正流浪丽莎和优菈的伤害预估数值</t>
  </si>
  <si>
    <t>修正魈的白值，以及对应的攻击、伤害预估</t>
  </si>
  <si>
    <t>魈的圣遗物更新为辰砂4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</si>
</sst>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6" x14ac:knownFonts="1">
    <font>
      <sz val="12"/>
      <name val="宋体"/>
      <charset val="134"/>
    </font>
    <font>
      <sz val="12"/>
      <color indexed="30"/>
      <name val="宋体"/>
      <charset val="134"/>
    </font>
    <font>
      <sz val="12"/>
      <color indexed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rgb="FF0070C0"/>
      <name val="宋体"/>
      <charset val="134"/>
    </font>
    <font>
      <sz val="12"/>
      <color theme="0" tint="-4.9989318521683403E-2"/>
      <name val="宋体"/>
      <charset val="134"/>
    </font>
    <font>
      <sz val="12"/>
      <color theme="2"/>
      <name val="宋体"/>
      <charset val="134"/>
    </font>
    <font>
      <b/>
      <sz val="16"/>
      <color rgb="FF0070C0"/>
      <name val="宋体"/>
      <charset val="134"/>
    </font>
    <font>
      <sz val="12"/>
      <color rgb="FFC00000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0070C0"/>
      <name val="宋体"/>
      <family val="3"/>
      <charset val="134"/>
    </font>
    <font>
      <sz val="12"/>
      <color theme="2" tint="-9.9978637043366805E-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9FEF1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BDEFFF"/>
        <bgColor indexed="64"/>
      </patternFill>
    </fill>
    <fill>
      <patternFill patternType="solid">
        <fgColor rgb="FFB7FFD8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rgb="FFFFE9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58">
    <xf numFmtId="0" fontId="0" fillId="0" borderId="0" xfId="0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177" fontId="15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2"/>
  <sheetViews>
    <sheetView topLeftCell="A91" zoomScale="90" zoomScaleSheetLayoutView="100" workbookViewId="0">
      <selection activeCell="T108" sqref="T108"/>
    </sheetView>
  </sheetViews>
  <sheetFormatPr defaultRowHeight="14.25" x14ac:dyDescent="0.15"/>
  <cols>
    <col min="1" max="1" width="12.875" style="3" customWidth="1"/>
    <col min="2" max="2" width="13.875" style="3" customWidth="1"/>
    <col min="3" max="3" width="12.875" style="3" customWidth="1"/>
    <col min="4" max="4" width="7.5" style="3" customWidth="1"/>
    <col min="5" max="5" width="9.5" style="4" customWidth="1"/>
    <col min="6" max="7" width="9.5" style="5" customWidth="1"/>
    <col min="8" max="8" width="9.5" style="6" customWidth="1"/>
    <col min="9" max="9" width="9.5" style="7" customWidth="1"/>
    <col min="10" max="10" width="9.5" style="8" customWidth="1"/>
    <col min="11" max="12" width="9.5" style="9" customWidth="1"/>
    <col min="13" max="13" width="7.5" style="10" customWidth="1"/>
    <col min="14" max="14" width="11.5" style="10" customWidth="1"/>
    <col min="15" max="15" width="8.5" style="9" customWidth="1"/>
    <col min="16" max="17" width="7.5" style="5" customWidth="1"/>
    <col min="18" max="18" width="9.5" style="9" customWidth="1"/>
    <col min="19" max="19" width="13.875" style="3" customWidth="1"/>
    <col min="20" max="20" width="10.625" style="6" customWidth="1"/>
  </cols>
  <sheetData>
    <row r="1" spans="1:23" ht="20.25" x14ac:dyDescent="0.15">
      <c r="A1" s="49" t="s">
        <v>0</v>
      </c>
      <c r="B1" s="49"/>
      <c r="C1" s="49"/>
      <c r="D1" s="49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49"/>
      <c r="T1" s="50"/>
    </row>
    <row r="2" spans="1:23" ht="30.95" customHeight="1" x14ac:dyDescent="0.15">
      <c r="A2" s="46" t="s">
        <v>1</v>
      </c>
      <c r="B2" s="46"/>
      <c r="C2" s="46"/>
      <c r="D2" s="46"/>
      <c r="E2" s="46"/>
      <c r="F2" s="47" t="s">
        <v>2</v>
      </c>
      <c r="G2" s="47"/>
      <c r="H2" s="47"/>
      <c r="I2" s="47"/>
      <c r="J2" s="47" t="s">
        <v>3</v>
      </c>
      <c r="K2" s="47"/>
      <c r="L2" s="47"/>
      <c r="M2" s="47"/>
      <c r="N2" s="47"/>
      <c r="O2" s="47" t="s">
        <v>4</v>
      </c>
      <c r="P2" s="47"/>
      <c r="Q2" s="47"/>
      <c r="R2" s="47"/>
      <c r="S2" s="47"/>
      <c r="T2" s="47"/>
      <c r="U2" s="14"/>
      <c r="V2" s="14"/>
      <c r="W2" s="14"/>
    </row>
    <row r="3" spans="1:23" ht="30.95" customHeight="1" x14ac:dyDescent="0.15">
      <c r="A3" s="46"/>
      <c r="B3" s="46"/>
      <c r="C3" s="46"/>
      <c r="D3" s="46"/>
      <c r="E3" s="46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14"/>
      <c r="V3" s="14"/>
      <c r="W3" s="14"/>
    </row>
    <row r="4" spans="1:23" ht="30.95" customHeight="1" x14ac:dyDescent="0.15">
      <c r="A4" s="46"/>
      <c r="B4" s="46"/>
      <c r="C4" s="46"/>
      <c r="D4" s="4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14"/>
      <c r="V4" s="14"/>
      <c r="W4" s="14"/>
    </row>
    <row r="5" spans="1:23" ht="30.95" customHeight="1" x14ac:dyDescent="0.15">
      <c r="A5" s="46"/>
      <c r="B5" s="46"/>
      <c r="C5" s="46"/>
      <c r="D5" s="46"/>
      <c r="E5" s="46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14"/>
      <c r="V5" s="14"/>
      <c r="W5" s="14"/>
    </row>
    <row r="6" spans="1:23" ht="30.95" customHeight="1" x14ac:dyDescent="0.15">
      <c r="A6" s="46"/>
      <c r="B6" s="46"/>
      <c r="C6" s="46"/>
      <c r="D6" s="46"/>
      <c r="E6" s="46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14"/>
      <c r="V6" s="14"/>
      <c r="W6" s="14"/>
    </row>
    <row r="7" spans="1:23" ht="26.1" customHeight="1" x14ac:dyDescent="0.15">
      <c r="A7" s="47" t="s">
        <v>5</v>
      </c>
      <c r="B7" s="48"/>
      <c r="C7" s="48"/>
      <c r="D7" s="48"/>
      <c r="E7" s="48"/>
      <c r="F7" s="48" t="s">
        <v>6</v>
      </c>
      <c r="G7" s="47"/>
      <c r="H7" s="47"/>
      <c r="I7" s="47"/>
      <c r="J7" s="48" t="s">
        <v>7</v>
      </c>
      <c r="K7" s="47"/>
      <c r="L7" s="47"/>
      <c r="M7" s="47"/>
      <c r="N7" s="47"/>
      <c r="O7" s="48" t="s">
        <v>8</v>
      </c>
      <c r="P7" s="47"/>
      <c r="Q7" s="47"/>
      <c r="R7" s="47"/>
      <c r="S7" s="47"/>
      <c r="T7" s="47"/>
      <c r="U7" s="15"/>
      <c r="V7" s="15"/>
      <c r="W7" s="15"/>
    </row>
    <row r="8" spans="1:23" ht="26.1" customHeight="1" x14ac:dyDescent="0.15">
      <c r="A8" s="48"/>
      <c r="B8" s="48"/>
      <c r="C8" s="48"/>
      <c r="D8" s="48"/>
      <c r="E8" s="48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15"/>
      <c r="V8" s="15"/>
      <c r="W8" s="15"/>
    </row>
    <row r="9" spans="1:23" ht="26.1" customHeight="1" x14ac:dyDescent="0.15">
      <c r="A9" s="48"/>
      <c r="B9" s="48"/>
      <c r="C9" s="48"/>
      <c r="D9" s="48"/>
      <c r="E9" s="48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15"/>
      <c r="V9" s="15"/>
      <c r="W9" s="15"/>
    </row>
    <row r="10" spans="1:2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</row>
    <row r="11" spans="1:23" x14ac:dyDescent="0.15">
      <c r="A11" s="3" t="s">
        <v>9</v>
      </c>
      <c r="B11" s="3" t="s">
        <v>10</v>
      </c>
      <c r="C11" s="3" t="s">
        <v>11</v>
      </c>
      <c r="D11" s="3" t="s">
        <v>12</v>
      </c>
      <c r="E11" s="4" t="s">
        <v>13</v>
      </c>
      <c r="F11" s="11" t="s">
        <v>14</v>
      </c>
      <c r="G11" s="11" t="s">
        <v>15</v>
      </c>
      <c r="H11" s="6" t="s">
        <v>16</v>
      </c>
      <c r="I11" s="7" t="s">
        <v>17</v>
      </c>
      <c r="J11" s="7" t="s">
        <v>18</v>
      </c>
      <c r="K11" s="12" t="s">
        <v>19</v>
      </c>
      <c r="L11" s="12" t="s">
        <v>20</v>
      </c>
      <c r="M11" s="10" t="s">
        <v>21</v>
      </c>
      <c r="N11" s="10" t="s">
        <v>22</v>
      </c>
      <c r="O11" s="12" t="s">
        <v>23</v>
      </c>
      <c r="P11" s="11" t="s">
        <v>24</v>
      </c>
      <c r="Q11" s="11" t="s">
        <v>25</v>
      </c>
      <c r="R11" s="12" t="s">
        <v>26</v>
      </c>
      <c r="S11" s="3" t="s">
        <v>27</v>
      </c>
      <c r="T11" s="6" t="s">
        <v>28</v>
      </c>
    </row>
    <row r="12" spans="1:23" x14ac:dyDescent="0.15">
      <c r="A12" s="3" t="s">
        <v>29</v>
      </c>
      <c r="B12" s="3" t="s">
        <v>30</v>
      </c>
      <c r="C12" s="3" t="s">
        <v>31</v>
      </c>
      <c r="D12" s="3" t="s">
        <v>32</v>
      </c>
      <c r="E12" s="4" t="s">
        <v>33</v>
      </c>
      <c r="F12" s="5">
        <f>106</f>
        <v>106</v>
      </c>
      <c r="G12" s="5">
        <f>608</f>
        <v>608</v>
      </c>
      <c r="H12" s="6">
        <f>(F12+G12)*(1+0.2+0.18)+311+(5.96%+1.8%)*I12</f>
        <v>4039.8860032000002</v>
      </c>
      <c r="I12" s="7">
        <f>15552*(1+0.466+0.3+0.2)+4780</f>
        <v>35355.232000000004</v>
      </c>
      <c r="J12" s="8">
        <f>80</f>
        <v>80</v>
      </c>
      <c r="K12" s="9">
        <f>0</f>
        <v>0</v>
      </c>
      <c r="L12" s="9">
        <f>38.4%+66.2%</f>
        <v>1.046</v>
      </c>
      <c r="M12" s="10">
        <f>63.55%+K12/2+L12/4-19.7%</f>
        <v>0.70000000000000007</v>
      </c>
      <c r="N12" s="10">
        <f>63.55%*2+K12+L12/2+19.7%*2-6.6%*2</f>
        <v>2.056</v>
      </c>
      <c r="O12" s="9">
        <f>0.466+0.5+0.33</f>
        <v>1.296</v>
      </c>
      <c r="P12" s="5">
        <f>0.5</f>
        <v>0.5</v>
      </c>
      <c r="Q12" s="5">
        <f>0.9</f>
        <v>0.9</v>
      </c>
      <c r="R12" s="9">
        <f>2.4257</f>
        <v>2.4257</v>
      </c>
      <c r="S12" s="3" t="s">
        <v>34</v>
      </c>
      <c r="T12" s="6">
        <f>H12*R12*(1+O12)*(1+N12)*P12*Q12*1.5*(1+(2.78*J12)/(J12+1400))</f>
        <v>53386.948774124219</v>
      </c>
    </row>
    <row r="13" spans="1:23" x14ac:dyDescent="0.15">
      <c r="A13" s="3" t="s">
        <v>29</v>
      </c>
      <c r="B13" s="3" t="s">
        <v>30</v>
      </c>
      <c r="C13" s="3" t="s">
        <v>31</v>
      </c>
      <c r="D13" s="3" t="s">
        <v>35</v>
      </c>
      <c r="E13" s="4" t="s">
        <v>33</v>
      </c>
      <c r="F13" s="5">
        <f>106</f>
        <v>106</v>
      </c>
      <c r="G13" s="5">
        <f>608</f>
        <v>608</v>
      </c>
      <c r="H13" s="6">
        <f>(F13+G13)*(1+0.2+0.18)+311+(5.96%+1.8%)*I13</f>
        <v>3477.5007999999998</v>
      </c>
      <c r="I13" s="7">
        <f>15552*(1+0.3+0.2)+4780</f>
        <v>28108</v>
      </c>
      <c r="J13" s="8">
        <f>80+187</f>
        <v>267</v>
      </c>
      <c r="K13" s="9">
        <f>0</f>
        <v>0</v>
      </c>
      <c r="L13" s="9">
        <f>38.4%+66.2%</f>
        <v>1.046</v>
      </c>
      <c r="M13" s="10">
        <f>63.55%+K13/2+L13/4-19.7%</f>
        <v>0.70000000000000007</v>
      </c>
      <c r="N13" s="10">
        <f>63.55%*2+K13+L13/2+19.7%*2-6.6%*2</f>
        <v>2.056</v>
      </c>
      <c r="O13" s="9">
        <f>0.466+0.5+0.33</f>
        <v>1.296</v>
      </c>
      <c r="P13" s="5">
        <f>0.5</f>
        <v>0.5</v>
      </c>
      <c r="Q13" s="5">
        <f>0.9</f>
        <v>0.9</v>
      </c>
      <c r="R13" s="9">
        <f>2.4257</f>
        <v>2.4257</v>
      </c>
      <c r="S13" s="3" t="s">
        <v>34</v>
      </c>
      <c r="T13" s="6">
        <f>H13*R13*(1+O13)*(1+N13)*P13*Q13*1.5*(1+(2.78*J13)/(J13+1400))</f>
        <v>57740.61478722524</v>
      </c>
    </row>
    <row r="14" spans="1:23" x14ac:dyDescent="0.15">
      <c r="A14" s="3" t="s">
        <v>29</v>
      </c>
      <c r="B14" s="3" t="s">
        <v>36</v>
      </c>
      <c r="C14" s="3" t="s">
        <v>31</v>
      </c>
      <c r="D14" s="3" t="s">
        <v>32</v>
      </c>
      <c r="E14" s="4" t="s">
        <v>33</v>
      </c>
      <c r="F14" s="5">
        <f>106</f>
        <v>106</v>
      </c>
      <c r="G14" s="5">
        <v>454</v>
      </c>
      <c r="H14" s="6">
        <f>(F14+G14)*(1+0.2+0.18)+311+(5.96%)*I14</f>
        <v>3005.5919871999999</v>
      </c>
      <c r="I14" s="7">
        <f>15552*(1+0.466+0.3)+4780</f>
        <v>32244.831999999999</v>
      </c>
      <c r="J14" s="8">
        <f>80+221</f>
        <v>301</v>
      </c>
      <c r="K14" s="9">
        <f>0</f>
        <v>0</v>
      </c>
      <c r="L14" s="9">
        <f>38.4%</f>
        <v>0.38400000000000001</v>
      </c>
      <c r="M14" s="10">
        <f>60.25%+K14/2+L14/4</f>
        <v>0.69850000000000001</v>
      </c>
      <c r="N14" s="10">
        <f>60.25%*2+K14+L14/2</f>
        <v>1.397</v>
      </c>
      <c r="O14" s="9">
        <f>0.466+0.5+0.33+0.36</f>
        <v>1.6560000000000001</v>
      </c>
      <c r="P14" s="5">
        <f>0.5</f>
        <v>0.5</v>
      </c>
      <c r="Q14" s="5">
        <f>0.9</f>
        <v>0.9</v>
      </c>
      <c r="R14" s="9">
        <f>2.4257</f>
        <v>2.4257</v>
      </c>
      <c r="S14" s="3" t="s">
        <v>34</v>
      </c>
      <c r="T14" s="6">
        <f>H14*R14*(1+O14)*(1+N14)*P14*Q14*1.5*(1+(2.78*J14)/(J14+1400))</f>
        <v>46743.006945727582</v>
      </c>
    </row>
    <row r="15" spans="1:23" x14ac:dyDescent="0.15">
      <c r="A15" s="3" t="s">
        <v>29</v>
      </c>
      <c r="B15" s="3" t="s">
        <v>36</v>
      </c>
      <c r="C15" s="3" t="s">
        <v>31</v>
      </c>
      <c r="D15" s="3" t="s">
        <v>35</v>
      </c>
      <c r="E15" s="4" t="s">
        <v>33</v>
      </c>
      <c r="F15" s="5">
        <f>106</f>
        <v>106</v>
      </c>
      <c r="G15" s="5">
        <v>454</v>
      </c>
      <c r="H15" s="6">
        <f>(F15+G15)*(1+0.2+0.18)+311+(5.96%)*I15</f>
        <v>2573.6569600000003</v>
      </c>
      <c r="I15" s="7">
        <f>15552*(1+0.3)+4780</f>
        <v>24997.600000000002</v>
      </c>
      <c r="J15" s="8">
        <f>80+187+221</f>
        <v>488</v>
      </c>
      <c r="K15" s="9">
        <f>0</f>
        <v>0</v>
      </c>
      <c r="L15" s="9">
        <f>38.4%</f>
        <v>0.38400000000000001</v>
      </c>
      <c r="M15" s="10">
        <f>60.25%+K15/2+L15/4</f>
        <v>0.69850000000000001</v>
      </c>
      <c r="N15" s="10">
        <f>60.25%*2+K15+L15/2</f>
        <v>1.397</v>
      </c>
      <c r="O15" s="9">
        <f>0.466+0.5+0.33+0.36</f>
        <v>1.6560000000000001</v>
      </c>
      <c r="P15" s="5">
        <f>0.5</f>
        <v>0.5</v>
      </c>
      <c r="Q15" s="5">
        <f>0.9</f>
        <v>0.9</v>
      </c>
      <c r="R15" s="9">
        <f>2.4257</f>
        <v>2.4257</v>
      </c>
      <c r="S15" s="3" t="s">
        <v>34</v>
      </c>
      <c r="T15" s="6">
        <f>H15*R15*(1+O15)*(1+N15)*P15*Q15*1.5*(1+(2.78*J15)/(J15+1400))</f>
        <v>46105.438137202509</v>
      </c>
    </row>
    <row r="17" spans="1:21" x14ac:dyDescent="0.15">
      <c r="A17" s="3" t="s">
        <v>29</v>
      </c>
      <c r="B17" s="3" t="s">
        <v>30</v>
      </c>
      <c r="C17" s="3" t="s">
        <v>37</v>
      </c>
      <c r="D17" s="3" t="s">
        <v>32</v>
      </c>
      <c r="E17" s="4" t="s">
        <v>33</v>
      </c>
      <c r="F17" s="5">
        <f>106</f>
        <v>106</v>
      </c>
      <c r="G17" s="5">
        <f>608</f>
        <v>608</v>
      </c>
      <c r="H17" s="6">
        <f>(F17+G17)*(1+0.2)+311+(5.96%+1.8%)*I17</f>
        <v>3911.3660032000007</v>
      </c>
      <c r="I17" s="7">
        <f>15552*(1+0.466+0.3+0.2)+4780</f>
        <v>35355.232000000004</v>
      </c>
      <c r="J17" s="8">
        <f>80</f>
        <v>80</v>
      </c>
      <c r="K17" s="9">
        <f>0</f>
        <v>0</v>
      </c>
      <c r="L17" s="9">
        <f>38.4%+66.2%</f>
        <v>1.046</v>
      </c>
      <c r="M17" s="10">
        <f>63.55%+K17/2+L17/4-19.7%</f>
        <v>0.70000000000000007</v>
      </c>
      <c r="N17" s="10">
        <f>63.55%*2+K17+L17/2+19.7%*2-6.6%*2</f>
        <v>2.056</v>
      </c>
      <c r="O17" s="9">
        <f>0.466+0.225+0.33</f>
        <v>1.0210000000000001</v>
      </c>
      <c r="P17" s="5">
        <f>0.5</f>
        <v>0.5</v>
      </c>
      <c r="Q17" s="5">
        <f>0.9</f>
        <v>0.9</v>
      </c>
      <c r="R17" s="9">
        <f>2.4257</f>
        <v>2.4257</v>
      </c>
      <c r="S17" s="3" t="s">
        <v>34</v>
      </c>
      <c r="T17" s="6">
        <f>H17*R17*(1+O17)*(1+N17)*P17*Q17*1.5*(1+(2.78*J17)/(J17+1400)+0.15)</f>
        <v>51430.721148416014</v>
      </c>
    </row>
    <row r="18" spans="1:21" x14ac:dyDescent="0.15">
      <c r="A18" s="3" t="s">
        <v>29</v>
      </c>
      <c r="B18" s="3" t="s">
        <v>30</v>
      </c>
      <c r="C18" s="3" t="s">
        <v>37</v>
      </c>
      <c r="D18" s="3" t="s">
        <v>35</v>
      </c>
      <c r="E18" s="4" t="s">
        <v>33</v>
      </c>
      <c r="F18" s="5">
        <f>106</f>
        <v>106</v>
      </c>
      <c r="G18" s="5">
        <f>608</f>
        <v>608</v>
      </c>
      <c r="H18" s="6">
        <f>(F18+G18)*(1+0.2)+311+(5.96%+1.8%)*I18</f>
        <v>3348.9808000000003</v>
      </c>
      <c r="I18" s="7">
        <f>15552*(1+0.3+0.2)+4780</f>
        <v>28108</v>
      </c>
      <c r="J18" s="8">
        <f>80+187</f>
        <v>267</v>
      </c>
      <c r="K18" s="9">
        <f>0</f>
        <v>0</v>
      </c>
      <c r="L18" s="9">
        <f>38.4%+66.2%</f>
        <v>1.046</v>
      </c>
      <c r="M18" s="10">
        <f>63.55%+K18/2+L18/4-19.7%</f>
        <v>0.70000000000000007</v>
      </c>
      <c r="N18" s="10">
        <f>63.55%*2+K18+L18/2+19.7%*2-6.6%*2</f>
        <v>2.056</v>
      </c>
      <c r="O18" s="9">
        <f>0.466+0.225+0.33</f>
        <v>1.0210000000000001</v>
      </c>
      <c r="P18" s="5">
        <f>0.5</f>
        <v>0.5</v>
      </c>
      <c r="Q18" s="5">
        <f>0.9</f>
        <v>0.9</v>
      </c>
      <c r="R18" s="9">
        <f>2.4257</f>
        <v>2.4257</v>
      </c>
      <c r="S18" s="3" t="s">
        <v>34</v>
      </c>
      <c r="T18" s="6">
        <f>H18*R18*(1+O18)*(1+N18)*P18*Q18*1.5*(1+(2.78*J18)/(J18+1400)+0.15)</f>
        <v>54026.464603692337</v>
      </c>
    </row>
    <row r="19" spans="1:21" x14ac:dyDescent="0.15">
      <c r="A19" s="3" t="s">
        <v>29</v>
      </c>
      <c r="B19" s="3" t="s">
        <v>36</v>
      </c>
      <c r="C19" s="3" t="s">
        <v>37</v>
      </c>
      <c r="D19" s="3" t="s">
        <v>32</v>
      </c>
      <c r="E19" s="4" t="s">
        <v>33</v>
      </c>
      <c r="F19" s="5">
        <f>106</f>
        <v>106</v>
      </c>
      <c r="G19" s="5">
        <v>454</v>
      </c>
      <c r="H19" s="6">
        <f>(F19+G19)*(1+0.2)+311+(5.96%)*I19</f>
        <v>2904.7919872000002</v>
      </c>
      <c r="I19" s="7">
        <f>15552*(1+0.466+0.3)+4780</f>
        <v>32244.831999999999</v>
      </c>
      <c r="J19" s="8">
        <f>80+221</f>
        <v>301</v>
      </c>
      <c r="K19" s="9">
        <f>0</f>
        <v>0</v>
      </c>
      <c r="L19" s="9">
        <f>38.4%</f>
        <v>0.38400000000000001</v>
      </c>
      <c r="M19" s="10">
        <f>60.25%+K19/2+L19/4</f>
        <v>0.69850000000000001</v>
      </c>
      <c r="N19" s="10">
        <f>60.25%*2+K19+L19/2</f>
        <v>1.397</v>
      </c>
      <c r="O19" s="9">
        <f>0.466+0.225+0.33+0.36</f>
        <v>1.3810000000000002</v>
      </c>
      <c r="P19" s="5">
        <f>0.5</f>
        <v>0.5</v>
      </c>
      <c r="Q19" s="5">
        <f>0.9</f>
        <v>0.9</v>
      </c>
      <c r="R19" s="9">
        <f>2.4257</f>
        <v>2.4257</v>
      </c>
      <c r="S19" s="3" t="s">
        <v>34</v>
      </c>
      <c r="T19" s="6">
        <f>H19*R19*(1+O19)*(1+N19)*P19*Q19*1.5*(1+(2.78*J19)/(J19+1400)+0.15)</f>
        <v>44569.633798427581</v>
      </c>
    </row>
    <row r="20" spans="1:21" x14ac:dyDescent="0.15">
      <c r="A20" s="3" t="s">
        <v>29</v>
      </c>
      <c r="B20" s="3" t="s">
        <v>36</v>
      </c>
      <c r="C20" s="3" t="s">
        <v>37</v>
      </c>
      <c r="D20" s="3" t="s">
        <v>35</v>
      </c>
      <c r="E20" s="4" t="s">
        <v>33</v>
      </c>
      <c r="F20" s="5">
        <f>106</f>
        <v>106</v>
      </c>
      <c r="G20" s="5">
        <v>454</v>
      </c>
      <c r="H20" s="6">
        <f>(F20+G20)*(1+0.2)+311+(5.96%)*I20</f>
        <v>2472.8569600000001</v>
      </c>
      <c r="I20" s="7">
        <f>15552*(1+0.3)+4780</f>
        <v>24997.600000000002</v>
      </c>
      <c r="J20" s="8">
        <f>80+187+221</f>
        <v>488</v>
      </c>
      <c r="K20" s="9">
        <f>0</f>
        <v>0</v>
      </c>
      <c r="L20" s="9">
        <f>38.4%</f>
        <v>0.38400000000000001</v>
      </c>
      <c r="M20" s="10">
        <f>60.25%+K20/2+L20/4</f>
        <v>0.69850000000000001</v>
      </c>
      <c r="N20" s="10">
        <f>60.25%*2+K20+L20/2</f>
        <v>1.397</v>
      </c>
      <c r="O20" s="9">
        <f>0.466+0.225+0.33+0.36</f>
        <v>1.3810000000000002</v>
      </c>
      <c r="P20" s="5">
        <f>0.5</f>
        <v>0.5</v>
      </c>
      <c r="Q20" s="5">
        <f>0.9</f>
        <v>0.9</v>
      </c>
      <c r="R20" s="9">
        <f>2.4257</f>
        <v>2.4257</v>
      </c>
      <c r="S20" s="3" t="s">
        <v>34</v>
      </c>
      <c r="T20" s="6">
        <f>H20*R20*(1+O20)*(1+N20)*P20*Q20*1.5*(1+(2.78*J20)/(J20+1400)+0.15)</f>
        <v>43179.158706164329</v>
      </c>
    </row>
    <row r="22" spans="1:21" x14ac:dyDescent="0.15">
      <c r="A22" s="3" t="s">
        <v>9</v>
      </c>
      <c r="B22" s="3" t="s">
        <v>10</v>
      </c>
      <c r="C22" s="3" t="s">
        <v>11</v>
      </c>
      <c r="D22" s="3" t="s">
        <v>12</v>
      </c>
      <c r="E22" s="4" t="s">
        <v>13</v>
      </c>
      <c r="F22" s="11" t="s">
        <v>14</v>
      </c>
      <c r="G22" s="11" t="s">
        <v>15</v>
      </c>
      <c r="H22" s="6" t="s">
        <v>16</v>
      </c>
      <c r="I22" s="7" t="s">
        <v>17</v>
      </c>
      <c r="J22" s="8" t="s">
        <v>38</v>
      </c>
      <c r="K22" s="12" t="s">
        <v>19</v>
      </c>
      <c r="L22" s="12" t="s">
        <v>20</v>
      </c>
      <c r="M22" s="10" t="s">
        <v>21</v>
      </c>
      <c r="N22" s="10" t="s">
        <v>22</v>
      </c>
      <c r="O22" s="12" t="s">
        <v>23</v>
      </c>
      <c r="P22" s="11" t="s">
        <v>24</v>
      </c>
      <c r="Q22" s="11" t="s">
        <v>25</v>
      </c>
      <c r="R22" s="12" t="s">
        <v>26</v>
      </c>
      <c r="S22" s="3" t="s">
        <v>27</v>
      </c>
      <c r="T22" s="6" t="s">
        <v>28</v>
      </c>
    </row>
    <row r="23" spans="1:21" x14ac:dyDescent="0.15">
      <c r="A23" s="3" t="s">
        <v>39</v>
      </c>
      <c r="B23" s="3" t="s">
        <v>40</v>
      </c>
      <c r="C23" s="3" t="s">
        <v>41</v>
      </c>
      <c r="D23" s="3" t="s">
        <v>42</v>
      </c>
      <c r="E23" s="4" t="s">
        <v>43</v>
      </c>
      <c r="F23" s="5">
        <v>202</v>
      </c>
      <c r="G23" s="5">
        <v>565</v>
      </c>
      <c r="H23" s="6">
        <f>(F23+G23)*(1+0.3+0.24)+311</f>
        <v>1492.18</v>
      </c>
      <c r="I23" s="7">
        <f>10331*(1+0.466+0.05*6)+4780</f>
        <v>23024.545999999998</v>
      </c>
      <c r="J23" s="13">
        <f>1+0.518+0.2+0.306+0.2</f>
        <v>2.2240000000000002</v>
      </c>
      <c r="K23" s="9">
        <f>0</f>
        <v>0</v>
      </c>
      <c r="L23" s="9">
        <f>0</f>
        <v>0</v>
      </c>
      <c r="M23" s="10">
        <v>0.7</v>
      </c>
      <c r="N23" s="10" t="s">
        <v>44</v>
      </c>
      <c r="O23" s="9">
        <f>0</f>
        <v>0</v>
      </c>
      <c r="P23" s="5">
        <f t="shared" ref="P23:P28" si="0">0.5</f>
        <v>0.5</v>
      </c>
      <c r="Q23" s="5">
        <f t="shared" ref="Q23:Q28" si="1">0.9</f>
        <v>0.9</v>
      </c>
      <c r="R23" s="9" t="s">
        <v>45</v>
      </c>
      <c r="S23" s="3" t="s">
        <v>46</v>
      </c>
      <c r="T23" s="6">
        <f>39.2%*I23+4829</f>
        <v>13854.622031999999</v>
      </c>
    </row>
    <row r="24" spans="1:21" x14ac:dyDescent="0.15">
      <c r="A24" s="3" t="s">
        <v>39</v>
      </c>
      <c r="B24" s="3" t="s">
        <v>47</v>
      </c>
      <c r="C24" s="3" t="s">
        <v>41</v>
      </c>
      <c r="D24" s="3" t="s">
        <v>48</v>
      </c>
      <c r="E24" s="4" t="s">
        <v>43</v>
      </c>
      <c r="F24" s="5">
        <v>202</v>
      </c>
      <c r="G24" s="5">
        <v>354</v>
      </c>
      <c r="H24" s="6">
        <f>(F24+G24)*(1+0.3+0.24)+311</f>
        <v>1167.24</v>
      </c>
      <c r="I24" s="7">
        <f>10331*(1+0.466*2+0.469+0.05*8)+4780</f>
        <v>33717.130999999994</v>
      </c>
      <c r="J24" s="13">
        <f>1+0.518+0.2+0.2</f>
        <v>1.9179999999999999</v>
      </c>
      <c r="K24" s="9">
        <f>0</f>
        <v>0</v>
      </c>
      <c r="L24" s="9">
        <v>0</v>
      </c>
      <c r="M24" s="10" t="s">
        <v>44</v>
      </c>
      <c r="N24" s="10" t="s">
        <v>44</v>
      </c>
      <c r="O24" s="9">
        <v>0</v>
      </c>
      <c r="P24" s="5">
        <f t="shared" si="0"/>
        <v>0.5</v>
      </c>
      <c r="Q24" s="5">
        <f t="shared" si="1"/>
        <v>0.9</v>
      </c>
      <c r="R24" s="9" t="s">
        <v>45</v>
      </c>
      <c r="S24" s="3" t="s">
        <v>46</v>
      </c>
      <c r="T24" s="6">
        <f>39.2%*I24+4829</f>
        <v>18046.115352000001</v>
      </c>
    </row>
    <row r="26" spans="1:21" x14ac:dyDescent="0.15">
      <c r="A26" s="3" t="s">
        <v>9</v>
      </c>
      <c r="B26" s="3" t="s">
        <v>10</v>
      </c>
      <c r="C26" s="3" t="s">
        <v>11</v>
      </c>
      <c r="D26" s="3" t="s">
        <v>12</v>
      </c>
      <c r="E26" s="4" t="s">
        <v>13</v>
      </c>
      <c r="F26" s="11" t="s">
        <v>14</v>
      </c>
      <c r="G26" s="11" t="s">
        <v>15</v>
      </c>
      <c r="H26" s="6" t="s">
        <v>16</v>
      </c>
      <c r="K26" s="12" t="s">
        <v>19</v>
      </c>
      <c r="L26" s="12" t="s">
        <v>20</v>
      </c>
      <c r="M26" s="10" t="s">
        <v>21</v>
      </c>
      <c r="N26" s="10" t="s">
        <v>22</v>
      </c>
      <c r="O26" s="12" t="s">
        <v>23</v>
      </c>
      <c r="P26" s="11" t="s">
        <v>24</v>
      </c>
      <c r="Q26" s="11" t="s">
        <v>25</v>
      </c>
      <c r="R26" s="12" t="s">
        <v>26</v>
      </c>
      <c r="S26" s="3" t="s">
        <v>27</v>
      </c>
      <c r="T26" s="6" t="s">
        <v>28</v>
      </c>
    </row>
    <row r="27" spans="1:21" x14ac:dyDescent="0.15">
      <c r="A27" s="3" t="s">
        <v>49</v>
      </c>
      <c r="B27" s="3" t="s">
        <v>50</v>
      </c>
      <c r="C27" s="3" t="s">
        <v>31</v>
      </c>
      <c r="D27" s="3" t="s">
        <v>51</v>
      </c>
      <c r="E27" s="4" t="s">
        <v>52</v>
      </c>
      <c r="F27" s="5">
        <v>323</v>
      </c>
      <c r="G27" s="5">
        <f>608</f>
        <v>608</v>
      </c>
      <c r="H27" s="6">
        <f>(F27+G27)*(1+0.3+0.466+0.2+0.18)+311</f>
        <v>2308.9259999999999</v>
      </c>
      <c r="K27" s="9">
        <f>19.2%</f>
        <v>0.192</v>
      </c>
      <c r="L27" s="9">
        <f>66.2%</f>
        <v>0.66200000000000003</v>
      </c>
      <c r="M27" s="10">
        <v>0.8</v>
      </c>
      <c r="N27" s="10">
        <f>63.55%*2+K27+L27/2+3.1%*2</f>
        <v>1.8559999999999999</v>
      </c>
      <c r="O27" s="9">
        <f>0.466+0.4+0.5</f>
        <v>1.3660000000000001</v>
      </c>
      <c r="P27" s="5">
        <f t="shared" si="0"/>
        <v>0.5</v>
      </c>
      <c r="Q27" s="5">
        <f t="shared" si="1"/>
        <v>0.9</v>
      </c>
      <c r="R27" s="9">
        <v>0.63590000000000002</v>
      </c>
      <c r="S27" s="3" t="s">
        <v>53</v>
      </c>
      <c r="T27" s="6">
        <f>H27*R27*(1+O27)*(1+N27)*P27*Q27*1.5879</f>
        <v>7089.3667669624356</v>
      </c>
      <c r="U27" s="6"/>
    </row>
    <row r="28" spans="1:21" x14ac:dyDescent="0.15">
      <c r="A28" s="3" t="s">
        <v>49</v>
      </c>
      <c r="B28" s="3" t="s">
        <v>54</v>
      </c>
      <c r="C28" s="3" t="s">
        <v>31</v>
      </c>
      <c r="D28" s="3" t="s">
        <v>51</v>
      </c>
      <c r="E28" s="4" t="s">
        <v>52</v>
      </c>
      <c r="F28" s="5">
        <v>323</v>
      </c>
      <c r="G28" s="5">
        <v>510</v>
      </c>
      <c r="H28" s="6">
        <f>(F28+G28)*(1+0.3+0.466+0.413+0.18)+311</f>
        <v>2276.047</v>
      </c>
      <c r="K28" s="9">
        <f>19.2%</f>
        <v>0.192</v>
      </c>
      <c r="L28" s="9">
        <f>0</f>
        <v>0</v>
      </c>
      <c r="M28" s="10">
        <f>60.25%+K28/2+L28/4</f>
        <v>0.69850000000000001</v>
      </c>
      <c r="N28" s="10">
        <f>60.25%*2+K28+L28/2</f>
        <v>1.397</v>
      </c>
      <c r="O28" s="9">
        <f>0.466+0.5+0.8</f>
        <v>1.766</v>
      </c>
      <c r="P28" s="5">
        <f t="shared" si="0"/>
        <v>0.5</v>
      </c>
      <c r="Q28" s="5">
        <f t="shared" si="1"/>
        <v>0.9</v>
      </c>
      <c r="R28" s="9">
        <v>0.63590000000000002</v>
      </c>
      <c r="S28" s="3" t="s">
        <v>53</v>
      </c>
      <c r="T28" s="6">
        <f>H28*R28*(1+O28)*(1+N28)*P28*Q28*1.5879</f>
        <v>6856.8701182019595</v>
      </c>
      <c r="U28" s="6"/>
    </row>
    <row r="30" spans="1:21" x14ac:dyDescent="0.15">
      <c r="A30" s="3" t="s">
        <v>9</v>
      </c>
      <c r="B30" s="3" t="s">
        <v>10</v>
      </c>
      <c r="C30" s="3" t="s">
        <v>11</v>
      </c>
      <c r="D30" s="3" t="s">
        <v>12</v>
      </c>
      <c r="E30" s="4" t="s">
        <v>13</v>
      </c>
      <c r="F30" s="11" t="s">
        <v>14</v>
      </c>
      <c r="G30" s="11" t="s">
        <v>15</v>
      </c>
      <c r="H30" s="6" t="s">
        <v>16</v>
      </c>
      <c r="I30" s="7" t="s">
        <v>18</v>
      </c>
      <c r="K30" s="12" t="s">
        <v>19</v>
      </c>
      <c r="L30" s="12" t="s">
        <v>20</v>
      </c>
      <c r="M30" s="10" t="s">
        <v>21</v>
      </c>
      <c r="N30" s="10" t="s">
        <v>22</v>
      </c>
      <c r="O30" s="12" t="s">
        <v>23</v>
      </c>
      <c r="P30" s="11" t="s">
        <v>24</v>
      </c>
      <c r="Q30" s="11" t="s">
        <v>25</v>
      </c>
      <c r="R30" s="12" t="s">
        <v>26</v>
      </c>
      <c r="S30" s="3" t="s">
        <v>27</v>
      </c>
      <c r="T30" s="6" t="s">
        <v>28</v>
      </c>
    </row>
    <row r="31" spans="1:21" x14ac:dyDescent="0.15">
      <c r="A31" s="3" t="s">
        <v>55</v>
      </c>
      <c r="B31" s="3" t="s">
        <v>56</v>
      </c>
      <c r="C31" s="3" t="s">
        <v>57</v>
      </c>
      <c r="D31" s="3" t="s">
        <v>51</v>
      </c>
      <c r="E31" s="4" t="s">
        <v>58</v>
      </c>
      <c r="F31" s="5">
        <v>240</v>
      </c>
      <c r="G31" s="5">
        <f>608</f>
        <v>608</v>
      </c>
      <c r="H31" s="6">
        <f>(F31+G31)*(1+0.3+0.466)+311</f>
        <v>1808.568</v>
      </c>
      <c r="I31" s="7">
        <f>80+80</f>
        <v>160</v>
      </c>
      <c r="K31" s="9">
        <f>33.1%</f>
        <v>0.33100000000000002</v>
      </c>
      <c r="L31" s="9">
        <f>0</f>
        <v>0</v>
      </c>
      <c r="M31" s="10">
        <f t="shared" ref="M31:M36" si="2">60.25%+K31/2+L31/4</f>
        <v>0.76800000000000002</v>
      </c>
      <c r="N31" s="10">
        <f t="shared" ref="N31:N36" si="3">60.25%*2+K31+L31/2</f>
        <v>1.536</v>
      </c>
      <c r="O31" s="9">
        <f>0.466+0.35+0.4+0.6+0.24+0.2</f>
        <v>2.2560000000000002</v>
      </c>
      <c r="P31" s="5">
        <f t="shared" ref="P31:P36" si="4">0.5</f>
        <v>0.5</v>
      </c>
      <c r="Q31" s="5">
        <f t="shared" ref="Q31:Q36" si="5">0.9</f>
        <v>0.9</v>
      </c>
      <c r="R31" s="9">
        <v>2.7292000000000001</v>
      </c>
      <c r="S31" s="3" t="s">
        <v>59</v>
      </c>
      <c r="T31" s="6">
        <f>H31*R31*(1+O31)*(1+N31)*P31*Q31*1.5*(1+(2.78*I31)/(I31+1400))</f>
        <v>35355.263513504397</v>
      </c>
    </row>
    <row r="32" spans="1:21" x14ac:dyDescent="0.15">
      <c r="A32" s="3" t="s">
        <v>55</v>
      </c>
      <c r="B32" s="3" t="s">
        <v>60</v>
      </c>
      <c r="C32" s="3" t="s">
        <v>57</v>
      </c>
      <c r="D32" s="3" t="s">
        <v>51</v>
      </c>
      <c r="E32" s="4" t="s">
        <v>58</v>
      </c>
      <c r="F32" s="5">
        <v>240</v>
      </c>
      <c r="G32" s="5">
        <v>510</v>
      </c>
      <c r="H32" s="6">
        <f>(F32+G32)*(1+0.3+0.466)+311</f>
        <v>1635.5</v>
      </c>
      <c r="I32" s="7">
        <f>80+80+480</f>
        <v>640</v>
      </c>
      <c r="K32" s="9">
        <f>0</f>
        <v>0</v>
      </c>
      <c r="L32" s="9">
        <f>55.1%</f>
        <v>0.55100000000000005</v>
      </c>
      <c r="M32" s="10">
        <f t="shared" si="2"/>
        <v>0.74025000000000007</v>
      </c>
      <c r="N32" s="10">
        <f t="shared" si="3"/>
        <v>1.4805000000000001</v>
      </c>
      <c r="O32" s="9">
        <f>0.466+0.35+0.6+0.24+0.2</f>
        <v>1.8559999999999999</v>
      </c>
      <c r="P32" s="5">
        <f t="shared" si="4"/>
        <v>0.5</v>
      </c>
      <c r="Q32" s="5">
        <f t="shared" si="5"/>
        <v>0.9</v>
      </c>
      <c r="R32" s="9">
        <v>2.7292000000000001</v>
      </c>
      <c r="S32" s="3" t="s">
        <v>59</v>
      </c>
      <c r="T32" s="6">
        <f>H32*R32*(1+O32)*(1+N32)*P32*Q32*1.5*(1+(2.78*I32)/(I32+1400))</f>
        <v>39960.356366790358</v>
      </c>
    </row>
    <row r="33" spans="1:20" x14ac:dyDescent="0.15">
      <c r="T33" s="4"/>
    </row>
    <row r="34" spans="1:20" x14ac:dyDescent="0.15">
      <c r="A34" s="3" t="s">
        <v>9</v>
      </c>
      <c r="B34" s="3" t="s">
        <v>10</v>
      </c>
      <c r="C34" s="3" t="s">
        <v>11</v>
      </c>
      <c r="D34" s="3" t="s">
        <v>12</v>
      </c>
      <c r="E34" s="4" t="s">
        <v>13</v>
      </c>
      <c r="F34" s="11" t="s">
        <v>14</v>
      </c>
      <c r="G34" s="11" t="s">
        <v>15</v>
      </c>
      <c r="H34" s="6" t="s">
        <v>16</v>
      </c>
      <c r="I34" s="7" t="s">
        <v>18</v>
      </c>
      <c r="K34" s="12" t="s">
        <v>19</v>
      </c>
      <c r="L34" s="12" t="s">
        <v>20</v>
      </c>
      <c r="M34" s="10" t="s">
        <v>21</v>
      </c>
      <c r="N34" s="10" t="s">
        <v>22</v>
      </c>
      <c r="O34" s="12" t="s">
        <v>23</v>
      </c>
      <c r="P34" s="11" t="s">
        <v>24</v>
      </c>
      <c r="Q34" s="11" t="s">
        <v>25</v>
      </c>
      <c r="R34" s="12" t="s">
        <v>26</v>
      </c>
      <c r="S34" s="3" t="s">
        <v>27</v>
      </c>
      <c r="T34" s="6" t="s">
        <v>28</v>
      </c>
    </row>
    <row r="35" spans="1:20" x14ac:dyDescent="0.15">
      <c r="A35" s="3" t="s">
        <v>61</v>
      </c>
      <c r="B35" s="3" t="s">
        <v>56</v>
      </c>
      <c r="C35" s="3" t="s">
        <v>37</v>
      </c>
      <c r="D35" s="3" t="s">
        <v>51</v>
      </c>
      <c r="E35" s="4" t="s">
        <v>33</v>
      </c>
      <c r="F35" s="5">
        <v>311</v>
      </c>
      <c r="G35" s="5">
        <f>608</f>
        <v>608</v>
      </c>
      <c r="H35" s="6">
        <f>(F35+G35)*(1+0.3+0.466)+311</f>
        <v>1933.954</v>
      </c>
      <c r="I35" s="7">
        <f>80</f>
        <v>80</v>
      </c>
      <c r="K35" s="9">
        <f>33.1%</f>
        <v>0.33100000000000002</v>
      </c>
      <c r="L35" s="9">
        <f t="shared" ref="L35:L40" si="6">0</f>
        <v>0</v>
      </c>
      <c r="M35" s="10">
        <f t="shared" si="2"/>
        <v>0.76800000000000002</v>
      </c>
      <c r="N35" s="10">
        <f t="shared" si="3"/>
        <v>1.536</v>
      </c>
      <c r="O35" s="9">
        <f>0.466+0.3+0.288+0.4+0.5</f>
        <v>1.9540000000000002</v>
      </c>
      <c r="P35" s="5">
        <f t="shared" si="4"/>
        <v>0.5</v>
      </c>
      <c r="Q35" s="5">
        <f t="shared" si="5"/>
        <v>0.9</v>
      </c>
      <c r="R35" s="9">
        <v>2.8325</v>
      </c>
      <c r="S35" s="3" t="s">
        <v>62</v>
      </c>
      <c r="T35" s="6">
        <f t="shared" ref="T35:T40" si="7">H35*R35*(1+O35)*(1+N35)*P35*Q35*1.5*(1+(2.78*I35)/(I35+1400)+0.15)</f>
        <v>36017.470103856205</v>
      </c>
    </row>
    <row r="36" spans="1:20" x14ac:dyDescent="0.15">
      <c r="A36" s="3" t="s">
        <v>61</v>
      </c>
      <c r="B36" s="3" t="s">
        <v>60</v>
      </c>
      <c r="C36" s="3" t="s">
        <v>37</v>
      </c>
      <c r="D36" s="3" t="s">
        <v>51</v>
      </c>
      <c r="E36" s="4" t="s">
        <v>33</v>
      </c>
      <c r="F36" s="5">
        <v>311</v>
      </c>
      <c r="G36" s="5">
        <v>510</v>
      </c>
      <c r="H36" s="6">
        <f>(F36+G36)*(1+0.3+0.466)+311</f>
        <v>1760.886</v>
      </c>
      <c r="I36" s="7">
        <f>80+480</f>
        <v>560</v>
      </c>
      <c r="K36" s="9">
        <f>0</f>
        <v>0</v>
      </c>
      <c r="L36" s="9">
        <f>55.1%</f>
        <v>0.55100000000000005</v>
      </c>
      <c r="M36" s="10">
        <f t="shared" si="2"/>
        <v>0.74025000000000007</v>
      </c>
      <c r="N36" s="10">
        <f t="shared" si="3"/>
        <v>1.4805000000000001</v>
      </c>
      <c r="O36" s="9">
        <f>0.466+0.3+0.5+0.288</f>
        <v>1.554</v>
      </c>
      <c r="P36" s="5">
        <f t="shared" si="4"/>
        <v>0.5</v>
      </c>
      <c r="Q36" s="5">
        <f t="shared" si="5"/>
        <v>0.9</v>
      </c>
      <c r="R36" s="9">
        <v>2.8325</v>
      </c>
      <c r="S36" s="3" t="s">
        <v>62</v>
      </c>
      <c r="T36" s="6">
        <f t="shared" si="7"/>
        <v>41469.150744674822</v>
      </c>
    </row>
    <row r="37" spans="1:20" x14ac:dyDescent="0.15">
      <c r="T37" s="4"/>
    </row>
    <row r="38" spans="1:20" x14ac:dyDescent="0.15">
      <c r="A38" s="3" t="s">
        <v>9</v>
      </c>
      <c r="B38" s="3" t="s">
        <v>10</v>
      </c>
      <c r="C38" s="3" t="s">
        <v>11</v>
      </c>
      <c r="D38" s="3" t="s">
        <v>12</v>
      </c>
      <c r="E38" s="4" t="s">
        <v>13</v>
      </c>
      <c r="F38" s="11" t="s">
        <v>14</v>
      </c>
      <c r="G38" s="11" t="s">
        <v>15</v>
      </c>
      <c r="H38" s="6" t="s">
        <v>16</v>
      </c>
      <c r="I38" s="7" t="s">
        <v>18</v>
      </c>
      <c r="K38" s="12" t="s">
        <v>19</v>
      </c>
      <c r="L38" s="12" t="s">
        <v>20</v>
      </c>
      <c r="M38" s="10" t="s">
        <v>21</v>
      </c>
      <c r="N38" s="10" t="s">
        <v>22</v>
      </c>
      <c r="O38" s="12" t="s">
        <v>23</v>
      </c>
      <c r="P38" s="11" t="s">
        <v>24</v>
      </c>
      <c r="Q38" s="11" t="s">
        <v>25</v>
      </c>
      <c r="R38" s="12" t="s">
        <v>26</v>
      </c>
      <c r="S38" s="3" t="s">
        <v>27</v>
      </c>
      <c r="T38" s="6" t="s">
        <v>28</v>
      </c>
    </row>
    <row r="39" spans="1:20" x14ac:dyDescent="0.15">
      <c r="A39" s="3" t="s">
        <v>63</v>
      </c>
      <c r="B39" s="3" t="s">
        <v>64</v>
      </c>
      <c r="C39" s="3" t="s">
        <v>37</v>
      </c>
      <c r="D39" s="3" t="s">
        <v>35</v>
      </c>
      <c r="E39" s="4" t="s">
        <v>33</v>
      </c>
      <c r="F39" s="5">
        <v>335</v>
      </c>
      <c r="G39" s="5">
        <f>608</f>
        <v>608</v>
      </c>
      <c r="H39" s="6">
        <f>(F39+G39)*(1+0.3+0.496+0.2)+311</f>
        <v>2193.2280000000001</v>
      </c>
      <c r="I39" s="7">
        <f>80+187</f>
        <v>267</v>
      </c>
      <c r="K39" s="9">
        <f>19.2%</f>
        <v>0.192</v>
      </c>
      <c r="L39" s="9">
        <f t="shared" si="6"/>
        <v>0</v>
      </c>
      <c r="M39" s="10">
        <f>60.25%+K39/2+L39/4</f>
        <v>0.69850000000000001</v>
      </c>
      <c r="N39" s="10">
        <f>60.25%*2+K39+L39/2</f>
        <v>1.397</v>
      </c>
      <c r="O39" s="9">
        <f>0.466+0.375+0.2</f>
        <v>1.0409999999999999</v>
      </c>
      <c r="P39" s="5">
        <f t="shared" ref="P39:P46" si="8">0.5</f>
        <v>0.5</v>
      </c>
      <c r="Q39" s="5">
        <f>0.9</f>
        <v>0.9</v>
      </c>
      <c r="R39" s="9">
        <v>3.2639999999999998</v>
      </c>
      <c r="S39" s="3" t="s">
        <v>65</v>
      </c>
      <c r="T39" s="6">
        <f t="shared" si="7"/>
        <v>37712.220998901008</v>
      </c>
    </row>
    <row r="40" spans="1:20" x14ac:dyDescent="0.15">
      <c r="A40" s="3" t="s">
        <v>63</v>
      </c>
      <c r="B40" s="3" t="s">
        <v>66</v>
      </c>
      <c r="C40" s="3" t="s">
        <v>37</v>
      </c>
      <c r="D40" s="3" t="s">
        <v>51</v>
      </c>
      <c r="E40" s="4" t="s">
        <v>33</v>
      </c>
      <c r="F40" s="5">
        <v>335</v>
      </c>
      <c r="G40" s="5">
        <v>510</v>
      </c>
      <c r="H40" s="6">
        <f>(F40+G40)*(1+0.3+0.466)+311</f>
        <v>1803.27</v>
      </c>
      <c r="I40" s="7">
        <f>80</f>
        <v>80</v>
      </c>
      <c r="K40" s="9">
        <f>19.2%+27.6%</f>
        <v>0.46800000000000003</v>
      </c>
      <c r="L40" s="9">
        <f t="shared" si="6"/>
        <v>0</v>
      </c>
      <c r="M40" s="10">
        <f>60.25%+K40/2+L40/4</f>
        <v>0.83650000000000002</v>
      </c>
      <c r="N40" s="10">
        <f>60.25%*2+K40+L40/2</f>
        <v>1.673</v>
      </c>
      <c r="O40" s="9">
        <f>0.466+0.375+0.2+0.4</f>
        <v>1.4409999999999998</v>
      </c>
      <c r="P40" s="5">
        <f t="shared" si="8"/>
        <v>0.5</v>
      </c>
      <c r="Q40" s="5">
        <f>0.9</f>
        <v>0.9</v>
      </c>
      <c r="R40" s="9">
        <v>3.2639999999999998</v>
      </c>
      <c r="S40" s="3" t="s">
        <v>65</v>
      </c>
      <c r="T40" s="6">
        <f t="shared" si="7"/>
        <v>33706.608095392454</v>
      </c>
    </row>
    <row r="42" spans="1:20" x14ac:dyDescent="0.15">
      <c r="A42" s="3" t="s">
        <v>9</v>
      </c>
      <c r="B42" s="3" t="s">
        <v>10</v>
      </c>
      <c r="C42" s="3" t="s">
        <v>11</v>
      </c>
      <c r="D42" s="3" t="s">
        <v>12</v>
      </c>
      <c r="E42" s="4" t="s">
        <v>13</v>
      </c>
      <c r="F42" s="11" t="s">
        <v>14</v>
      </c>
      <c r="G42" s="11" t="s">
        <v>15</v>
      </c>
      <c r="H42" s="6" t="s">
        <v>16</v>
      </c>
      <c r="I42" s="7" t="s">
        <v>67</v>
      </c>
      <c r="K42" s="12" t="s">
        <v>19</v>
      </c>
      <c r="L42" s="12" t="s">
        <v>20</v>
      </c>
      <c r="M42" s="10" t="s">
        <v>21</v>
      </c>
      <c r="N42" s="10" t="s">
        <v>22</v>
      </c>
      <c r="O42" s="12" t="s">
        <v>23</v>
      </c>
      <c r="P42" s="11" t="s">
        <v>24</v>
      </c>
      <c r="Q42" s="11" t="s">
        <v>25</v>
      </c>
      <c r="R42" s="12" t="s">
        <v>26</v>
      </c>
      <c r="S42" s="3" t="s">
        <v>27</v>
      </c>
      <c r="T42" s="6" t="s">
        <v>28</v>
      </c>
    </row>
    <row r="43" spans="1:20" x14ac:dyDescent="0.15">
      <c r="A43" s="3" t="s">
        <v>68</v>
      </c>
      <c r="B43" s="3" t="s">
        <v>69</v>
      </c>
      <c r="C43" s="3" t="s">
        <v>70</v>
      </c>
      <c r="D43" s="3" t="s">
        <v>71</v>
      </c>
      <c r="E43" s="4" t="s">
        <v>72</v>
      </c>
      <c r="F43" s="5">
        <v>249</v>
      </c>
      <c r="G43" s="5">
        <f>608</f>
        <v>608</v>
      </c>
      <c r="H43" s="6">
        <f>(F43+G43)*(1+0.3+0.496+0.4+0.24+0.466)+311</f>
        <v>2798.0140000000001</v>
      </c>
      <c r="I43" s="7">
        <f>799*(1+0.3)</f>
        <v>1038.7</v>
      </c>
      <c r="K43" s="9">
        <f>0</f>
        <v>0</v>
      </c>
      <c r="L43" s="9">
        <f>0</f>
        <v>0</v>
      </c>
      <c r="M43" s="10">
        <f>60.25%+K43/2+L43/4</f>
        <v>0.60250000000000004</v>
      </c>
      <c r="N43" s="10">
        <f>60.25%*2+K43+L43/2</f>
        <v>1.2050000000000001</v>
      </c>
      <c r="O43" s="9">
        <f>0.583+0.5</f>
        <v>1.083</v>
      </c>
      <c r="P43" s="5">
        <f t="shared" si="8"/>
        <v>0.5</v>
      </c>
      <c r="Q43" s="5">
        <v>1.0249999999999999</v>
      </c>
      <c r="R43" s="9">
        <v>7.2420000000000009</v>
      </c>
      <c r="S43" s="3" t="s">
        <v>73</v>
      </c>
      <c r="T43" s="6">
        <f>H43*R43*(1+O43)*(1+N43)*P43*Q43</f>
        <v>47697.996473314233</v>
      </c>
    </row>
    <row r="44" spans="1:20" x14ac:dyDescent="0.15">
      <c r="A44" s="3" t="s">
        <v>68</v>
      </c>
      <c r="B44" s="3" t="s">
        <v>74</v>
      </c>
      <c r="C44" s="3" t="s">
        <v>70</v>
      </c>
      <c r="D44" s="3" t="s">
        <v>71</v>
      </c>
      <c r="E44" s="4" t="s">
        <v>72</v>
      </c>
      <c r="F44" s="5">
        <v>249</v>
      </c>
      <c r="G44" s="5">
        <v>510</v>
      </c>
      <c r="H44" s="6">
        <f>(F44+G44)*(1+0.3+0.36+0.466)+311</f>
        <v>1924.6340000000002</v>
      </c>
      <c r="I44" s="7">
        <f>799*(1+0.3+0.517+0.36)</f>
        <v>1739.423</v>
      </c>
      <c r="K44" s="9">
        <f>0</f>
        <v>0</v>
      </c>
      <c r="L44" s="9">
        <f>0</f>
        <v>0</v>
      </c>
      <c r="M44" s="10">
        <f>60.25%+K44/2+L44/4</f>
        <v>0.60250000000000004</v>
      </c>
      <c r="N44" s="10">
        <f>60.25%*2+K44+L44/2</f>
        <v>1.2050000000000001</v>
      </c>
      <c r="O44" s="9">
        <f>0.583+0.5</f>
        <v>1.083</v>
      </c>
      <c r="P44" s="5">
        <f t="shared" si="8"/>
        <v>0.5</v>
      </c>
      <c r="Q44" s="5">
        <v>1.0249999999999999</v>
      </c>
      <c r="R44" s="9">
        <v>7.2420000000000009</v>
      </c>
      <c r="S44" s="3" t="s">
        <v>73</v>
      </c>
      <c r="T44" s="6">
        <f>H44*R44*(1+O44)*(1+N44)*P44*Q44</f>
        <v>32809.409010970165</v>
      </c>
    </row>
    <row r="45" spans="1:20" x14ac:dyDescent="0.15">
      <c r="A45" s="3" t="s">
        <v>68</v>
      </c>
      <c r="B45" s="3" t="s">
        <v>75</v>
      </c>
      <c r="C45" s="3" t="s">
        <v>76</v>
      </c>
      <c r="D45" s="3" t="s">
        <v>77</v>
      </c>
      <c r="E45" s="4" t="s">
        <v>78</v>
      </c>
      <c r="F45" s="5">
        <v>249</v>
      </c>
      <c r="G45" s="5">
        <v>565</v>
      </c>
      <c r="H45" s="6">
        <f>(F45+G45)*(1+0.3+0.24+0.2)+311</f>
        <v>1727.36</v>
      </c>
      <c r="I45" s="7">
        <f>799*(1+0.3+0.36+0.583*3)</f>
        <v>2723.7909999999997</v>
      </c>
      <c r="K45" s="9">
        <f>0</f>
        <v>0</v>
      </c>
      <c r="L45" s="9">
        <f>0</f>
        <v>0</v>
      </c>
      <c r="M45" s="10" t="s">
        <v>44</v>
      </c>
      <c r="N45" s="10" t="s">
        <v>44</v>
      </c>
      <c r="O45" s="9">
        <f>0.583+0.5</f>
        <v>1.083</v>
      </c>
      <c r="P45" s="5">
        <f t="shared" si="8"/>
        <v>0.5</v>
      </c>
      <c r="Q45" s="5">
        <v>1.0249999999999999</v>
      </c>
      <c r="R45" s="9">
        <v>3.2639999999999998</v>
      </c>
      <c r="S45" s="3" t="s">
        <v>79</v>
      </c>
      <c r="T45" s="6">
        <f>1773+288%*I45</f>
        <v>9617.518079999998</v>
      </c>
    </row>
    <row r="46" spans="1:20" x14ac:dyDescent="0.15">
      <c r="A46" s="3" t="s">
        <v>68</v>
      </c>
      <c r="B46" s="3" t="s">
        <v>74</v>
      </c>
      <c r="C46" s="3" t="s">
        <v>76</v>
      </c>
      <c r="D46" s="3" t="s">
        <v>77</v>
      </c>
      <c r="E46" s="4" t="s">
        <v>78</v>
      </c>
      <c r="F46" s="5">
        <v>249</v>
      </c>
      <c r="G46" s="5">
        <v>510</v>
      </c>
      <c r="H46" s="6">
        <f>(F46+G46)*(1+0.3+0.24+0.36+0.2)+311</f>
        <v>1904.9</v>
      </c>
      <c r="I46" s="7">
        <f>799*(1+0.3+0.517+0.36+0.583*3)</f>
        <v>3136.8740000000003</v>
      </c>
      <c r="K46" s="9">
        <f>0</f>
        <v>0</v>
      </c>
      <c r="L46" s="9">
        <f>0</f>
        <v>0</v>
      </c>
      <c r="M46" s="10" t="s">
        <v>44</v>
      </c>
      <c r="N46" s="10" t="s">
        <v>44</v>
      </c>
      <c r="O46" s="9">
        <f>0.583+0.5</f>
        <v>1.083</v>
      </c>
      <c r="P46" s="5">
        <f t="shared" si="8"/>
        <v>0.5</v>
      </c>
      <c r="Q46" s="5">
        <v>1.0249999999999999</v>
      </c>
      <c r="R46" s="9">
        <v>3.2639999999999998</v>
      </c>
      <c r="S46" s="3" t="s">
        <v>79</v>
      </c>
      <c r="T46" s="6">
        <f>1773+288%*I46</f>
        <v>10807.197120000001</v>
      </c>
    </row>
    <row r="48" spans="1:20" x14ac:dyDescent="0.15">
      <c r="A48" s="3" t="s">
        <v>9</v>
      </c>
      <c r="B48" s="3" t="s">
        <v>10</v>
      </c>
      <c r="C48" s="3" t="s">
        <v>11</v>
      </c>
      <c r="D48" s="3" t="s">
        <v>12</v>
      </c>
      <c r="E48" s="4" t="s">
        <v>13</v>
      </c>
      <c r="F48" s="11" t="s">
        <v>14</v>
      </c>
      <c r="G48" s="11" t="s">
        <v>15</v>
      </c>
      <c r="H48" s="6" t="s">
        <v>16</v>
      </c>
      <c r="I48" s="7" t="s">
        <v>18</v>
      </c>
      <c r="K48" s="12" t="s">
        <v>19</v>
      </c>
      <c r="L48" s="12" t="s">
        <v>20</v>
      </c>
      <c r="M48" s="10" t="s">
        <v>21</v>
      </c>
      <c r="N48" s="10" t="s">
        <v>22</v>
      </c>
      <c r="O48" s="12" t="s">
        <v>23</v>
      </c>
      <c r="P48" s="11" t="s">
        <v>24</v>
      </c>
      <c r="Q48" s="11" t="s">
        <v>25</v>
      </c>
      <c r="R48" s="12" t="s">
        <v>26</v>
      </c>
      <c r="S48" s="3" t="s">
        <v>27</v>
      </c>
      <c r="T48" s="6" t="s">
        <v>28</v>
      </c>
    </row>
    <row r="49" spans="1:20" x14ac:dyDescent="0.15">
      <c r="A49" s="3" t="s">
        <v>80</v>
      </c>
      <c r="B49" s="3" t="s">
        <v>81</v>
      </c>
      <c r="C49" s="3" t="s">
        <v>82</v>
      </c>
      <c r="D49" s="3" t="s">
        <v>51</v>
      </c>
      <c r="E49" s="4" t="s">
        <v>83</v>
      </c>
      <c r="F49" s="5">
        <v>223</v>
      </c>
      <c r="G49" s="5">
        <f>608</f>
        <v>608</v>
      </c>
      <c r="H49" s="6">
        <f>(F49+G49)*(1+0.3+0.24+0.466+0.2+0.2)+311</f>
        <v>2310.3860000000004</v>
      </c>
      <c r="I49" s="7">
        <f>80+160</f>
        <v>240</v>
      </c>
      <c r="K49" s="9">
        <f>0</f>
        <v>0</v>
      </c>
      <c r="L49" s="9">
        <f t="shared" ref="L49:L56" si="9">0</f>
        <v>0</v>
      </c>
      <c r="M49" s="10">
        <f t="shared" ref="M49:M54" si="10">60.25%+K49/2+L49/4</f>
        <v>0.60250000000000004</v>
      </c>
      <c r="N49" s="10">
        <f t="shared" ref="N49:N56" si="11">60.25%*2+K49+L49/2</f>
        <v>1.2050000000000001</v>
      </c>
      <c r="O49" s="9">
        <f>0.466+0.2</f>
        <v>0.66600000000000004</v>
      </c>
      <c r="P49" s="5">
        <f t="shared" ref="P49:P56" si="12">0.5</f>
        <v>0.5</v>
      </c>
      <c r="Q49" s="5">
        <f t="shared" ref="Q49:Q56" si="13">0.9</f>
        <v>0.9</v>
      </c>
      <c r="R49" s="9">
        <v>10.1088</v>
      </c>
      <c r="S49" s="3" t="s">
        <v>84</v>
      </c>
      <c r="T49" s="6">
        <f>H49*R49*(1+O49)*(1+N49)*P49*Q49</f>
        <v>38608.262122565131</v>
      </c>
    </row>
    <row r="50" spans="1:20" x14ac:dyDescent="0.15">
      <c r="A50" s="3" t="s">
        <v>80</v>
      </c>
      <c r="B50" s="3" t="s">
        <v>85</v>
      </c>
      <c r="C50" s="3" t="s">
        <v>57</v>
      </c>
      <c r="D50" s="3" t="s">
        <v>51</v>
      </c>
      <c r="E50" s="4" t="s">
        <v>83</v>
      </c>
      <c r="F50" s="5">
        <v>223</v>
      </c>
      <c r="G50" s="5">
        <v>608</v>
      </c>
      <c r="H50" s="6">
        <f>(F50+G50)*(1+0.3+0.466+0.24+0.496)+311</f>
        <v>2390.1620000000003</v>
      </c>
      <c r="I50" s="7">
        <f>80+80</f>
        <v>160</v>
      </c>
      <c r="K50" s="9">
        <f>0</f>
        <v>0</v>
      </c>
      <c r="L50" s="9">
        <f t="shared" si="9"/>
        <v>0</v>
      </c>
      <c r="M50" s="10">
        <f t="shared" si="10"/>
        <v>0.60250000000000004</v>
      </c>
      <c r="N50" s="10">
        <f t="shared" si="11"/>
        <v>1.2050000000000001</v>
      </c>
      <c r="O50" s="9">
        <f>0.466+0.35+0.12+0.4</f>
        <v>1.3360000000000001</v>
      </c>
      <c r="P50" s="5">
        <f t="shared" si="12"/>
        <v>0.5</v>
      </c>
      <c r="Q50" s="5">
        <f t="shared" si="13"/>
        <v>0.9</v>
      </c>
      <c r="R50" s="9">
        <v>2.2319999999999998</v>
      </c>
      <c r="S50" s="3" t="s">
        <v>86</v>
      </c>
      <c r="T50" s="6">
        <f>H50*R50*(1+O50)*(1+N50)*P50*Q50*1.5*(1+(2.78*I50)/(I50+1400)+0.15)</f>
        <v>26619.349153055431</v>
      </c>
    </row>
    <row r="52" spans="1:20" x14ac:dyDescent="0.15">
      <c r="A52" s="3" t="s">
        <v>9</v>
      </c>
      <c r="B52" s="3" t="s">
        <v>10</v>
      </c>
      <c r="C52" s="3" t="s">
        <v>11</v>
      </c>
      <c r="D52" s="3" t="s">
        <v>12</v>
      </c>
      <c r="E52" s="4" t="s">
        <v>13</v>
      </c>
      <c r="F52" s="11" t="s">
        <v>14</v>
      </c>
      <c r="G52" s="11" t="s">
        <v>15</v>
      </c>
      <c r="H52" s="6" t="s">
        <v>16</v>
      </c>
      <c r="I52" s="7" t="s">
        <v>18</v>
      </c>
      <c r="J52" s="13" t="s">
        <v>38</v>
      </c>
      <c r="K52" s="12" t="s">
        <v>19</v>
      </c>
      <c r="L52" s="12" t="s">
        <v>20</v>
      </c>
      <c r="M52" s="10" t="s">
        <v>21</v>
      </c>
      <c r="N52" s="10" t="s">
        <v>22</v>
      </c>
      <c r="O52" s="12" t="s">
        <v>23</v>
      </c>
      <c r="P52" s="11" t="s">
        <v>24</v>
      </c>
      <c r="Q52" s="11" t="s">
        <v>25</v>
      </c>
      <c r="R52" s="12" t="s">
        <v>26</v>
      </c>
      <c r="S52" s="3" t="s">
        <v>27</v>
      </c>
      <c r="T52" s="6" t="s">
        <v>28</v>
      </c>
    </row>
    <row r="53" spans="1:20" x14ac:dyDescent="0.15">
      <c r="A53" s="3" t="s">
        <v>87</v>
      </c>
      <c r="B53" s="3" t="s">
        <v>88</v>
      </c>
      <c r="C53" s="3" t="s">
        <v>89</v>
      </c>
      <c r="D53" s="3" t="s">
        <v>90</v>
      </c>
      <c r="E53" s="4" t="s">
        <v>91</v>
      </c>
      <c r="F53" s="5">
        <v>225</v>
      </c>
      <c r="G53" s="5">
        <v>674</v>
      </c>
      <c r="H53" s="6">
        <f>(F53+G53)*(1+0.3+0.25)+311</f>
        <v>1704.45</v>
      </c>
      <c r="I53" s="7">
        <f>60+96</f>
        <v>156</v>
      </c>
      <c r="J53" s="13">
        <f>1+0.518+0.2+0.368+5.5%*3</f>
        <v>2.2509999999999999</v>
      </c>
      <c r="K53" s="9">
        <v>0.08</v>
      </c>
      <c r="L53" s="9">
        <f t="shared" si="9"/>
        <v>0</v>
      </c>
      <c r="M53" s="10">
        <f t="shared" si="10"/>
        <v>0.64250000000000007</v>
      </c>
      <c r="N53" s="10">
        <f>60.25%*2+K53+L53/2</f>
        <v>1.2850000000000001</v>
      </c>
      <c r="O53" s="9">
        <f>0.466+0.25*J53</f>
        <v>1.0287500000000001</v>
      </c>
      <c r="P53" s="5">
        <f t="shared" si="12"/>
        <v>0.5</v>
      </c>
      <c r="Q53" s="5">
        <f t="shared" si="13"/>
        <v>0.9</v>
      </c>
      <c r="R53" s="9">
        <v>2.38</v>
      </c>
      <c r="S53" s="3" t="s">
        <v>92</v>
      </c>
      <c r="T53" s="6">
        <f>2996*R53*(1+O53)*(1+N53)*P53*Q53*1.5*(1+(2.78*I53)/(I53+1400))</f>
        <v>28530.600854572553</v>
      </c>
    </row>
    <row r="54" spans="1:20" x14ac:dyDescent="0.15">
      <c r="A54" s="3" t="s">
        <v>87</v>
      </c>
      <c r="B54" s="3" t="s">
        <v>88</v>
      </c>
      <c r="C54" s="3" t="s">
        <v>89</v>
      </c>
      <c r="D54" s="3" t="s">
        <v>35</v>
      </c>
      <c r="E54" s="4" t="s">
        <v>91</v>
      </c>
      <c r="F54" s="5">
        <v>225</v>
      </c>
      <c r="G54" s="5">
        <v>674</v>
      </c>
      <c r="H54" s="6">
        <f>(F54+G54)*(1+0.3+0.25)+311</f>
        <v>1704.45</v>
      </c>
      <c r="I54" s="7">
        <f>60+96+187</f>
        <v>343</v>
      </c>
      <c r="J54" s="13">
        <f>1+0.2+0.368+5.5%*3</f>
        <v>1.7330000000000001</v>
      </c>
      <c r="K54" s="9">
        <v>0.08</v>
      </c>
      <c r="L54" s="9">
        <f t="shared" si="9"/>
        <v>0</v>
      </c>
      <c r="M54" s="10">
        <f t="shared" si="10"/>
        <v>0.64250000000000007</v>
      </c>
      <c r="N54" s="10">
        <f>60.25%*2+K54+L54/2</f>
        <v>1.2850000000000001</v>
      </c>
      <c r="O54" s="9">
        <f>0.466+0.25*J54</f>
        <v>0.8992500000000001</v>
      </c>
      <c r="P54" s="5">
        <f t="shared" si="12"/>
        <v>0.5</v>
      </c>
      <c r="Q54" s="5">
        <f t="shared" si="13"/>
        <v>0.9</v>
      </c>
      <c r="R54" s="9">
        <v>2.38</v>
      </c>
      <c r="S54" s="3" t="s">
        <v>92</v>
      </c>
      <c r="T54" s="6">
        <f>2996*R54*(1+O54)*(1+N54)*P54*Q54*1.5*(1+(2.78*I54)/(I54+1400))</f>
        <v>32314.717098039797</v>
      </c>
    </row>
    <row r="55" spans="1:20" x14ac:dyDescent="0.15">
      <c r="A55" s="3" t="s">
        <v>87</v>
      </c>
      <c r="B55" s="3" t="s">
        <v>93</v>
      </c>
      <c r="C55" s="3" t="s">
        <v>89</v>
      </c>
      <c r="D55" s="3" t="s">
        <v>90</v>
      </c>
      <c r="E55" s="4" t="s">
        <v>91</v>
      </c>
      <c r="F55" s="5">
        <v>225</v>
      </c>
      <c r="G55" s="5">
        <v>510</v>
      </c>
      <c r="H55" s="6">
        <f>(F55+G55)*(1+0.3+0.25)+311</f>
        <v>1450.25</v>
      </c>
      <c r="I55" s="7">
        <f>60+96</f>
        <v>156</v>
      </c>
      <c r="J55" s="13">
        <f>1+0.518+0.2+0.459+5.5%*3</f>
        <v>2.3420000000000001</v>
      </c>
      <c r="K55" s="9">
        <f>12%</f>
        <v>0.12</v>
      </c>
      <c r="L55" s="9">
        <f t="shared" si="9"/>
        <v>0</v>
      </c>
      <c r="M55" s="10">
        <f>60.25%+K55/2+L55/4-12%</f>
        <v>0.54250000000000009</v>
      </c>
      <c r="N55" s="10">
        <f t="shared" si="11"/>
        <v>1.3250000000000002</v>
      </c>
      <c r="O55" s="9">
        <f>0.466+0.25*J55+0.32</f>
        <v>1.3715000000000002</v>
      </c>
      <c r="P55" s="5">
        <f t="shared" si="12"/>
        <v>0.5</v>
      </c>
      <c r="Q55" s="5">
        <f t="shared" si="13"/>
        <v>0.9</v>
      </c>
      <c r="R55" s="9">
        <v>2.38</v>
      </c>
      <c r="S55" s="3" t="s">
        <v>92</v>
      </c>
      <c r="T55" s="6">
        <f>2726*R55*(1+O55)*(1+N55)*P55*Q55*1.5*(1+(2.78*I55)/(I55+1400))</f>
        <v>30876.375181652355</v>
      </c>
    </row>
    <row r="56" spans="1:20" x14ac:dyDescent="0.15">
      <c r="A56" s="3" t="s">
        <v>87</v>
      </c>
      <c r="B56" s="3" t="s">
        <v>93</v>
      </c>
      <c r="C56" s="3" t="s">
        <v>89</v>
      </c>
      <c r="D56" s="3" t="s">
        <v>35</v>
      </c>
      <c r="E56" s="4" t="s">
        <v>91</v>
      </c>
      <c r="F56" s="5">
        <v>225</v>
      </c>
      <c r="G56" s="5">
        <v>510</v>
      </c>
      <c r="H56" s="6">
        <f>(F56+G56)*(1+0.3+0.25)+311</f>
        <v>1450.25</v>
      </c>
      <c r="I56" s="7">
        <f>60+96+187</f>
        <v>343</v>
      </c>
      <c r="J56" s="13">
        <f>1+0.2+0.459+5.5%*3</f>
        <v>1.8240000000000001</v>
      </c>
      <c r="K56" s="9">
        <f>12%</f>
        <v>0.12</v>
      </c>
      <c r="L56" s="9">
        <f t="shared" si="9"/>
        <v>0</v>
      </c>
      <c r="M56" s="10">
        <f>60.25%+K56/2+L56/4-12%</f>
        <v>0.54250000000000009</v>
      </c>
      <c r="N56" s="10">
        <f t="shared" si="11"/>
        <v>1.3250000000000002</v>
      </c>
      <c r="O56" s="9">
        <f>0.466+0.25*J56+0.32</f>
        <v>1.242</v>
      </c>
      <c r="P56" s="5">
        <f t="shared" si="12"/>
        <v>0.5</v>
      </c>
      <c r="Q56" s="5">
        <f t="shared" si="13"/>
        <v>0.9</v>
      </c>
      <c r="R56" s="9">
        <v>2.38</v>
      </c>
      <c r="S56" s="3" t="s">
        <v>92</v>
      </c>
      <c r="T56" s="6">
        <f>2726*R56*(1+O56)*(1+N56)*P56*Q56*1.5*(1+(2.78*I56)/(I56+1400))</f>
        <v>35316.253594138667</v>
      </c>
    </row>
    <row r="58" spans="1:20" x14ac:dyDescent="0.15">
      <c r="A58" s="3" t="s">
        <v>9</v>
      </c>
      <c r="B58" s="3" t="s">
        <v>10</v>
      </c>
      <c r="C58" s="3" t="s">
        <v>11</v>
      </c>
      <c r="D58" s="3" t="s">
        <v>12</v>
      </c>
      <c r="E58" s="4" t="s">
        <v>13</v>
      </c>
      <c r="F58" s="11" t="s">
        <v>14</v>
      </c>
      <c r="G58" s="11" t="s">
        <v>15</v>
      </c>
      <c r="H58" s="6" t="s">
        <v>16</v>
      </c>
      <c r="I58" s="7" t="s">
        <v>18</v>
      </c>
      <c r="J58" s="8" t="s">
        <v>38</v>
      </c>
      <c r="K58" s="12" t="s">
        <v>19</v>
      </c>
      <c r="L58" s="12" t="s">
        <v>20</v>
      </c>
      <c r="M58" s="10" t="s">
        <v>21</v>
      </c>
      <c r="N58" s="10" t="s">
        <v>22</v>
      </c>
      <c r="O58" s="12" t="s">
        <v>23</v>
      </c>
      <c r="P58" s="11" t="s">
        <v>24</v>
      </c>
      <c r="Q58" s="11" t="s">
        <v>25</v>
      </c>
      <c r="R58" s="12" t="s">
        <v>26</v>
      </c>
      <c r="S58" s="3" t="s">
        <v>27</v>
      </c>
      <c r="T58" s="6" t="s">
        <v>28</v>
      </c>
    </row>
    <row r="59" spans="1:20" x14ac:dyDescent="0.15">
      <c r="A59" s="3" t="s">
        <v>94</v>
      </c>
      <c r="B59" s="3" t="s">
        <v>95</v>
      </c>
      <c r="C59" s="3" t="s">
        <v>82</v>
      </c>
      <c r="D59" s="3" t="s">
        <v>90</v>
      </c>
      <c r="E59" s="4" t="s">
        <v>91</v>
      </c>
      <c r="F59" s="5">
        <v>191</v>
      </c>
      <c r="G59" s="5">
        <v>674</v>
      </c>
      <c r="H59" s="6">
        <f>(F59+G59)*(1+0.3+0.2)+311</f>
        <v>1608.5</v>
      </c>
      <c r="I59" s="7">
        <f>80</f>
        <v>80</v>
      </c>
      <c r="J59" s="13">
        <f>1+0.518+0.267+0.2</f>
        <v>1.9850000000000001</v>
      </c>
      <c r="K59" s="9">
        <v>0</v>
      </c>
      <c r="L59" s="9">
        <f>0</f>
        <v>0</v>
      </c>
      <c r="M59" s="10">
        <f>60.25%+K59/2+L59/4</f>
        <v>0.60250000000000004</v>
      </c>
      <c r="N59" s="10">
        <f>60.25%*2+K59+L59/2</f>
        <v>1.2050000000000001</v>
      </c>
      <c r="O59" s="9">
        <f>0.466+0.2</f>
        <v>0.66600000000000004</v>
      </c>
      <c r="P59" s="5">
        <f>0.5</f>
        <v>0.5</v>
      </c>
      <c r="Q59" s="5">
        <f>0.9</f>
        <v>0.9</v>
      </c>
      <c r="R59" s="9">
        <v>4.9470000000000001</v>
      </c>
      <c r="S59" s="3" t="s">
        <v>65</v>
      </c>
      <c r="T59" s="6">
        <f>(H59+1.39*(F59+G59))*R59*(1+O59)*(1+N59)*P59*Q59*1.5*(1+(2.78*I59)/(I59+1400))</f>
        <v>39661.290350547235</v>
      </c>
    </row>
    <row r="60" spans="1:20" x14ac:dyDescent="0.15">
      <c r="A60" s="3" t="s">
        <v>94</v>
      </c>
      <c r="B60" s="3" t="s">
        <v>96</v>
      </c>
      <c r="C60" s="3" t="s">
        <v>82</v>
      </c>
      <c r="D60" s="3" t="s">
        <v>90</v>
      </c>
      <c r="E60" s="4" t="s">
        <v>91</v>
      </c>
      <c r="F60" s="5">
        <v>191</v>
      </c>
      <c r="G60" s="5">
        <v>608</v>
      </c>
      <c r="H60" s="6">
        <f>(F60+G60)*(1+0.3)+311</f>
        <v>1349.7</v>
      </c>
      <c r="I60" s="7">
        <f>80</f>
        <v>80</v>
      </c>
      <c r="J60" s="13">
        <f>1+0.518+0.267+0.2+0.551</f>
        <v>2.536</v>
      </c>
      <c r="K60" s="9">
        <v>0.04</v>
      </c>
      <c r="L60" s="9">
        <f>0</f>
        <v>0</v>
      </c>
      <c r="M60" s="10">
        <f>60.25%+K60/2+L60/4</f>
        <v>0.62250000000000005</v>
      </c>
      <c r="N60" s="10">
        <f>60.25%*2+K60+L60/2</f>
        <v>1.2450000000000001</v>
      </c>
      <c r="O60" s="9">
        <f>0.466+0.2</f>
        <v>0.66600000000000004</v>
      </c>
      <c r="P60" s="5">
        <f>0.5</f>
        <v>0.5</v>
      </c>
      <c r="Q60" s="5">
        <f>0.9</f>
        <v>0.9</v>
      </c>
      <c r="R60" s="9">
        <v>4.9470000000000001</v>
      </c>
      <c r="S60" s="3" t="s">
        <v>65</v>
      </c>
      <c r="T60" s="6">
        <f>(H60+1.39*(F60+G60))*R60*(1+O60)*(1+N60)*P60*Q60*1.5*(1+(2.78*I60)/(I60+1400))</f>
        <v>35344.899624093778</v>
      </c>
    </row>
    <row r="62" spans="1:20" x14ac:dyDescent="0.15">
      <c r="A62" s="3" t="s">
        <v>9</v>
      </c>
      <c r="B62" s="3" t="s">
        <v>10</v>
      </c>
      <c r="C62" s="3" t="s">
        <v>11</v>
      </c>
      <c r="D62" s="3" t="s">
        <v>12</v>
      </c>
      <c r="E62" s="4" t="s">
        <v>13</v>
      </c>
      <c r="F62" s="11" t="s">
        <v>14</v>
      </c>
      <c r="G62" s="11" t="s">
        <v>15</v>
      </c>
      <c r="H62" s="6" t="s">
        <v>16</v>
      </c>
      <c r="I62" s="7" t="s">
        <v>97</v>
      </c>
      <c r="J62" s="8" t="s">
        <v>38</v>
      </c>
      <c r="K62" s="12" t="s">
        <v>19</v>
      </c>
      <c r="L62" s="12" t="s">
        <v>20</v>
      </c>
      <c r="M62" s="10" t="s">
        <v>21</v>
      </c>
      <c r="N62" s="10" t="s">
        <v>22</v>
      </c>
      <c r="O62" s="12" t="s">
        <v>23</v>
      </c>
      <c r="P62" s="11" t="s">
        <v>24</v>
      </c>
      <c r="Q62" s="11" t="s">
        <v>25</v>
      </c>
      <c r="R62" s="12" t="s">
        <v>26</v>
      </c>
      <c r="S62" s="3" t="s">
        <v>27</v>
      </c>
      <c r="T62" s="6" t="s">
        <v>28</v>
      </c>
    </row>
    <row r="63" spans="1:20" x14ac:dyDescent="0.15">
      <c r="A63" s="3" t="s">
        <v>94</v>
      </c>
      <c r="B63" s="3" t="s">
        <v>95</v>
      </c>
      <c r="C63" s="3" t="s">
        <v>98</v>
      </c>
      <c r="D63" s="3" t="s">
        <v>99</v>
      </c>
      <c r="E63" s="4" t="s">
        <v>91</v>
      </c>
      <c r="F63" s="5">
        <v>191</v>
      </c>
      <c r="G63" s="5">
        <v>674</v>
      </c>
      <c r="H63" s="6">
        <f>(F63+G63)*(1+0.2+0.2)+311</f>
        <v>1522</v>
      </c>
      <c r="I63" s="7">
        <f>12397*(1+0.466+0.3)+4780</f>
        <v>26673.101999999999</v>
      </c>
      <c r="J63" s="13">
        <f>1+0.518+0.267+0.2</f>
        <v>1.9850000000000001</v>
      </c>
      <c r="K63" s="9">
        <v>0</v>
      </c>
      <c r="L63" s="9">
        <f>0</f>
        <v>0</v>
      </c>
      <c r="M63" s="10" t="s">
        <v>44</v>
      </c>
      <c r="N63" s="10" t="s">
        <v>44</v>
      </c>
      <c r="O63" s="9" t="s">
        <v>45</v>
      </c>
      <c r="P63" s="5">
        <f>0.5</f>
        <v>0.5</v>
      </c>
      <c r="Q63" s="5">
        <f>0.9</f>
        <v>0.9</v>
      </c>
      <c r="R63" s="9" t="s">
        <v>45</v>
      </c>
      <c r="S63" s="3" t="s">
        <v>100</v>
      </c>
      <c r="T63" s="6">
        <f>(1588+12.75%*I63)*(1+0.15+0.358+0.2)</f>
        <v>8520.9054225399996</v>
      </c>
    </row>
    <row r="64" spans="1:20" x14ac:dyDescent="0.15">
      <c r="A64" s="3" t="s">
        <v>94</v>
      </c>
      <c r="B64" s="3" t="s">
        <v>96</v>
      </c>
      <c r="C64" s="3" t="s">
        <v>98</v>
      </c>
      <c r="D64" s="3" t="s">
        <v>99</v>
      </c>
      <c r="E64" s="4" t="s">
        <v>91</v>
      </c>
      <c r="F64" s="5">
        <v>191</v>
      </c>
      <c r="G64" s="5">
        <v>608</v>
      </c>
      <c r="H64" s="6">
        <f>(F64+G64)*(1+0.2)+311</f>
        <v>1269.8</v>
      </c>
      <c r="I64" s="7">
        <f>12397*(1+0.466+0.3)+4780</f>
        <v>26673.101999999999</v>
      </c>
      <c r="J64" s="13">
        <f>1+0.518+0.267+0.2+0.551</f>
        <v>2.536</v>
      </c>
      <c r="K64" s="9">
        <v>0.04</v>
      </c>
      <c r="L64" s="9">
        <f>0</f>
        <v>0</v>
      </c>
      <c r="M64" s="10" t="s">
        <v>44</v>
      </c>
      <c r="N64" s="10" t="s">
        <v>44</v>
      </c>
      <c r="O64" s="9" t="s">
        <v>45</v>
      </c>
      <c r="P64" s="5">
        <f>0.5</f>
        <v>0.5</v>
      </c>
      <c r="Q64" s="5">
        <f>0.9</f>
        <v>0.9</v>
      </c>
      <c r="R64" s="9" t="s">
        <v>45</v>
      </c>
      <c r="S64" s="3" t="s">
        <v>100</v>
      </c>
      <c r="T64" s="6">
        <f>(1588+12.75%*I64)*(1+0.15+0.358+0.2)</f>
        <v>8520.9054225399996</v>
      </c>
    </row>
    <row r="66" spans="1:20" x14ac:dyDescent="0.1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</row>
    <row r="67" spans="1:20" x14ac:dyDescent="0.15">
      <c r="A67" s="3" t="s">
        <v>9</v>
      </c>
      <c r="B67" s="3" t="s">
        <v>10</v>
      </c>
      <c r="C67" s="3" t="s">
        <v>11</v>
      </c>
      <c r="D67" s="3" t="s">
        <v>12</v>
      </c>
      <c r="E67" s="4" t="s">
        <v>13</v>
      </c>
      <c r="F67" s="11" t="s">
        <v>14</v>
      </c>
      <c r="G67" s="11" t="s">
        <v>15</v>
      </c>
      <c r="H67" s="6" t="s">
        <v>16</v>
      </c>
      <c r="I67" s="7" t="s">
        <v>97</v>
      </c>
      <c r="J67" s="13" t="s">
        <v>101</v>
      </c>
      <c r="K67" s="12" t="s">
        <v>19</v>
      </c>
      <c r="L67" s="12" t="s">
        <v>20</v>
      </c>
      <c r="M67" s="10" t="s">
        <v>21</v>
      </c>
      <c r="N67" s="10" t="s">
        <v>22</v>
      </c>
      <c r="O67" s="12" t="s">
        <v>23</v>
      </c>
      <c r="P67" s="11" t="s">
        <v>24</v>
      </c>
      <c r="Q67" s="11" t="s">
        <v>25</v>
      </c>
      <c r="R67" s="12" t="s">
        <v>26</v>
      </c>
      <c r="S67" s="3" t="s">
        <v>27</v>
      </c>
      <c r="T67" s="6" t="s">
        <v>28</v>
      </c>
    </row>
    <row r="68" spans="1:20" x14ac:dyDescent="0.15">
      <c r="A68" s="53" t="s">
        <v>308</v>
      </c>
      <c r="B68" s="53" t="s">
        <v>309</v>
      </c>
      <c r="C68" s="53" t="s">
        <v>310</v>
      </c>
      <c r="D68" s="53" t="s">
        <v>311</v>
      </c>
      <c r="E68" s="54" t="s">
        <v>312</v>
      </c>
      <c r="F68" s="55">
        <v>299</v>
      </c>
      <c r="G68" s="55">
        <v>608</v>
      </c>
      <c r="H68" s="6">
        <f>(F68+G68)*(1+0.3+0.466+0.18)+311</f>
        <v>2076.0219999999999</v>
      </c>
      <c r="I68" s="6">
        <f>13715*(1+0.2)+4780</f>
        <v>21238</v>
      </c>
      <c r="J68" s="10"/>
      <c r="K68" s="56">
        <v>0.33100000000000002</v>
      </c>
      <c r="L68" s="56">
        <v>0.38400000000000001</v>
      </c>
      <c r="M68" s="10">
        <f>60.25%+K68/2+L68/4-6.4%</f>
        <v>0.8</v>
      </c>
      <c r="N68" s="10">
        <f>60.25%*2+K68+L68/2+6.4%*2</f>
        <v>1.8559999999999999</v>
      </c>
      <c r="O68" s="56">
        <f>0.466+0.52</f>
        <v>0.98599999999999999</v>
      </c>
      <c r="P68" s="55">
        <f>0.5</f>
        <v>0.5</v>
      </c>
      <c r="Q68" s="55">
        <v>0.9</v>
      </c>
      <c r="R68" s="56">
        <v>1.0455000000000001</v>
      </c>
      <c r="S68" s="53" t="s">
        <v>313</v>
      </c>
      <c r="T68" s="6">
        <f>(H68*(R68+0.7)+2*1.11%*I68)*(1+O68)*(1+N68)*P68*Q68</f>
        <v>10452.566919848408</v>
      </c>
    </row>
    <row r="69" spans="1:20" x14ac:dyDescent="0.15">
      <c r="A69" s="53" t="s">
        <v>308</v>
      </c>
      <c r="B69" s="53" t="s">
        <v>314</v>
      </c>
      <c r="C69" s="53" t="s">
        <v>315</v>
      </c>
      <c r="D69" s="53" t="s">
        <v>311</v>
      </c>
      <c r="E69" s="54" t="s">
        <v>312</v>
      </c>
      <c r="F69" s="55">
        <v>299</v>
      </c>
      <c r="G69" s="55">
        <v>542</v>
      </c>
      <c r="H69" s="6">
        <f>(F69+G69)*(1+0.3+0.466)+311+1.2%*I69</f>
        <v>2083.9780000000001</v>
      </c>
      <c r="I69" s="6">
        <f>13715*(1+0.2+0.2)+4780</f>
        <v>23981</v>
      </c>
      <c r="J69" s="10"/>
      <c r="K69" s="56">
        <v>0.441</v>
      </c>
      <c r="L69" s="56">
        <v>0.38400000000000001</v>
      </c>
      <c r="M69" s="10">
        <f>60.25%+K69/2+L69/4-11.9%</f>
        <v>0.8</v>
      </c>
      <c r="N69" s="10">
        <f>60.25%*2+K69+L69/2+11.9%*2</f>
        <v>2.0760000000000001</v>
      </c>
      <c r="O69" s="56">
        <f>0.466+0.15+0.3</f>
        <v>0.91599999999999993</v>
      </c>
      <c r="P69" s="55">
        <f>0.5</f>
        <v>0.5</v>
      </c>
      <c r="Q69" s="55">
        <v>0.9</v>
      </c>
      <c r="R69" s="56">
        <v>1.0455000000000001</v>
      </c>
      <c r="S69" s="53" t="s">
        <v>316</v>
      </c>
      <c r="T69" s="6">
        <f>(H69*(R69)+2*1.11%*I69)*(1+O69)*(1+N69)*P69*Q69</f>
        <v>7190.3867934877135</v>
      </c>
    </row>
    <row r="70" spans="1:20" x14ac:dyDescent="0.15">
      <c r="A70" s="53" t="s">
        <v>308</v>
      </c>
      <c r="B70" s="53" t="s">
        <v>317</v>
      </c>
      <c r="C70" s="53" t="s">
        <v>310</v>
      </c>
      <c r="D70" s="53" t="s">
        <v>311</v>
      </c>
      <c r="E70" s="54" t="s">
        <v>312</v>
      </c>
      <c r="F70" s="55">
        <v>299</v>
      </c>
      <c r="G70" s="55">
        <v>510</v>
      </c>
      <c r="H70" s="6">
        <f>(F70+G70)*(1+0.3+0.466+0.18)+311</f>
        <v>1885.3139999999999</v>
      </c>
      <c r="I70" s="6">
        <f>13715*(1+0.2)+4780</f>
        <v>21238</v>
      </c>
      <c r="J70" s="10"/>
      <c r="K70" s="56">
        <v>0.27600000000000002</v>
      </c>
      <c r="L70" s="56">
        <v>0.38400000000000001</v>
      </c>
      <c r="M70" s="10">
        <f>60.25%+K70/2+L70/4-3.65%</f>
        <v>0.8</v>
      </c>
      <c r="N70" s="10">
        <f>60.25%*2+K70+L70/2+3.65%*2</f>
        <v>1.746</v>
      </c>
      <c r="O70" s="56">
        <f>0.466+0.4</f>
        <v>0.8660000000000001</v>
      </c>
      <c r="P70" s="55">
        <f>0.5</f>
        <v>0.5</v>
      </c>
      <c r="Q70" s="55">
        <v>0.9</v>
      </c>
      <c r="R70" s="56">
        <v>1.0455000000000001</v>
      </c>
      <c r="S70" s="53" t="s">
        <v>313</v>
      </c>
      <c r="T70" s="6">
        <f>(H70*(R70+0.7)+2*1.11%*I70)*(1+O70)*(1+N70)*P70*Q70</f>
        <v>8675.1704146314314</v>
      </c>
    </row>
    <row r="71" spans="1:20" x14ac:dyDescent="0.1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</row>
    <row r="72" spans="1:20" x14ac:dyDescent="0.15">
      <c r="A72" s="3" t="s">
        <v>102</v>
      </c>
      <c r="B72" s="3" t="s">
        <v>103</v>
      </c>
      <c r="C72" s="3" t="s">
        <v>104</v>
      </c>
      <c r="D72" s="3" t="s">
        <v>105</v>
      </c>
      <c r="E72" s="4" t="s">
        <v>106</v>
      </c>
      <c r="F72" s="5">
        <v>234</v>
      </c>
      <c r="G72" s="5">
        <v>608</v>
      </c>
      <c r="H72" s="6">
        <f>(F72+G72)*(1+0.2)+311</f>
        <v>1321.4</v>
      </c>
      <c r="I72" s="7">
        <f>13471*(1+14*5%+0.466+0.496)+4780</f>
        <v>40639.802000000003</v>
      </c>
      <c r="J72" s="13">
        <f>0.25+0.15+0.1+0.358</f>
        <v>0.85799999999999998</v>
      </c>
      <c r="K72" s="9">
        <v>0</v>
      </c>
      <c r="L72" s="9">
        <f>0</f>
        <v>0</v>
      </c>
      <c r="M72" s="10">
        <v>0</v>
      </c>
      <c r="N72" s="10">
        <v>0</v>
      </c>
      <c r="O72" s="9">
        <f>0.466+0.288</f>
        <v>0.754</v>
      </c>
      <c r="P72" s="5">
        <f>0.5</f>
        <v>0.5</v>
      </c>
      <c r="Q72" s="5">
        <f>0.9</f>
        <v>0.9</v>
      </c>
      <c r="R72" s="9">
        <v>0.95730000000000004</v>
      </c>
      <c r="S72" s="3" t="s">
        <v>107</v>
      </c>
      <c r="T72" s="6">
        <f>(H72*R72+I72*(8.71%+1%+15%*J72))*(1+O72)*(1+N72)*P72*Q72</f>
        <v>8241.4313637058804</v>
      </c>
    </row>
    <row r="73" spans="1:20" x14ac:dyDescent="0.15">
      <c r="A73" s="3" t="s">
        <v>102</v>
      </c>
      <c r="B73" s="3" t="s">
        <v>108</v>
      </c>
      <c r="C73" s="3" t="s">
        <v>104</v>
      </c>
      <c r="D73" s="3" t="s">
        <v>105</v>
      </c>
      <c r="E73" s="4" t="s">
        <v>106</v>
      </c>
      <c r="F73" s="5">
        <v>234</v>
      </c>
      <c r="G73" s="5">
        <v>510</v>
      </c>
      <c r="H73" s="6">
        <f>(F73+G73)*(1+0.2)+311</f>
        <v>1203.8</v>
      </c>
      <c r="I73" s="7">
        <f>13471*(1+14*5%+0.466+0.413)+4780</f>
        <v>39521.709000000003</v>
      </c>
      <c r="J73" s="13">
        <f>0.25+0.15+0.358</f>
        <v>0.75800000000000001</v>
      </c>
      <c r="K73" s="9">
        <v>0</v>
      </c>
      <c r="L73" s="9">
        <f>0</f>
        <v>0</v>
      </c>
      <c r="M73" s="10">
        <v>0</v>
      </c>
      <c r="N73" s="10">
        <v>0</v>
      </c>
      <c r="O73" s="9">
        <f>0.466+0.288</f>
        <v>0.754</v>
      </c>
      <c r="P73" s="5">
        <f>0.5</f>
        <v>0.5</v>
      </c>
      <c r="Q73" s="5">
        <f>0.9</f>
        <v>0.9</v>
      </c>
      <c r="R73" s="9">
        <v>0.95730000000000004</v>
      </c>
      <c r="S73" s="3" t="s">
        <v>107</v>
      </c>
      <c r="T73" s="6">
        <f>(H73*R73+I73*(8.71%+15%*J73))*(1+O73)*(1+N73)*P73*Q73</f>
        <v>7173.4401068529614</v>
      </c>
    </row>
    <row r="74" spans="1:20" x14ac:dyDescent="0.15">
      <c r="A74" s="3" t="s">
        <v>102</v>
      </c>
      <c r="B74" s="3" t="s">
        <v>109</v>
      </c>
      <c r="C74" s="3" t="s">
        <v>76</v>
      </c>
      <c r="D74" s="3" t="s">
        <v>110</v>
      </c>
      <c r="E74" s="4" t="s">
        <v>111</v>
      </c>
      <c r="F74" s="5">
        <v>234</v>
      </c>
      <c r="G74" s="5">
        <v>401</v>
      </c>
      <c r="H74" s="6">
        <f>(F74+G74)*(1+0.2)+311</f>
        <v>1073</v>
      </c>
      <c r="I74" s="7">
        <f>13471*(1+14*5%+0.466*2+0.352+0.2)+4780</f>
        <v>47671.664000000004</v>
      </c>
      <c r="J74" s="13">
        <f>0.25+0.358</f>
        <v>0.60799999999999998</v>
      </c>
      <c r="K74" s="9">
        <v>0</v>
      </c>
      <c r="L74" s="9">
        <f>0</f>
        <v>0</v>
      </c>
      <c r="M74" s="10">
        <v>0</v>
      </c>
      <c r="N74" s="10">
        <v>0</v>
      </c>
      <c r="O74" s="9">
        <f>0.288</f>
        <v>0.28799999999999998</v>
      </c>
      <c r="P74" s="5">
        <f>0.5</f>
        <v>0.5</v>
      </c>
      <c r="Q74" s="5">
        <f>0.9</f>
        <v>0.9</v>
      </c>
      <c r="R74" s="9">
        <v>0.95730000000000004</v>
      </c>
      <c r="S74" s="3" t="s">
        <v>112</v>
      </c>
      <c r="T74" s="6">
        <f>(862+7.48%*I74)*(1+J74)</f>
        <v>7119.9674712576016</v>
      </c>
    </row>
    <row r="75" spans="1:20" x14ac:dyDescent="0.15">
      <c r="A75" s="3" t="s">
        <v>102</v>
      </c>
      <c r="B75" s="3" t="s">
        <v>108</v>
      </c>
      <c r="C75" s="3" t="s">
        <v>76</v>
      </c>
      <c r="D75" s="3" t="s">
        <v>110</v>
      </c>
      <c r="E75" s="4" t="s">
        <v>111</v>
      </c>
      <c r="F75" s="5">
        <v>234</v>
      </c>
      <c r="G75" s="5">
        <v>510</v>
      </c>
      <c r="H75" s="6">
        <f>(F75+G75)*(1+0.2)+311</f>
        <v>1203.8</v>
      </c>
      <c r="I75" s="7">
        <f>13471*(1+14*5%+0.466*2+0.413+0.2)+4780</f>
        <v>48493.395000000004</v>
      </c>
      <c r="J75" s="13">
        <f>0.25+0.358</f>
        <v>0.60799999999999998</v>
      </c>
      <c r="K75" s="9">
        <v>0</v>
      </c>
      <c r="L75" s="9">
        <f>0</f>
        <v>0</v>
      </c>
      <c r="M75" s="10">
        <v>0</v>
      </c>
      <c r="N75" s="10">
        <v>0</v>
      </c>
      <c r="O75" s="9">
        <f>0.288</f>
        <v>0.28799999999999998</v>
      </c>
      <c r="P75" s="5">
        <f>0.5</f>
        <v>0.5</v>
      </c>
      <c r="Q75" s="5">
        <f>0.9</f>
        <v>0.9</v>
      </c>
      <c r="R75" s="9">
        <v>0.95730000000000004</v>
      </c>
      <c r="S75" s="3" t="s">
        <v>112</v>
      </c>
      <c r="T75" s="6">
        <f>(862+7.48%*I75)*(1+J75)</f>
        <v>7218.8039611680015</v>
      </c>
    </row>
    <row r="77" spans="1:20" x14ac:dyDescent="0.15">
      <c r="A77" s="3" t="s">
        <v>9</v>
      </c>
      <c r="B77" s="3" t="s">
        <v>10</v>
      </c>
      <c r="C77" s="3" t="s">
        <v>11</v>
      </c>
      <c r="D77" s="3" t="s">
        <v>12</v>
      </c>
      <c r="E77" s="4" t="s">
        <v>13</v>
      </c>
      <c r="F77" s="11" t="s">
        <v>14</v>
      </c>
      <c r="G77" s="11" t="s">
        <v>15</v>
      </c>
      <c r="H77" s="6" t="s">
        <v>16</v>
      </c>
      <c r="I77" s="7" t="s">
        <v>18</v>
      </c>
      <c r="J77" s="13"/>
      <c r="K77" s="12" t="s">
        <v>19</v>
      </c>
      <c r="L77" s="12" t="s">
        <v>20</v>
      </c>
      <c r="M77" s="10" t="s">
        <v>21</v>
      </c>
      <c r="N77" s="10" t="s">
        <v>22</v>
      </c>
      <c r="O77" s="12" t="s">
        <v>23</v>
      </c>
      <c r="P77" s="11" t="s">
        <v>24</v>
      </c>
      <c r="Q77" s="11" t="s">
        <v>25</v>
      </c>
      <c r="R77" s="12" t="s">
        <v>26</v>
      </c>
      <c r="S77" s="3" t="s">
        <v>27</v>
      </c>
      <c r="T77" s="6" t="s">
        <v>28</v>
      </c>
    </row>
    <row r="78" spans="1:20" x14ac:dyDescent="0.15">
      <c r="A78" s="3" t="s">
        <v>113</v>
      </c>
      <c r="B78" s="3" t="s">
        <v>114</v>
      </c>
      <c r="C78" s="3" t="s">
        <v>115</v>
      </c>
      <c r="D78" s="3" t="s">
        <v>116</v>
      </c>
      <c r="E78" s="4" t="s">
        <v>117</v>
      </c>
      <c r="F78" s="5">
        <v>301</v>
      </c>
      <c r="G78" s="5">
        <v>608</v>
      </c>
      <c r="H78" s="6">
        <f>(F78+G78)*(1+0.3+0.466+0.18)+311</f>
        <v>2079.9139999999998</v>
      </c>
      <c r="I78" s="7">
        <f>80</f>
        <v>80</v>
      </c>
      <c r="J78" s="13"/>
      <c r="K78" s="9">
        <v>0.33100000000000002</v>
      </c>
      <c r="L78" s="9">
        <f t="shared" ref="L78:L83" si="14">0</f>
        <v>0</v>
      </c>
      <c r="M78" s="10">
        <f>60.25%+K78/2+L78/4</f>
        <v>0.76800000000000002</v>
      </c>
      <c r="N78" s="10">
        <f>60.25%*2+K78+L78/2</f>
        <v>1.536</v>
      </c>
      <c r="O78" s="9">
        <f>0.466+0.288+0.15+0.12</f>
        <v>1.024</v>
      </c>
      <c r="P78" s="5">
        <f>0.5</f>
        <v>0.5</v>
      </c>
      <c r="Q78" s="5">
        <f>0.9</f>
        <v>0.9</v>
      </c>
      <c r="R78" s="9">
        <v>8.3520000000000003</v>
      </c>
      <c r="S78" s="3" t="s">
        <v>118</v>
      </c>
      <c r="T78" s="6">
        <f>((F78+G78)*(1+0.2+0.466+0.18+0.48)+311)*R78*(1+O78)*(1+N78)*P78*Q78*2*(1+(2.78*I78)/(I78+1400))</f>
        <v>107637.6488319348</v>
      </c>
    </row>
    <row r="79" spans="1:20" x14ac:dyDescent="0.15">
      <c r="A79" s="3" t="s">
        <v>113</v>
      </c>
      <c r="B79" s="3" t="s">
        <v>119</v>
      </c>
      <c r="C79" s="3" t="s">
        <v>115</v>
      </c>
      <c r="D79" s="3" t="s">
        <v>116</v>
      </c>
      <c r="E79" s="4" t="s">
        <v>117</v>
      </c>
      <c r="F79" s="5">
        <v>301</v>
      </c>
      <c r="G79" s="5">
        <v>674</v>
      </c>
      <c r="H79" s="6">
        <f>(F79+G79)*(1+0.3+0.466+0.18)+311</f>
        <v>2208.35</v>
      </c>
      <c r="I79" s="7">
        <f>80</f>
        <v>80</v>
      </c>
      <c r="J79" s="13"/>
      <c r="K79" s="9">
        <v>0.221</v>
      </c>
      <c r="L79" s="9">
        <v>0.2</v>
      </c>
      <c r="M79" s="10">
        <f>60.25%+K79/2+L79/4</f>
        <v>0.76300000000000012</v>
      </c>
      <c r="N79" s="10">
        <f>60.25%*2+K79+L79/2</f>
        <v>1.5260000000000002</v>
      </c>
      <c r="O79" s="9">
        <f>0.466+0.288+0.15</f>
        <v>0.90400000000000003</v>
      </c>
      <c r="P79" s="5">
        <f>0.5</f>
        <v>0.5</v>
      </c>
      <c r="Q79" s="5">
        <f>0.9</f>
        <v>0.9</v>
      </c>
      <c r="R79" s="9">
        <v>8.3520000000000003</v>
      </c>
      <c r="S79" s="3" t="s">
        <v>118</v>
      </c>
      <c r="T79" s="6">
        <f>H79*R79*(1+O79)*(1+N79)*P79*Q79*2*(1+(2.78*I79)/(I79+1400))</f>
        <v>91833.489320623834</v>
      </c>
    </row>
    <row r="80" spans="1:20" x14ac:dyDescent="0.15">
      <c r="A80" s="3" t="s">
        <v>113</v>
      </c>
      <c r="B80" s="3" t="s">
        <v>54</v>
      </c>
      <c r="C80" s="3" t="s">
        <v>115</v>
      </c>
      <c r="D80" s="3" t="s">
        <v>116</v>
      </c>
      <c r="E80" s="4" t="s">
        <v>117</v>
      </c>
      <c r="F80" s="5">
        <v>301</v>
      </c>
      <c r="G80" s="5">
        <v>510</v>
      </c>
      <c r="H80" s="6">
        <f>(F80+G80)*(1+0.3+0.466+0.18+0.413)+311</f>
        <v>2224.1489999999999</v>
      </c>
      <c r="I80" s="7">
        <f>80</f>
        <v>80</v>
      </c>
      <c r="J80" s="13"/>
      <c r="K80" s="9">
        <v>0</v>
      </c>
      <c r="L80" s="9">
        <f t="shared" si="14"/>
        <v>0</v>
      </c>
      <c r="M80" s="10">
        <f>60.25%+K80/2+L80/4</f>
        <v>0.60250000000000004</v>
      </c>
      <c r="N80" s="10">
        <f>60.25%*2+K80+L80/2</f>
        <v>1.2050000000000001</v>
      </c>
      <c r="O80" s="9">
        <f>0.466+0.288+0.15</f>
        <v>0.90400000000000003</v>
      </c>
      <c r="P80" s="5">
        <f>0.5</f>
        <v>0.5</v>
      </c>
      <c r="Q80" s="5">
        <f>0.9</f>
        <v>0.9</v>
      </c>
      <c r="R80" s="9">
        <v>8.3520000000000003</v>
      </c>
      <c r="S80" s="3" t="s">
        <v>118</v>
      </c>
      <c r="T80" s="6">
        <f>H80*R80*(1+O80)*(1+N80)*P80*Q80*2*(1+(2.78*I80)/(I80+1400))</f>
        <v>80736.943908502479</v>
      </c>
    </row>
    <row r="82" spans="1:20" x14ac:dyDescent="0.15">
      <c r="A82" s="3" t="s">
        <v>9</v>
      </c>
      <c r="B82" s="3" t="s">
        <v>10</v>
      </c>
      <c r="C82" s="3" t="s">
        <v>11</v>
      </c>
      <c r="D82" s="3" t="s">
        <v>12</v>
      </c>
      <c r="E82" s="4" t="s">
        <v>13</v>
      </c>
      <c r="F82" s="11" t="s">
        <v>14</v>
      </c>
      <c r="G82" s="11" t="s">
        <v>15</v>
      </c>
      <c r="H82" s="6" t="s">
        <v>16</v>
      </c>
      <c r="I82" s="7" t="s">
        <v>97</v>
      </c>
      <c r="J82" s="13" t="s">
        <v>38</v>
      </c>
      <c r="K82" s="12" t="s">
        <v>19</v>
      </c>
      <c r="L82" s="12" t="s">
        <v>20</v>
      </c>
      <c r="M82" s="10" t="s">
        <v>21</v>
      </c>
      <c r="N82" s="10" t="s">
        <v>22</v>
      </c>
      <c r="O82" s="12" t="s">
        <v>23</v>
      </c>
      <c r="P82" s="11" t="s">
        <v>24</v>
      </c>
      <c r="Q82" s="11" t="s">
        <v>25</v>
      </c>
      <c r="R82" s="12" t="s">
        <v>26</v>
      </c>
      <c r="S82" s="3" t="s">
        <v>27</v>
      </c>
      <c r="T82" s="6" t="s">
        <v>28</v>
      </c>
    </row>
    <row r="83" spans="1:20" x14ac:dyDescent="0.15">
      <c r="A83" s="3" t="s">
        <v>120</v>
      </c>
      <c r="B83" s="3" t="s">
        <v>121</v>
      </c>
      <c r="C83" s="3" t="s">
        <v>122</v>
      </c>
      <c r="D83" s="3" t="s">
        <v>116</v>
      </c>
      <c r="E83" s="4" t="s">
        <v>123</v>
      </c>
      <c r="F83" s="5">
        <v>202</v>
      </c>
      <c r="G83" s="5">
        <v>454</v>
      </c>
      <c r="H83" s="6">
        <f>(F83+G83)*(1+0.3+0.466+0.24)+311</f>
        <v>1626.9360000000001</v>
      </c>
      <c r="I83" s="7">
        <f>10222*(1+0.2)+4780</f>
        <v>17046.400000000001</v>
      </c>
      <c r="J83" s="13">
        <f>1+0.2+0.613</f>
        <v>1.8129999999999999</v>
      </c>
      <c r="K83" s="9">
        <v>0</v>
      </c>
      <c r="L83" s="9">
        <f t="shared" si="14"/>
        <v>0</v>
      </c>
      <c r="M83" s="10">
        <f t="shared" ref="M83:M89" si="15">60.25%+K83/2+L83/4</f>
        <v>0.60250000000000004</v>
      </c>
      <c r="N83" s="10">
        <f t="shared" ref="N83:N89" si="16">60.25%*2+K83+L83/2</f>
        <v>1.2050000000000001</v>
      </c>
      <c r="O83" s="9">
        <f>0.466+0.15+0.2+0.2</f>
        <v>1.016</v>
      </c>
      <c r="P83" s="5">
        <f t="shared" ref="P83:P89" si="17">0.5</f>
        <v>0.5</v>
      </c>
      <c r="Q83" s="5">
        <v>1.0249999999999999</v>
      </c>
      <c r="R83" s="9">
        <v>1.1533</v>
      </c>
      <c r="S83" s="3" t="s">
        <v>124</v>
      </c>
      <c r="T83" s="6">
        <f t="shared" ref="T83:T89" si="18">H83*R83*(1+O83)*(1+N83)*P83*Q83</f>
        <v>4274.7010950158929</v>
      </c>
    </row>
    <row r="84" spans="1:20" x14ac:dyDescent="0.15">
      <c r="A84" s="3" t="s">
        <v>120</v>
      </c>
      <c r="B84" s="3" t="s">
        <v>125</v>
      </c>
      <c r="C84" s="3" t="s">
        <v>89</v>
      </c>
      <c r="D84" s="3" t="s">
        <v>126</v>
      </c>
      <c r="E84" s="4" t="s">
        <v>123</v>
      </c>
      <c r="F84" s="5">
        <v>202</v>
      </c>
      <c r="G84" s="5">
        <v>542</v>
      </c>
      <c r="H84" s="6">
        <f>(F84+G84)*(1+0.3+0.24)+311+1.2%*I84</f>
        <v>1685.8496</v>
      </c>
      <c r="I84" s="7">
        <f>10222*(1+0.2+0.2)+4780</f>
        <v>19090.8</v>
      </c>
      <c r="J84" s="13">
        <f>1+0.2+0.518+0.2</f>
        <v>1.9179999999999999</v>
      </c>
      <c r="K84" s="9">
        <v>0.441</v>
      </c>
      <c r="L84" s="9">
        <v>0</v>
      </c>
      <c r="M84" s="10">
        <v>0.8</v>
      </c>
      <c r="N84" s="10">
        <f>60.25%*2+K84+L84/2+2.3%*2</f>
        <v>1.6920000000000002</v>
      </c>
      <c r="O84" s="9">
        <f>0.466+0.25*J84+0.2</f>
        <v>1.1455</v>
      </c>
      <c r="P84" s="5">
        <f t="shared" si="17"/>
        <v>0.5</v>
      </c>
      <c r="Q84" s="5">
        <v>1.0249999999999999</v>
      </c>
      <c r="R84" s="9">
        <v>1.1533</v>
      </c>
      <c r="S84" s="3" t="s">
        <v>124</v>
      </c>
      <c r="T84" s="6">
        <f t="shared" si="18"/>
        <v>5755.1753904379802</v>
      </c>
    </row>
    <row r="85" spans="1:20" x14ac:dyDescent="0.15">
      <c r="J85" s="13"/>
    </row>
    <row r="86" spans="1:20" x14ac:dyDescent="0.15">
      <c r="A86" s="3" t="s">
        <v>9</v>
      </c>
      <c r="B86" s="3" t="s">
        <v>10</v>
      </c>
      <c r="C86" s="3" t="s">
        <v>11</v>
      </c>
      <c r="D86" s="3" t="s">
        <v>12</v>
      </c>
      <c r="E86" s="4" t="s">
        <v>13</v>
      </c>
      <c r="F86" s="11" t="s">
        <v>14</v>
      </c>
      <c r="G86" s="11" t="s">
        <v>15</v>
      </c>
      <c r="H86" s="6" t="s">
        <v>16</v>
      </c>
      <c r="I86" s="7" t="s">
        <v>38</v>
      </c>
      <c r="J86" s="13" t="s">
        <v>18</v>
      </c>
      <c r="K86" s="12" t="s">
        <v>19</v>
      </c>
      <c r="L86" s="12" t="s">
        <v>20</v>
      </c>
      <c r="M86" s="10" t="s">
        <v>21</v>
      </c>
      <c r="N86" s="10" t="s">
        <v>22</v>
      </c>
      <c r="O86" s="12" t="s">
        <v>23</v>
      </c>
      <c r="P86" s="11" t="s">
        <v>24</v>
      </c>
      <c r="Q86" s="11" t="s">
        <v>25</v>
      </c>
      <c r="R86" s="12" t="s">
        <v>26</v>
      </c>
      <c r="S86" s="3" t="s">
        <v>27</v>
      </c>
      <c r="T86" s="6" t="s">
        <v>28</v>
      </c>
    </row>
    <row r="87" spans="1:20" x14ac:dyDescent="0.15">
      <c r="A87" s="3" t="s">
        <v>127</v>
      </c>
      <c r="B87" s="3" t="s">
        <v>60</v>
      </c>
      <c r="C87" s="3" t="s">
        <v>89</v>
      </c>
      <c r="D87" s="3" t="s">
        <v>116</v>
      </c>
      <c r="E87" s="4" t="s">
        <v>106</v>
      </c>
      <c r="F87" s="5">
        <v>287</v>
      </c>
      <c r="G87" s="5">
        <v>510</v>
      </c>
      <c r="H87" s="6">
        <f>(F87+G87)*(1+0.3+0.466)+311</f>
        <v>1718.502</v>
      </c>
      <c r="I87" s="17">
        <f>1+0.3+0.32+0.2</f>
        <v>1.82</v>
      </c>
      <c r="J87" s="18">
        <v>80</v>
      </c>
      <c r="K87" s="9">
        <v>0</v>
      </c>
      <c r="L87" s="9">
        <v>0.55100000000000005</v>
      </c>
      <c r="M87" s="10">
        <f t="shared" si="15"/>
        <v>0.74025000000000007</v>
      </c>
      <c r="N87" s="10">
        <f t="shared" si="16"/>
        <v>1.4805000000000001</v>
      </c>
      <c r="O87" s="9">
        <f>0.466+0.6+0.45*I87+0.96</f>
        <v>2.8450000000000002</v>
      </c>
      <c r="P87" s="5">
        <f t="shared" si="17"/>
        <v>0.5</v>
      </c>
      <c r="Q87" s="5">
        <v>0.9</v>
      </c>
      <c r="R87" s="9">
        <v>7.9632000000000005</v>
      </c>
      <c r="S87" s="3" t="s">
        <v>128</v>
      </c>
      <c r="T87" s="6">
        <f>H87*R87*(1+O87)*(1+N87)*P87*Q87*2*(1+(2.78*J87)/(J87+1400))</f>
        <v>135118.75827766486</v>
      </c>
    </row>
    <row r="88" spans="1:20" x14ac:dyDescent="0.15">
      <c r="A88" s="3" t="s">
        <v>127</v>
      </c>
      <c r="B88" s="3" t="s">
        <v>109</v>
      </c>
      <c r="C88" s="3" t="s">
        <v>82</v>
      </c>
      <c r="D88" s="3" t="s">
        <v>126</v>
      </c>
      <c r="E88" s="4" t="s">
        <v>106</v>
      </c>
      <c r="F88" s="5">
        <v>287</v>
      </c>
      <c r="G88" s="5">
        <v>401</v>
      </c>
      <c r="H88" s="6">
        <f>(F88+G88)*(1+0.3)+311</f>
        <v>1205.4000000000001</v>
      </c>
      <c r="I88" s="17">
        <f>1+0.518+0.3+0.32</f>
        <v>2.1379999999999999</v>
      </c>
      <c r="J88" s="13"/>
      <c r="K88" s="9">
        <v>0</v>
      </c>
      <c r="L88" s="9">
        <v>0</v>
      </c>
      <c r="M88" s="10">
        <f t="shared" si="15"/>
        <v>0.60250000000000004</v>
      </c>
      <c r="N88" s="10">
        <f t="shared" si="16"/>
        <v>1.2050000000000001</v>
      </c>
      <c r="O88" s="9">
        <f>0.466+0.2+0.6+0.2*I88</f>
        <v>1.6936</v>
      </c>
      <c r="P88" s="5">
        <f t="shared" si="17"/>
        <v>0.5</v>
      </c>
      <c r="Q88" s="5">
        <v>0.9</v>
      </c>
      <c r="R88" s="9">
        <v>7.9632000000000005</v>
      </c>
      <c r="S88" s="3" t="s">
        <v>129</v>
      </c>
      <c r="T88" s="6">
        <f t="shared" si="18"/>
        <v>25655.059220551491</v>
      </c>
    </row>
    <row r="89" spans="1:20" x14ac:dyDescent="0.15">
      <c r="A89" s="3" t="s">
        <v>127</v>
      </c>
      <c r="B89" s="3" t="s">
        <v>108</v>
      </c>
      <c r="C89" s="3" t="s">
        <v>82</v>
      </c>
      <c r="D89" s="3" t="s">
        <v>126</v>
      </c>
      <c r="E89" s="4" t="s">
        <v>106</v>
      </c>
      <c r="F89" s="5">
        <v>287</v>
      </c>
      <c r="G89" s="5">
        <v>510</v>
      </c>
      <c r="H89" s="6">
        <f>(F89+G89)*(1+0.3)+311</f>
        <v>1347.1000000000001</v>
      </c>
      <c r="I89" s="17">
        <f>1+0.518+0.3+0.32</f>
        <v>2.1379999999999999</v>
      </c>
      <c r="J89" s="13"/>
      <c r="K89" s="9">
        <v>0</v>
      </c>
      <c r="L89" s="9">
        <v>0</v>
      </c>
      <c r="M89" s="10">
        <f t="shared" si="15"/>
        <v>0.60250000000000004</v>
      </c>
      <c r="N89" s="10">
        <f t="shared" si="16"/>
        <v>1.2050000000000001</v>
      </c>
      <c r="O89" s="9">
        <f>0.466+0.2+0.6+0.2*I89</f>
        <v>1.6936</v>
      </c>
      <c r="P89" s="5">
        <f t="shared" si="17"/>
        <v>0.5</v>
      </c>
      <c r="Q89" s="5">
        <v>0.9</v>
      </c>
      <c r="R89" s="9">
        <v>7.9632000000000005</v>
      </c>
      <c r="S89" s="3" t="s">
        <v>129</v>
      </c>
      <c r="T89" s="6">
        <f t="shared" si="18"/>
        <v>28670.92274432132</v>
      </c>
    </row>
    <row r="90" spans="1:20" x14ac:dyDescent="0.15">
      <c r="J90" s="13"/>
    </row>
    <row r="91" spans="1:20" x14ac:dyDescent="0.15">
      <c r="A91" s="3" t="s">
        <v>9</v>
      </c>
      <c r="B91" s="3" t="s">
        <v>10</v>
      </c>
      <c r="C91" s="3" t="s">
        <v>11</v>
      </c>
      <c r="D91" s="3" t="s">
        <v>12</v>
      </c>
      <c r="E91" s="4" t="s">
        <v>13</v>
      </c>
      <c r="F91" s="11" t="s">
        <v>14</v>
      </c>
      <c r="G91" s="11" t="s">
        <v>15</v>
      </c>
      <c r="H91" s="6" t="s">
        <v>16</v>
      </c>
      <c r="I91" s="7" t="s">
        <v>97</v>
      </c>
      <c r="J91" s="13" t="s">
        <v>101</v>
      </c>
      <c r="K91" s="12" t="s">
        <v>19</v>
      </c>
      <c r="L91" s="12" t="s">
        <v>20</v>
      </c>
      <c r="M91" s="10" t="s">
        <v>21</v>
      </c>
      <c r="N91" s="10" t="s">
        <v>22</v>
      </c>
      <c r="O91" s="12" t="s">
        <v>23</v>
      </c>
      <c r="P91" s="11" t="s">
        <v>24</v>
      </c>
      <c r="Q91" s="11" t="s">
        <v>25</v>
      </c>
      <c r="R91" s="12" t="s">
        <v>26</v>
      </c>
      <c r="S91" s="3" t="s">
        <v>27</v>
      </c>
      <c r="T91" s="6" t="s">
        <v>28</v>
      </c>
    </row>
    <row r="92" spans="1:20" x14ac:dyDescent="0.15">
      <c r="A92" s="3" t="s">
        <v>130</v>
      </c>
      <c r="B92" s="3" t="s">
        <v>103</v>
      </c>
      <c r="C92" s="3" t="s">
        <v>98</v>
      </c>
      <c r="D92" s="3" t="s">
        <v>110</v>
      </c>
      <c r="E92" s="4" t="s">
        <v>131</v>
      </c>
      <c r="F92" s="5">
        <v>159</v>
      </c>
      <c r="G92" s="5">
        <v>608</v>
      </c>
      <c r="H92" s="6">
        <f>(F92+G92)*(1+0.2)+311</f>
        <v>1231.4000000000001</v>
      </c>
      <c r="I92" s="7">
        <f>9787*(1+0.466*2+5%*11+0.24+0.496)+4780</f>
        <v>36274.566000000006</v>
      </c>
      <c r="J92" s="13">
        <f>0.15+0.358+0.1</f>
        <v>0.60799999999999998</v>
      </c>
      <c r="K92" s="9">
        <v>0</v>
      </c>
      <c r="L92" s="9">
        <v>0</v>
      </c>
      <c r="M92" s="10" t="s">
        <v>44</v>
      </c>
      <c r="N92" s="10" t="s">
        <v>44</v>
      </c>
      <c r="O92" s="9">
        <v>0</v>
      </c>
      <c r="P92" s="5">
        <f>0.5</f>
        <v>0.5</v>
      </c>
      <c r="Q92" s="5">
        <v>0.9</v>
      </c>
      <c r="R92" s="9">
        <v>0</v>
      </c>
      <c r="S92" s="3" t="s">
        <v>132</v>
      </c>
      <c r="T92" s="6">
        <f>(4335+35.2%*I92)*(1+0.2+J92)</f>
        <v>30923.394195456003</v>
      </c>
    </row>
    <row r="93" spans="1:20" x14ac:dyDescent="0.15">
      <c r="A93" s="3" t="s">
        <v>130</v>
      </c>
      <c r="B93" s="3" t="s">
        <v>109</v>
      </c>
      <c r="C93" s="3" t="s">
        <v>98</v>
      </c>
      <c r="D93" s="3" t="s">
        <v>110</v>
      </c>
      <c r="E93" s="4" t="s">
        <v>131</v>
      </c>
      <c r="F93" s="5">
        <v>159</v>
      </c>
      <c r="G93" s="5">
        <v>401</v>
      </c>
      <c r="H93" s="6">
        <f>(F93+G93)*(1+0.2)+311</f>
        <v>983</v>
      </c>
      <c r="I93" s="7">
        <f>9787*(1+0.466*2+5%*11+0.24+0.352)+4780</f>
        <v>34865.237999999998</v>
      </c>
      <c r="J93" s="13">
        <f>0.15+0.358</f>
        <v>0.50800000000000001</v>
      </c>
      <c r="K93" s="9">
        <v>0</v>
      </c>
      <c r="L93" s="9">
        <v>0</v>
      </c>
      <c r="M93" s="10" t="s">
        <v>44</v>
      </c>
      <c r="N93" s="10" t="s">
        <v>44</v>
      </c>
      <c r="O93" s="9">
        <v>0</v>
      </c>
      <c r="P93" s="5">
        <f>0.5</f>
        <v>0.5</v>
      </c>
      <c r="Q93" s="5">
        <v>0.9</v>
      </c>
      <c r="R93" s="9">
        <v>0</v>
      </c>
      <c r="S93" s="3" t="s">
        <v>132</v>
      </c>
      <c r="T93" s="6">
        <f>(4335+35.2%*I93)*(1+0.2+J93)</f>
        <v>28365.718929408005</v>
      </c>
    </row>
    <row r="94" spans="1:20" x14ac:dyDescent="0.15">
      <c r="A94" s="3" t="s">
        <v>130</v>
      </c>
      <c r="B94" s="3" t="s">
        <v>108</v>
      </c>
      <c r="C94" s="3" t="s">
        <v>98</v>
      </c>
      <c r="D94" s="3" t="s">
        <v>110</v>
      </c>
      <c r="E94" s="4" t="s">
        <v>131</v>
      </c>
      <c r="F94" s="5">
        <v>159</v>
      </c>
      <c r="G94" s="5">
        <v>510</v>
      </c>
      <c r="H94" s="6">
        <f>(F94+G94)*(1+0.2)+311</f>
        <v>1113.8</v>
      </c>
      <c r="I94" s="7">
        <f>9787*(1+0.466*2+5%*11+0.24+0.413)+4780</f>
        <v>35462.245000000003</v>
      </c>
      <c r="J94" s="13">
        <f>0.15+0.358</f>
        <v>0.50800000000000001</v>
      </c>
      <c r="K94" s="9">
        <v>0</v>
      </c>
      <c r="L94" s="9">
        <v>0</v>
      </c>
      <c r="M94" s="10" t="s">
        <v>44</v>
      </c>
      <c r="N94" s="10" t="s">
        <v>44</v>
      </c>
      <c r="O94" s="9">
        <v>0</v>
      </c>
      <c r="P94" s="5">
        <f>0.5</f>
        <v>0.5</v>
      </c>
      <c r="Q94" s="5">
        <v>0.9</v>
      </c>
      <c r="R94" s="9">
        <v>0</v>
      </c>
      <c r="S94" s="3" t="s">
        <v>132</v>
      </c>
      <c r="T94" s="6">
        <f>(4335+35.2%*I94)*(1+0.2+J94)</f>
        <v>28724.64908992</v>
      </c>
    </row>
    <row r="95" spans="1:20" x14ac:dyDescent="0.15">
      <c r="I95" s="17"/>
      <c r="J95" s="13"/>
    </row>
    <row r="96" spans="1:20" x14ac:dyDescent="0.1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</row>
    <row r="97" spans="1:20" x14ac:dyDescent="0.15">
      <c r="A97" s="3" t="s">
        <v>9</v>
      </c>
      <c r="B97" s="3" t="s">
        <v>10</v>
      </c>
      <c r="C97" s="3" t="s">
        <v>11</v>
      </c>
      <c r="D97" s="3" t="s">
        <v>12</v>
      </c>
      <c r="E97" s="4" t="s">
        <v>13</v>
      </c>
      <c r="F97" s="11" t="s">
        <v>14</v>
      </c>
      <c r="G97" s="11" t="s">
        <v>15</v>
      </c>
      <c r="H97" s="6" t="s">
        <v>16</v>
      </c>
      <c r="I97" s="7" t="s">
        <v>18</v>
      </c>
      <c r="J97" s="13" t="s">
        <v>101</v>
      </c>
      <c r="K97" s="12" t="s">
        <v>19</v>
      </c>
      <c r="L97" s="12" t="s">
        <v>20</v>
      </c>
      <c r="M97" s="10" t="s">
        <v>21</v>
      </c>
      <c r="N97" s="10" t="s">
        <v>22</v>
      </c>
      <c r="O97" s="12" t="s">
        <v>23</v>
      </c>
      <c r="P97" s="11" t="s">
        <v>24</v>
      </c>
      <c r="Q97" s="11" t="s">
        <v>25</v>
      </c>
      <c r="R97" s="12" t="s">
        <v>26</v>
      </c>
      <c r="S97" s="3" t="s">
        <v>27</v>
      </c>
      <c r="T97" s="6" t="s">
        <v>28</v>
      </c>
    </row>
    <row r="98" spans="1:20" x14ac:dyDescent="0.15">
      <c r="A98" s="3" t="s">
        <v>133</v>
      </c>
      <c r="B98" s="3" t="s">
        <v>64</v>
      </c>
      <c r="C98" s="3" t="s">
        <v>134</v>
      </c>
      <c r="D98" s="3" t="s">
        <v>135</v>
      </c>
      <c r="E98" s="4" t="s">
        <v>131</v>
      </c>
      <c r="F98" s="5">
        <v>244</v>
      </c>
      <c r="G98" s="5">
        <v>608</v>
      </c>
      <c r="H98" s="6">
        <f>(F98+G98)*(1+0.3+0.496+0.466+0.2)+311</f>
        <v>2408.6240000000003</v>
      </c>
      <c r="I98" s="7">
        <f>96+187+160</f>
        <v>443</v>
      </c>
      <c r="J98" s="13">
        <f>0.358</f>
        <v>0.35799999999999998</v>
      </c>
      <c r="K98" s="9">
        <v>0</v>
      </c>
      <c r="L98" s="9">
        <v>0</v>
      </c>
      <c r="M98" s="10" t="s">
        <v>44</v>
      </c>
      <c r="N98" s="10" t="s">
        <v>44</v>
      </c>
      <c r="O98" s="9">
        <v>0.15</v>
      </c>
      <c r="P98" s="5">
        <f t="shared" ref="P98:P103" si="19">0.5</f>
        <v>0.5</v>
      </c>
      <c r="Q98" s="5">
        <v>0.9</v>
      </c>
      <c r="R98" s="9">
        <v>0</v>
      </c>
      <c r="S98" s="3" t="s">
        <v>136</v>
      </c>
      <c r="T98" s="6">
        <f>(1280+159.74%*H98)*(1+J98)</f>
        <v>6963.1938575808008</v>
      </c>
    </row>
    <row r="99" spans="1:20" x14ac:dyDescent="0.15">
      <c r="A99" s="3" t="s">
        <v>133</v>
      </c>
      <c r="B99" s="3" t="s">
        <v>137</v>
      </c>
      <c r="C99" s="3" t="s">
        <v>134</v>
      </c>
      <c r="D99" s="3" t="s">
        <v>135</v>
      </c>
      <c r="E99" s="4" t="s">
        <v>131</v>
      </c>
      <c r="F99" s="5">
        <v>244</v>
      </c>
      <c r="G99" s="5">
        <v>454</v>
      </c>
      <c r="H99" s="6">
        <f>(F99+G99)*(1+0.3+0.466)+311</f>
        <v>1543.6680000000001</v>
      </c>
      <c r="I99" s="7">
        <f>96+187+160</f>
        <v>443</v>
      </c>
      <c r="J99" s="13">
        <f>0.358</f>
        <v>0.35799999999999998</v>
      </c>
      <c r="K99" s="9">
        <v>0</v>
      </c>
      <c r="L99" s="9">
        <v>0</v>
      </c>
      <c r="M99" s="10" t="s">
        <v>44</v>
      </c>
      <c r="N99" s="10" t="s">
        <v>44</v>
      </c>
      <c r="O99" s="9">
        <v>0.15</v>
      </c>
      <c r="P99" s="5">
        <f t="shared" si="19"/>
        <v>0.5</v>
      </c>
      <c r="Q99" s="5">
        <v>0.9</v>
      </c>
      <c r="R99" s="9">
        <v>0</v>
      </c>
      <c r="S99" s="3" t="s">
        <v>136</v>
      </c>
      <c r="T99" s="6">
        <f>(1280+159.74%*H99)*(1+J99)</f>
        <v>5086.8714474256012</v>
      </c>
    </row>
    <row r="100" spans="1:20" x14ac:dyDescent="0.15">
      <c r="J100" s="13"/>
    </row>
    <row r="101" spans="1:20" x14ac:dyDescent="0.15">
      <c r="A101" s="3" t="s">
        <v>9</v>
      </c>
      <c r="B101" s="3" t="s">
        <v>10</v>
      </c>
      <c r="C101" s="3" t="s">
        <v>11</v>
      </c>
      <c r="D101" s="3" t="s">
        <v>12</v>
      </c>
      <c r="E101" s="4" t="s">
        <v>13</v>
      </c>
      <c r="F101" s="11" t="s">
        <v>14</v>
      </c>
      <c r="G101" s="11" t="s">
        <v>15</v>
      </c>
      <c r="H101" s="6" t="s">
        <v>16</v>
      </c>
      <c r="I101" s="7" t="s">
        <v>18</v>
      </c>
      <c r="J101" s="13"/>
      <c r="K101" s="12" t="s">
        <v>19</v>
      </c>
      <c r="L101" s="12" t="s">
        <v>20</v>
      </c>
      <c r="M101" s="10" t="s">
        <v>21</v>
      </c>
      <c r="N101" s="10" t="s">
        <v>22</v>
      </c>
      <c r="O101" s="12" t="s">
        <v>23</v>
      </c>
      <c r="P101" s="11" t="s">
        <v>24</v>
      </c>
      <c r="Q101" s="11" t="s">
        <v>25</v>
      </c>
      <c r="R101" s="12" t="s">
        <v>26</v>
      </c>
      <c r="S101" s="3" t="s">
        <v>27</v>
      </c>
      <c r="T101" s="6" t="s">
        <v>28</v>
      </c>
    </row>
    <row r="102" spans="1:20" x14ac:dyDescent="0.15">
      <c r="A102" s="3" t="s">
        <v>138</v>
      </c>
      <c r="B102" s="3" t="s">
        <v>139</v>
      </c>
      <c r="C102" s="3" t="s">
        <v>134</v>
      </c>
      <c r="D102" s="3" t="s">
        <v>140</v>
      </c>
      <c r="E102" s="4" t="s">
        <v>141</v>
      </c>
      <c r="F102" s="5">
        <v>297</v>
      </c>
      <c r="G102" s="5">
        <v>608</v>
      </c>
      <c r="H102" s="6">
        <f>(F102+G102)*(1+0.2)+311</f>
        <v>1397</v>
      </c>
      <c r="I102" s="7">
        <f>115+187*3+180+195</f>
        <v>1051</v>
      </c>
      <c r="J102" s="13"/>
      <c r="K102" s="9">
        <v>0</v>
      </c>
      <c r="L102" s="9">
        <v>0</v>
      </c>
      <c r="M102" s="10" t="s">
        <v>44</v>
      </c>
      <c r="N102" s="10" t="s">
        <v>44</v>
      </c>
      <c r="O102" s="9">
        <v>0</v>
      </c>
      <c r="P102" s="5">
        <f t="shared" si="19"/>
        <v>0.5</v>
      </c>
      <c r="Q102" s="5">
        <v>1.1499999999999999</v>
      </c>
      <c r="R102" s="9">
        <v>0</v>
      </c>
      <c r="S102" s="3" t="s">
        <v>142</v>
      </c>
      <c r="T102" s="6">
        <f>868*Q102*(1+0.6+(16*I102)/(I102+2000))</f>
        <v>7098.8345853818419</v>
      </c>
    </row>
    <row r="103" spans="1:20" x14ac:dyDescent="0.15">
      <c r="A103" s="3" t="s">
        <v>138</v>
      </c>
      <c r="B103" s="3" t="s">
        <v>143</v>
      </c>
      <c r="C103" s="3" t="s">
        <v>134</v>
      </c>
      <c r="D103" s="3" t="s">
        <v>140</v>
      </c>
      <c r="E103" s="4" t="s">
        <v>141</v>
      </c>
      <c r="F103" s="5">
        <v>297</v>
      </c>
      <c r="G103" s="5">
        <v>510</v>
      </c>
      <c r="H103" s="6">
        <f>(F103+G103)*(1+0.2)+311</f>
        <v>1279.4000000000001</v>
      </c>
      <c r="I103" s="7">
        <f>115+187*3+180+165</f>
        <v>1021</v>
      </c>
      <c r="J103" s="13"/>
      <c r="K103" s="9">
        <v>0</v>
      </c>
      <c r="L103" s="9">
        <v>0</v>
      </c>
      <c r="M103" s="10" t="s">
        <v>44</v>
      </c>
      <c r="N103" s="10" t="s">
        <v>44</v>
      </c>
      <c r="O103" s="9">
        <v>0</v>
      </c>
      <c r="P103" s="5">
        <f t="shared" si="19"/>
        <v>0.5</v>
      </c>
      <c r="Q103" s="5">
        <v>1.1499999999999999</v>
      </c>
      <c r="R103" s="9">
        <v>0</v>
      </c>
      <c r="S103" s="3" t="s">
        <v>142</v>
      </c>
      <c r="T103" s="6">
        <f>868*Q103*(1+0.6+(16*I103)/(I103+2000))</f>
        <v>6994.8675008275404</v>
      </c>
    </row>
    <row r="105" spans="1:20" x14ac:dyDescent="0.15">
      <c r="A105" s="3" t="s">
        <v>9</v>
      </c>
      <c r="B105" s="3" t="s">
        <v>10</v>
      </c>
      <c r="C105" s="3" t="s">
        <v>11</v>
      </c>
      <c r="D105" s="3" t="s">
        <v>12</v>
      </c>
      <c r="E105" s="4" t="s">
        <v>13</v>
      </c>
      <c r="F105" s="11" t="s">
        <v>14</v>
      </c>
      <c r="G105" s="11" t="s">
        <v>15</v>
      </c>
      <c r="H105" s="6" t="s">
        <v>16</v>
      </c>
      <c r="I105" s="7" t="s">
        <v>17</v>
      </c>
      <c r="K105" s="12" t="s">
        <v>19</v>
      </c>
      <c r="L105" s="12" t="s">
        <v>20</v>
      </c>
      <c r="M105" s="10" t="s">
        <v>21</v>
      </c>
      <c r="N105" s="10" t="s">
        <v>22</v>
      </c>
      <c r="O105" s="12" t="s">
        <v>23</v>
      </c>
      <c r="P105" s="11" t="s">
        <v>24</v>
      </c>
      <c r="Q105" s="11" t="s">
        <v>25</v>
      </c>
      <c r="R105" s="12" t="s">
        <v>26</v>
      </c>
      <c r="S105" s="3" t="s">
        <v>27</v>
      </c>
      <c r="T105" s="6" t="s">
        <v>28</v>
      </c>
    </row>
    <row r="106" spans="1:20" x14ac:dyDescent="0.15">
      <c r="A106" s="41" t="s">
        <v>144</v>
      </c>
      <c r="B106" s="41" t="s">
        <v>145</v>
      </c>
      <c r="C106" s="53" t="s">
        <v>318</v>
      </c>
      <c r="D106" s="41" t="s">
        <v>147</v>
      </c>
      <c r="E106" s="4" t="s">
        <v>148</v>
      </c>
      <c r="F106" s="55">
        <v>349</v>
      </c>
      <c r="G106" s="55">
        <v>674</v>
      </c>
      <c r="H106" s="6">
        <f>(F106+G106)*(1+0.3+0.466+0.18)+311</f>
        <v>2301.7579999999998</v>
      </c>
      <c r="I106" s="6"/>
      <c r="J106" s="57">
        <f>(F106+G106)*(1+0.3+0.466+0.18+7*3.2%+0.18)+311</f>
        <v>2715.05</v>
      </c>
      <c r="K106" s="56">
        <f>19.2%+22.1%</f>
        <v>0.41300000000000003</v>
      </c>
      <c r="L106" s="56">
        <f>0</f>
        <v>0</v>
      </c>
      <c r="M106" s="10">
        <v>0.8</v>
      </c>
      <c r="N106" s="10">
        <f>60.25%*2+K106+L106/2+0.9%*2</f>
        <v>1.6360000000000001</v>
      </c>
      <c r="O106" s="56">
        <f>0.466+0.12+0.9065+0.05</f>
        <v>1.5425000000000002</v>
      </c>
      <c r="P106" s="55">
        <f>0.5</f>
        <v>0.5</v>
      </c>
      <c r="Q106" s="55">
        <f>0.9</f>
        <v>0.9</v>
      </c>
      <c r="R106" s="56">
        <v>4.0401999999999996</v>
      </c>
      <c r="S106" s="53" t="s">
        <v>319</v>
      </c>
      <c r="T106" s="6">
        <f>J106*R106*(1+O106)*(1+N106)*P106*Q106</f>
        <v>33082.595701816637</v>
      </c>
    </row>
    <row r="107" spans="1:20" x14ac:dyDescent="0.15">
      <c r="A107" s="41" t="s">
        <v>144</v>
      </c>
      <c r="B107" s="41" t="s">
        <v>30</v>
      </c>
      <c r="C107" s="53" t="s">
        <v>318</v>
      </c>
      <c r="D107" s="41" t="s">
        <v>147</v>
      </c>
      <c r="E107" s="4" t="s">
        <v>148</v>
      </c>
      <c r="F107" s="55">
        <v>349</v>
      </c>
      <c r="G107" s="55">
        <v>608</v>
      </c>
      <c r="H107" s="6">
        <f>(F107+G107)*(1+0.3+0.466+0.18)+311+0.8%*I107</f>
        <v>2354.2052000000003</v>
      </c>
      <c r="I107" s="6">
        <f>12736*(1+0.2+0.2)+4780</f>
        <v>22610.399999999998</v>
      </c>
      <c r="J107" s="57">
        <f>(F107+G107)*(1+0.3+0.466+0.18+0.18)+311+0.8%*I107</f>
        <v>2526.4651999999996</v>
      </c>
      <c r="K107" s="56">
        <f>19.2%</f>
        <v>0.192</v>
      </c>
      <c r="L107" s="56">
        <f>66.2%</f>
        <v>0.66200000000000003</v>
      </c>
      <c r="M107" s="10">
        <v>0.8</v>
      </c>
      <c r="N107" s="10">
        <f>60.25%*2+K107+L107/2+6.4%*2</f>
        <v>1.8559999999999999</v>
      </c>
      <c r="O107" s="56">
        <f>0.466+0.9065+0.05</f>
        <v>1.4225000000000001</v>
      </c>
      <c r="P107" s="55">
        <f>0.5</f>
        <v>0.5</v>
      </c>
      <c r="Q107" s="55">
        <f>0.9</f>
        <v>0.9</v>
      </c>
      <c r="R107" s="56">
        <v>4.0401999999999996</v>
      </c>
      <c r="S107" s="41" t="s">
        <v>149</v>
      </c>
      <c r="T107" s="6">
        <f>J107*R107*(1+O107)*(1+N107)*P107*Q107</f>
        <v>31779.765441943833</v>
      </c>
    </row>
    <row r="108" spans="1:20" x14ac:dyDescent="0.15">
      <c r="A108" s="3" t="s">
        <v>144</v>
      </c>
      <c r="B108" s="3" t="s">
        <v>150</v>
      </c>
      <c r="C108" s="3" t="s">
        <v>146</v>
      </c>
      <c r="D108" s="3" t="s">
        <v>147</v>
      </c>
      <c r="E108" s="4" t="s">
        <v>148</v>
      </c>
      <c r="F108" s="55">
        <v>349</v>
      </c>
      <c r="G108" s="5">
        <v>454</v>
      </c>
      <c r="H108" s="6">
        <f>(F108+G108)*(1+0.3+0.466+0.18+0.24)+311</f>
        <v>2066.3580000000002</v>
      </c>
      <c r="K108" s="9">
        <f>19.2%+36.8%</f>
        <v>0.56000000000000005</v>
      </c>
      <c r="L108" s="9">
        <f>0</f>
        <v>0</v>
      </c>
      <c r="M108" s="10">
        <v>0.8</v>
      </c>
      <c r="N108" s="10">
        <f>60.25%*2+K108+L108/2+8.25%*2</f>
        <v>1.9300000000000002</v>
      </c>
      <c r="O108" s="9">
        <f>0.466+0.15+0.9065+0.05</f>
        <v>1.5725</v>
      </c>
      <c r="P108" s="5">
        <f>0.5</f>
        <v>0.5</v>
      </c>
      <c r="Q108" s="5">
        <f>0.9</f>
        <v>0.9</v>
      </c>
      <c r="R108" s="9">
        <v>4.0401999999999996</v>
      </c>
      <c r="S108" s="3" t="s">
        <v>149</v>
      </c>
      <c r="T108" s="6">
        <f>H108*R108*(1+O108)*(1+N108)*P108*Q108</f>
        <v>28316.785290397038</v>
      </c>
    </row>
    <row r="110" spans="1:20" x14ac:dyDescent="0.15">
      <c r="A110" s="3" t="s">
        <v>9</v>
      </c>
      <c r="B110" s="3" t="s">
        <v>10</v>
      </c>
      <c r="C110" s="3" t="s">
        <v>11</v>
      </c>
      <c r="D110" s="3" t="s">
        <v>12</v>
      </c>
      <c r="E110" s="4" t="s">
        <v>13</v>
      </c>
      <c r="F110" s="11" t="s">
        <v>14</v>
      </c>
      <c r="G110" s="11" t="s">
        <v>15</v>
      </c>
      <c r="H110" s="6" t="s">
        <v>16</v>
      </c>
      <c r="I110" s="7" t="s">
        <v>18</v>
      </c>
      <c r="J110" s="13" t="s">
        <v>38</v>
      </c>
      <c r="K110" s="12" t="s">
        <v>19</v>
      </c>
      <c r="L110" s="12" t="s">
        <v>20</v>
      </c>
      <c r="M110" s="10" t="s">
        <v>21</v>
      </c>
      <c r="N110" s="10" t="s">
        <v>22</v>
      </c>
      <c r="O110" s="12" t="s">
        <v>23</v>
      </c>
      <c r="P110" s="11" t="s">
        <v>24</v>
      </c>
      <c r="Q110" s="11" t="s">
        <v>25</v>
      </c>
      <c r="R110" s="12" t="s">
        <v>26</v>
      </c>
      <c r="S110" s="3" t="s">
        <v>27</v>
      </c>
      <c r="T110" s="6" t="s">
        <v>28</v>
      </c>
    </row>
    <row r="111" spans="1:20" x14ac:dyDescent="0.15">
      <c r="A111" s="3" t="s">
        <v>151</v>
      </c>
      <c r="B111" s="3" t="s">
        <v>81</v>
      </c>
      <c r="C111" s="3" t="s">
        <v>134</v>
      </c>
      <c r="D111" s="3" t="s">
        <v>140</v>
      </c>
      <c r="E111" s="4" t="s">
        <v>141</v>
      </c>
      <c r="F111" s="5">
        <v>263</v>
      </c>
      <c r="G111" s="5">
        <v>608</v>
      </c>
      <c r="H111" s="6">
        <f>(F111+G111)*(1+0.2)+311</f>
        <v>1356.2</v>
      </c>
      <c r="I111" s="6">
        <f>187*3+160+60</f>
        <v>781</v>
      </c>
      <c r="J111" s="13">
        <f>1+0.551+0.2+0.32</f>
        <v>2.0710000000000002</v>
      </c>
      <c r="K111" s="9">
        <v>0</v>
      </c>
      <c r="L111" s="9">
        <v>0</v>
      </c>
      <c r="M111" s="10" t="s">
        <v>44</v>
      </c>
      <c r="N111" s="10" t="s">
        <v>44</v>
      </c>
      <c r="O111" s="9">
        <v>0</v>
      </c>
      <c r="P111" s="5">
        <f>0.5</f>
        <v>0.5</v>
      </c>
      <c r="Q111" s="5">
        <v>1.1499999999999999</v>
      </c>
      <c r="R111" s="9">
        <v>0</v>
      </c>
      <c r="S111" s="3" t="s">
        <v>142</v>
      </c>
      <c r="T111" s="6">
        <f>868*Q111*(1+0.6+(16*I111+1600)/(I111+2000+100))</f>
        <v>6481.0586324192982</v>
      </c>
    </row>
    <row r="112" spans="1:20" x14ac:dyDescent="0.15">
      <c r="A112" s="3" t="s">
        <v>151</v>
      </c>
      <c r="B112" s="3" t="s">
        <v>152</v>
      </c>
      <c r="C112" s="3" t="s">
        <v>134</v>
      </c>
      <c r="D112" s="3" t="s">
        <v>140</v>
      </c>
      <c r="E112" s="4" t="s">
        <v>141</v>
      </c>
      <c r="F112" s="5">
        <v>263</v>
      </c>
      <c r="G112" s="5">
        <v>510</v>
      </c>
      <c r="H112" s="6">
        <f>(F112+G112)*(1+0.2)+311</f>
        <v>1238.5999999999999</v>
      </c>
      <c r="I112" s="6">
        <f>187*3+160</f>
        <v>721</v>
      </c>
      <c r="J112" s="13">
        <f>1+0.613+0.2+0.32</f>
        <v>2.133</v>
      </c>
      <c r="K112" s="9">
        <v>0</v>
      </c>
      <c r="L112" s="9">
        <v>0</v>
      </c>
      <c r="M112" s="10" t="s">
        <v>44</v>
      </c>
      <c r="N112" s="10" t="s">
        <v>44</v>
      </c>
      <c r="O112" s="9">
        <v>0</v>
      </c>
      <c r="P112" s="5">
        <f>0.5</f>
        <v>0.5</v>
      </c>
      <c r="Q112" s="5">
        <v>1.1499999999999999</v>
      </c>
      <c r="R112" s="9">
        <v>0</v>
      </c>
      <c r="S112" s="3" t="s">
        <v>142</v>
      </c>
      <c r="T112" s="6">
        <f>868*Q112*(1+0.6+(16*I112)/(I112+2000))</f>
        <v>5829.1064755604548</v>
      </c>
    </row>
    <row r="113" spans="1:20" x14ac:dyDescent="0.15">
      <c r="A113" s="3" t="s">
        <v>151</v>
      </c>
      <c r="B113" s="3" t="s">
        <v>153</v>
      </c>
      <c r="C113" s="3" t="s">
        <v>134</v>
      </c>
      <c r="D113" s="3" t="s">
        <v>154</v>
      </c>
      <c r="E113" s="4" t="s">
        <v>141</v>
      </c>
      <c r="F113" s="5">
        <v>263</v>
      </c>
      <c r="G113" s="5">
        <v>510</v>
      </c>
      <c r="H113" s="6">
        <f>(F113+G113)*(1+0.2)+311</f>
        <v>1238.5999999999999</v>
      </c>
      <c r="I113" s="6">
        <f>187*2+160+165</f>
        <v>699</v>
      </c>
      <c r="J113" s="13">
        <f>1+0.518+0.2+0.32</f>
        <v>2.0379999999999998</v>
      </c>
      <c r="K113" s="9">
        <v>0</v>
      </c>
      <c r="L113" s="9">
        <v>0</v>
      </c>
      <c r="M113" s="10" t="s">
        <v>44</v>
      </c>
      <c r="N113" s="10" t="s">
        <v>44</v>
      </c>
      <c r="O113" s="9">
        <v>0</v>
      </c>
      <c r="P113" s="5">
        <f>0.5</f>
        <v>0.5</v>
      </c>
      <c r="Q113" s="5">
        <v>1.1499999999999999</v>
      </c>
      <c r="R113" s="9">
        <v>0</v>
      </c>
      <c r="S113" s="3" t="s">
        <v>142</v>
      </c>
      <c r="T113" s="6">
        <f>868*Q113*(1+0.6+(16*I113)/(I113+2000))</f>
        <v>5733.4181845127814</v>
      </c>
    </row>
    <row r="115" spans="1:20" x14ac:dyDescent="0.15">
      <c r="A115" s="3" t="s">
        <v>9</v>
      </c>
      <c r="B115" s="3" t="s">
        <v>10</v>
      </c>
      <c r="C115" s="3" t="s">
        <v>11</v>
      </c>
      <c r="D115" s="3" t="s">
        <v>12</v>
      </c>
      <c r="E115" s="4" t="s">
        <v>13</v>
      </c>
      <c r="F115" s="11" t="s">
        <v>14</v>
      </c>
      <c r="G115" s="11" t="s">
        <v>15</v>
      </c>
      <c r="H115" s="6" t="s">
        <v>16</v>
      </c>
      <c r="I115" s="13" t="s">
        <v>38</v>
      </c>
      <c r="J115" s="13" t="s">
        <v>101</v>
      </c>
      <c r="K115" s="12" t="s">
        <v>19</v>
      </c>
      <c r="L115" s="12" t="s">
        <v>20</v>
      </c>
      <c r="M115" s="10" t="s">
        <v>21</v>
      </c>
      <c r="N115" s="10" t="s">
        <v>22</v>
      </c>
      <c r="O115" s="12" t="s">
        <v>23</v>
      </c>
      <c r="P115" s="11" t="s">
        <v>24</v>
      </c>
      <c r="Q115" s="11" t="s">
        <v>25</v>
      </c>
      <c r="R115" s="12" t="s">
        <v>26</v>
      </c>
      <c r="S115" s="3" t="s">
        <v>27</v>
      </c>
      <c r="T115" s="6" t="s">
        <v>28</v>
      </c>
    </row>
    <row r="116" spans="1:20" x14ac:dyDescent="0.15">
      <c r="A116" s="3" t="s">
        <v>155</v>
      </c>
      <c r="B116" s="3" t="s">
        <v>156</v>
      </c>
      <c r="C116" s="3" t="s">
        <v>146</v>
      </c>
      <c r="D116" s="3" t="s">
        <v>157</v>
      </c>
      <c r="E116" s="4" t="s">
        <v>158</v>
      </c>
      <c r="F116" s="5">
        <v>239</v>
      </c>
      <c r="G116" s="5">
        <v>510</v>
      </c>
      <c r="H116" s="6">
        <f>(F116+G116)*(1+0.3+0.466*2+0.18)+311</f>
        <v>2117.5880000000002</v>
      </c>
      <c r="I116" s="13">
        <f>1+0.459+0.2</f>
        <v>1.659</v>
      </c>
      <c r="J116" s="13">
        <f>0.358+0.222</f>
        <v>0.57999999999999996</v>
      </c>
      <c r="K116" s="9">
        <v>0</v>
      </c>
      <c r="L116" s="9">
        <v>0</v>
      </c>
      <c r="M116" s="10" t="s">
        <v>44</v>
      </c>
      <c r="N116" s="10" t="s">
        <v>44</v>
      </c>
      <c r="O116" s="9">
        <v>0</v>
      </c>
      <c r="P116" s="5">
        <f>0.5</f>
        <v>0.5</v>
      </c>
      <c r="Q116" s="5">
        <v>0.9</v>
      </c>
      <c r="R116" s="9">
        <v>0</v>
      </c>
      <c r="S116" s="3" t="s">
        <v>100</v>
      </c>
      <c r="T116" s="6">
        <f>(3389+452.16%*H116)*(1+J116)</f>
        <v>20482.939723264004</v>
      </c>
    </row>
    <row r="117" spans="1:20" x14ac:dyDescent="0.15">
      <c r="A117" s="3" t="s">
        <v>155</v>
      </c>
      <c r="B117" s="3" t="s">
        <v>159</v>
      </c>
      <c r="C117" s="3" t="s">
        <v>146</v>
      </c>
      <c r="D117" s="3" t="s">
        <v>157</v>
      </c>
      <c r="E117" s="4" t="s">
        <v>158</v>
      </c>
      <c r="F117" s="5">
        <v>239</v>
      </c>
      <c r="G117" s="5">
        <v>454</v>
      </c>
      <c r="H117" s="6">
        <f>(F117+G117)*(1+0.3+0.466*2+0.18)+311</f>
        <v>1982.5160000000003</v>
      </c>
      <c r="I117" s="13">
        <f>1+0.613+0.2</f>
        <v>1.8129999999999999</v>
      </c>
      <c r="J117" s="13">
        <f>0.358+0.222</f>
        <v>0.57999999999999996</v>
      </c>
      <c r="K117" s="9">
        <v>0</v>
      </c>
      <c r="L117" s="9">
        <v>0</v>
      </c>
      <c r="M117" s="10" t="s">
        <v>44</v>
      </c>
      <c r="N117" s="10" t="s">
        <v>44</v>
      </c>
      <c r="O117" s="9">
        <v>0</v>
      </c>
      <c r="P117" s="5">
        <f>0.5</f>
        <v>0.5</v>
      </c>
      <c r="Q117" s="5">
        <v>0.9</v>
      </c>
      <c r="R117" s="9">
        <v>0</v>
      </c>
      <c r="S117" s="3" t="s">
        <v>100</v>
      </c>
      <c r="T117" s="6">
        <f>(3389+452.16%*H117)*(1+J117)</f>
        <v>19517.968066048004</v>
      </c>
    </row>
    <row r="118" spans="1:20" x14ac:dyDescent="0.15">
      <c r="A118" s="3" t="s">
        <v>155</v>
      </c>
      <c r="B118" s="3" t="s">
        <v>95</v>
      </c>
      <c r="C118" s="3" t="s">
        <v>146</v>
      </c>
      <c r="D118" s="3" t="s">
        <v>160</v>
      </c>
      <c r="E118" s="4" t="s">
        <v>158</v>
      </c>
      <c r="F118" s="5">
        <v>239</v>
      </c>
      <c r="G118" s="5">
        <v>674</v>
      </c>
      <c r="H118" s="6">
        <f>(F118+G118)*(1+0.3+0.466+0.2+0.18)+311</f>
        <v>2270.2979999999998</v>
      </c>
      <c r="I118" s="13">
        <f>1+0.518+0.2</f>
        <v>1.718</v>
      </c>
      <c r="J118" s="13">
        <f>0.358+0.222</f>
        <v>0.57999999999999996</v>
      </c>
      <c r="K118" s="9">
        <v>0</v>
      </c>
      <c r="L118" s="9">
        <v>0</v>
      </c>
      <c r="M118" s="10" t="s">
        <v>44</v>
      </c>
      <c r="N118" s="10" t="s">
        <v>44</v>
      </c>
      <c r="O118" s="9">
        <v>0</v>
      </c>
      <c r="P118" s="5">
        <f>0.5</f>
        <v>0.5</v>
      </c>
      <c r="Q118" s="5">
        <v>0.9</v>
      </c>
      <c r="R118" s="9">
        <v>0</v>
      </c>
      <c r="S118" s="3" t="s">
        <v>100</v>
      </c>
      <c r="T118" s="6">
        <f>(3389+452.16%*H118)*(1+J118)</f>
        <v>21573.919510144002</v>
      </c>
    </row>
    <row r="120" spans="1:20" x14ac:dyDescent="0.15">
      <c r="A120" s="3" t="s">
        <v>9</v>
      </c>
      <c r="B120" s="3" t="s">
        <v>10</v>
      </c>
      <c r="C120" s="3" t="s">
        <v>11</v>
      </c>
      <c r="D120" s="3" t="s">
        <v>12</v>
      </c>
      <c r="E120" s="4" t="s">
        <v>13</v>
      </c>
      <c r="F120" s="11" t="s">
        <v>14</v>
      </c>
      <c r="G120" s="11" t="s">
        <v>15</v>
      </c>
      <c r="H120" s="6" t="s">
        <v>16</v>
      </c>
      <c r="I120" s="7" t="s">
        <v>18</v>
      </c>
      <c r="J120" s="13"/>
      <c r="K120" s="12" t="s">
        <v>19</v>
      </c>
      <c r="L120" s="12" t="s">
        <v>20</v>
      </c>
      <c r="M120" s="10" t="s">
        <v>21</v>
      </c>
      <c r="N120" s="10" t="s">
        <v>22</v>
      </c>
      <c r="O120" s="12" t="s">
        <v>23</v>
      </c>
      <c r="P120" s="11" t="s">
        <v>24</v>
      </c>
      <c r="Q120" s="11" t="s">
        <v>25</v>
      </c>
      <c r="R120" s="12" t="s">
        <v>26</v>
      </c>
      <c r="S120" s="3" t="s">
        <v>27</v>
      </c>
      <c r="T120" s="6" t="s">
        <v>28</v>
      </c>
    </row>
    <row r="121" spans="1:20" x14ac:dyDescent="0.15">
      <c r="A121" s="3" t="s">
        <v>161</v>
      </c>
      <c r="B121" s="3" t="s">
        <v>162</v>
      </c>
      <c r="C121" s="3" t="s">
        <v>134</v>
      </c>
      <c r="D121" s="3" t="s">
        <v>154</v>
      </c>
      <c r="E121" s="4" t="s">
        <v>141</v>
      </c>
      <c r="F121" s="5">
        <v>170</v>
      </c>
      <c r="G121" s="5">
        <v>454</v>
      </c>
      <c r="H121" s="6">
        <f>(F121+G121)*(1+0.2)+311</f>
        <v>1059.8</v>
      </c>
      <c r="I121" s="6">
        <f>187*2+160+221</f>
        <v>755</v>
      </c>
      <c r="J121" s="13"/>
      <c r="K121" s="9">
        <v>0</v>
      </c>
      <c r="L121" s="9">
        <v>0</v>
      </c>
      <c r="M121" s="10" t="s">
        <v>44</v>
      </c>
      <c r="N121" s="10" t="s">
        <v>44</v>
      </c>
      <c r="O121" s="9">
        <v>0</v>
      </c>
      <c r="P121" s="5">
        <f>0.5</f>
        <v>0.5</v>
      </c>
      <c r="Q121" s="5">
        <v>1.1499999999999999</v>
      </c>
      <c r="R121" s="9">
        <v>0</v>
      </c>
      <c r="S121" s="3" t="s">
        <v>142</v>
      </c>
      <c r="T121" s="6">
        <f>868*Q121*(1+0.6+(16*I121)/(I121+2000))</f>
        <v>5973.9824319419231</v>
      </c>
    </row>
    <row r="122" spans="1:20" x14ac:dyDescent="0.15">
      <c r="A122" s="3" t="s">
        <v>161</v>
      </c>
      <c r="B122" s="3" t="s">
        <v>108</v>
      </c>
      <c r="C122" s="3" t="s">
        <v>134</v>
      </c>
      <c r="D122" s="3" t="s">
        <v>154</v>
      </c>
      <c r="E122" s="4" t="s">
        <v>141</v>
      </c>
      <c r="F122" s="5">
        <v>170</v>
      </c>
      <c r="G122" s="5">
        <v>510</v>
      </c>
      <c r="H122" s="6">
        <f>(F122+G122)*(1+0.2)+311</f>
        <v>1127</v>
      </c>
      <c r="I122" s="6">
        <f>187*2+160+195</f>
        <v>729</v>
      </c>
      <c r="J122" s="13"/>
      <c r="K122" s="9">
        <v>0</v>
      </c>
      <c r="L122" s="9">
        <v>0</v>
      </c>
      <c r="M122" s="10" t="s">
        <v>44</v>
      </c>
      <c r="N122" s="10" t="s">
        <v>44</v>
      </c>
      <c r="O122" s="9">
        <v>0</v>
      </c>
      <c r="P122" s="5">
        <f>0.5</f>
        <v>0.5</v>
      </c>
      <c r="Q122" s="5">
        <v>1.1499999999999999</v>
      </c>
      <c r="R122" s="9">
        <v>0</v>
      </c>
      <c r="S122" s="3" t="s">
        <v>142</v>
      </c>
      <c r="T122" s="6">
        <f>868*Q122*(1+0.6+(16*I122)/(I122+2000))</f>
        <v>5863.5197068523266</v>
      </c>
    </row>
    <row r="123" spans="1:20" x14ac:dyDescent="0.15">
      <c r="A123" s="3" t="s">
        <v>161</v>
      </c>
      <c r="B123" s="3" t="s">
        <v>109</v>
      </c>
      <c r="C123" s="3" t="s">
        <v>134</v>
      </c>
      <c r="D123" s="3" t="s">
        <v>154</v>
      </c>
      <c r="E123" s="4" t="s">
        <v>141</v>
      </c>
      <c r="F123" s="5">
        <v>170</v>
      </c>
      <c r="G123" s="5">
        <v>401</v>
      </c>
      <c r="H123" s="6">
        <f>(F123+G123)*(1+0.2)+311</f>
        <v>996.19999999999993</v>
      </c>
      <c r="I123" s="6">
        <f>187*2+160+195</f>
        <v>729</v>
      </c>
      <c r="J123" s="13"/>
      <c r="K123" s="9">
        <v>0</v>
      </c>
      <c r="L123" s="9">
        <v>0</v>
      </c>
      <c r="M123" s="10" t="s">
        <v>44</v>
      </c>
      <c r="N123" s="10" t="s">
        <v>44</v>
      </c>
      <c r="O123" s="9">
        <v>0</v>
      </c>
      <c r="P123" s="5">
        <f>0.5</f>
        <v>0.5</v>
      </c>
      <c r="Q123" s="5">
        <v>1.1499999999999999</v>
      </c>
      <c r="R123" s="9">
        <v>0</v>
      </c>
      <c r="S123" s="3" t="s">
        <v>142</v>
      </c>
      <c r="T123" s="6">
        <f>868*Q123*(1+0.6+(16*I123)/(I123+2000))</f>
        <v>5863.5197068523266</v>
      </c>
    </row>
    <row r="124" spans="1:20" x14ac:dyDescent="0.15">
      <c r="J124" s="13"/>
    </row>
    <row r="125" spans="1:20" s="33" customFormat="1" x14ac:dyDescent="0.15">
      <c r="A125" s="3" t="s">
        <v>9</v>
      </c>
      <c r="B125" s="3" t="s">
        <v>10</v>
      </c>
      <c r="C125" s="3" t="s">
        <v>11</v>
      </c>
      <c r="D125" s="3" t="s">
        <v>12</v>
      </c>
      <c r="E125" s="4" t="s">
        <v>13</v>
      </c>
      <c r="F125" s="11" t="s">
        <v>14</v>
      </c>
      <c r="G125" s="11" t="s">
        <v>15</v>
      </c>
      <c r="H125" s="6" t="s">
        <v>16</v>
      </c>
      <c r="I125" s="7" t="s">
        <v>18</v>
      </c>
      <c r="J125" s="13"/>
      <c r="K125" s="12" t="s">
        <v>19</v>
      </c>
      <c r="L125" s="12" t="s">
        <v>20</v>
      </c>
      <c r="M125" s="10" t="s">
        <v>21</v>
      </c>
      <c r="N125" s="10" t="s">
        <v>22</v>
      </c>
      <c r="O125" s="12" t="s">
        <v>23</v>
      </c>
      <c r="P125" s="11" t="s">
        <v>24</v>
      </c>
      <c r="Q125" s="11" t="s">
        <v>25</v>
      </c>
      <c r="R125" s="12" t="s">
        <v>26</v>
      </c>
      <c r="S125" s="3" t="s">
        <v>27</v>
      </c>
      <c r="T125" s="6" t="s">
        <v>28</v>
      </c>
    </row>
    <row r="126" spans="1:20" s="33" customFormat="1" x14ac:dyDescent="0.15">
      <c r="A126" s="3" t="s">
        <v>163</v>
      </c>
      <c r="B126" s="3" t="s">
        <v>159</v>
      </c>
      <c r="C126" s="3" t="s">
        <v>134</v>
      </c>
      <c r="D126" s="3" t="s">
        <v>140</v>
      </c>
      <c r="E126" s="16" t="s">
        <v>141</v>
      </c>
      <c r="F126" s="5">
        <v>212</v>
      </c>
      <c r="G126" s="5">
        <v>454</v>
      </c>
      <c r="H126" s="6">
        <f>(F126+G126)*(1+0.2+0.24)+311</f>
        <v>1270.04</v>
      </c>
      <c r="I126" s="7">
        <f>187*3+180</f>
        <v>741</v>
      </c>
      <c r="J126" s="13"/>
      <c r="K126" s="9">
        <v>0</v>
      </c>
      <c r="L126" s="9">
        <v>0</v>
      </c>
      <c r="M126" s="10" t="s">
        <v>44</v>
      </c>
      <c r="N126" s="10" t="s">
        <v>44</v>
      </c>
      <c r="O126" s="9">
        <v>0</v>
      </c>
      <c r="P126" s="5">
        <f>0.5</f>
        <v>0.5</v>
      </c>
      <c r="Q126" s="5">
        <v>1.1499999999999999</v>
      </c>
      <c r="R126" s="9">
        <v>0</v>
      </c>
      <c r="S126" s="3" t="s">
        <v>142</v>
      </c>
      <c r="T126" s="6">
        <f>868*Q126*(1+0.6+(16*I126)/(I126+2000))</f>
        <v>5914.7629040496158</v>
      </c>
    </row>
    <row r="127" spans="1:20" s="33" customFormat="1" x14ac:dyDescent="0.15">
      <c r="A127" s="3"/>
      <c r="B127" s="3"/>
      <c r="C127" s="3"/>
      <c r="D127" s="3"/>
      <c r="E127" s="16"/>
      <c r="F127" s="5"/>
      <c r="G127" s="5"/>
      <c r="H127" s="6"/>
      <c r="I127" s="7"/>
      <c r="J127" s="13"/>
      <c r="K127" s="9"/>
      <c r="L127" s="9"/>
      <c r="M127" s="10"/>
      <c r="N127" s="10"/>
      <c r="O127" s="9"/>
      <c r="P127" s="5"/>
      <c r="Q127" s="5"/>
      <c r="R127" s="9"/>
      <c r="S127" s="3"/>
      <c r="T127" s="6"/>
    </row>
    <row r="128" spans="1:20" s="33" customFormat="1" x14ac:dyDescent="0.1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</row>
    <row r="129" spans="1:20" s="33" customFormat="1" x14ac:dyDescent="0.15">
      <c r="A129" s="3" t="s">
        <v>9</v>
      </c>
      <c r="B129" s="3" t="s">
        <v>10</v>
      </c>
      <c r="C129" s="3" t="s">
        <v>11</v>
      </c>
      <c r="D129" s="3" t="s">
        <v>12</v>
      </c>
      <c r="E129" s="4" t="s">
        <v>13</v>
      </c>
      <c r="F129" s="29" t="s">
        <v>14</v>
      </c>
      <c r="G129" s="29" t="s">
        <v>15</v>
      </c>
      <c r="H129" s="6" t="s">
        <v>16</v>
      </c>
      <c r="I129" s="37" t="s">
        <v>295</v>
      </c>
      <c r="J129" s="13"/>
      <c r="K129" s="31" t="s">
        <v>19</v>
      </c>
      <c r="L129" s="31" t="s">
        <v>20</v>
      </c>
      <c r="M129" s="10" t="s">
        <v>21</v>
      </c>
      <c r="N129" s="10" t="s">
        <v>22</v>
      </c>
      <c r="O129" s="31" t="s">
        <v>23</v>
      </c>
      <c r="P129" s="29" t="s">
        <v>24</v>
      </c>
      <c r="Q129" s="29" t="s">
        <v>25</v>
      </c>
      <c r="R129" s="31" t="s">
        <v>26</v>
      </c>
      <c r="S129" s="3" t="s">
        <v>27</v>
      </c>
      <c r="T129" s="6" t="s">
        <v>28</v>
      </c>
    </row>
    <row r="130" spans="1:20" s="33" customFormat="1" x14ac:dyDescent="0.15">
      <c r="A130" s="34" t="s">
        <v>287</v>
      </c>
      <c r="B130" s="34" t="s">
        <v>292</v>
      </c>
      <c r="C130" s="34" t="s">
        <v>293</v>
      </c>
      <c r="D130" s="3" t="s">
        <v>176</v>
      </c>
      <c r="E130" s="36" t="s">
        <v>294</v>
      </c>
      <c r="F130" s="29">
        <f>340</f>
        <v>340</v>
      </c>
      <c r="G130" s="29">
        <f>608</f>
        <v>608</v>
      </c>
      <c r="H130" s="6">
        <f>(F130+G130)*(1+0.3+0.466)+311</f>
        <v>1985.1680000000001</v>
      </c>
      <c r="I130" s="7">
        <f>80</f>
        <v>80</v>
      </c>
      <c r="J130" s="8"/>
      <c r="K130" s="31">
        <f>19.2%</f>
        <v>0.192</v>
      </c>
      <c r="L130" s="31">
        <f>66.2%</f>
        <v>0.66200000000000003</v>
      </c>
      <c r="M130" s="10">
        <f>60.25%+K130/2+L130/4-6.4%</f>
        <v>0.8</v>
      </c>
      <c r="N130" s="10">
        <f>60.25%*2+K130+L130/2+6.4%*2</f>
        <v>1.8559999999999999</v>
      </c>
      <c r="O130" s="31">
        <f>0.466+0.35+0.12+I130*0.15%+0.12*3</f>
        <v>1.4159999999999999</v>
      </c>
      <c r="P130" s="29">
        <v>0.5</v>
      </c>
      <c r="Q130" s="29">
        <v>0.9</v>
      </c>
      <c r="R130" s="31">
        <v>1.7063999999999999</v>
      </c>
      <c r="S130" s="34" t="s">
        <v>296</v>
      </c>
      <c r="T130" s="6">
        <f>H130*R130*(1+O130)*(1+N130)*P130*Q130</f>
        <v>10518.304886093169</v>
      </c>
    </row>
    <row r="131" spans="1:20" x14ac:dyDescent="0.15">
      <c r="A131" s="34" t="s">
        <v>287</v>
      </c>
      <c r="B131" s="34" t="s">
        <v>297</v>
      </c>
      <c r="C131" s="34" t="s">
        <v>293</v>
      </c>
      <c r="D131" s="3" t="s">
        <v>176</v>
      </c>
      <c r="E131" s="36" t="s">
        <v>294</v>
      </c>
      <c r="F131" s="29">
        <f>340</f>
        <v>340</v>
      </c>
      <c r="G131" s="29">
        <v>674</v>
      </c>
      <c r="H131" s="6">
        <f>(F131+G131)*(1+0.3+0.466+0.331)+311</f>
        <v>2437.3580000000002</v>
      </c>
      <c r="I131" s="7">
        <f>80</f>
        <v>80</v>
      </c>
      <c r="K131" s="31">
        <f>19.2%</f>
        <v>0.192</v>
      </c>
      <c r="L131" s="31">
        <f>0</f>
        <v>0</v>
      </c>
      <c r="M131" s="10">
        <f>60.25%+K131/2+L131/4</f>
        <v>0.69850000000000001</v>
      </c>
      <c r="N131" s="10">
        <f>60.25%*2+K131+L131/2</f>
        <v>1.397</v>
      </c>
      <c r="O131" s="31">
        <f>0.466+0.35+I131*0.15%</f>
        <v>0.93600000000000005</v>
      </c>
      <c r="P131" s="29">
        <v>0.5</v>
      </c>
      <c r="Q131" s="29">
        <v>0.9</v>
      </c>
      <c r="R131" s="31">
        <v>1.7063999999999999</v>
      </c>
      <c r="S131" s="34" t="s">
        <v>296</v>
      </c>
      <c r="T131" s="6">
        <f>H131*R131*(1+O131)*(1+N131)*P131*Q131</f>
        <v>8685.3248455145367</v>
      </c>
    </row>
    <row r="132" spans="1:20" x14ac:dyDescent="0.15">
      <c r="A132" s="34" t="s">
        <v>287</v>
      </c>
      <c r="B132" s="34" t="s">
        <v>298</v>
      </c>
      <c r="C132" s="34" t="s">
        <v>293</v>
      </c>
      <c r="D132" s="3" t="s">
        <v>176</v>
      </c>
      <c r="E132" s="36" t="s">
        <v>294</v>
      </c>
      <c r="F132" s="29">
        <f>340</f>
        <v>340</v>
      </c>
      <c r="G132" s="29">
        <f>510</f>
        <v>510</v>
      </c>
      <c r="H132" s="6">
        <f>(F132+G132)*(1+0.3+0.466)+311</f>
        <v>1812.1</v>
      </c>
      <c r="I132" s="7">
        <f>80</f>
        <v>80</v>
      </c>
      <c r="K132" s="31">
        <f>19.2%+27.6%</f>
        <v>0.46800000000000003</v>
      </c>
      <c r="L132" s="31">
        <f>0</f>
        <v>0</v>
      </c>
      <c r="M132" s="10">
        <f>60.25%+K132/2+L132/4-3.65%</f>
        <v>0.8</v>
      </c>
      <c r="N132" s="10">
        <f>60.25%*2+K132+L132/2+3.65%*2</f>
        <v>1.746</v>
      </c>
      <c r="O132" s="31">
        <f>0.466+0.35+0.3+I132*0.15%</f>
        <v>1.2360000000000002</v>
      </c>
      <c r="P132" s="29">
        <v>0.5</v>
      </c>
      <c r="Q132" s="29">
        <v>0.9</v>
      </c>
      <c r="R132" s="31">
        <v>1.7063999999999999</v>
      </c>
      <c r="S132" s="34" t="s">
        <v>296</v>
      </c>
      <c r="T132" s="6">
        <f>H132*R132*(1+O132)*(1+N132)*P132*Q132</f>
        <v>8543.7365593394879</v>
      </c>
    </row>
    <row r="133" spans="1:20" x14ac:dyDescent="0.15">
      <c r="A133" s="34" t="s">
        <v>287</v>
      </c>
      <c r="B133" s="34" t="s">
        <v>299</v>
      </c>
      <c r="C133" s="34" t="s">
        <v>293</v>
      </c>
      <c r="D133" s="3" t="s">
        <v>176</v>
      </c>
      <c r="E133" s="36" t="s">
        <v>294</v>
      </c>
      <c r="F133" s="29">
        <f>340</f>
        <v>340</v>
      </c>
      <c r="G133" s="29">
        <f>510</f>
        <v>510</v>
      </c>
      <c r="H133" s="6">
        <f>(F133+G133)*(1+0.3+0.466)+311</f>
        <v>1812.1</v>
      </c>
      <c r="I133" s="7">
        <f>80</f>
        <v>80</v>
      </c>
      <c r="J133" s="38">
        <f>(F133+G133)*1.2+H133+311</f>
        <v>3143.1</v>
      </c>
      <c r="K133" s="31">
        <f>19.2%</f>
        <v>0.192</v>
      </c>
      <c r="L133" s="31">
        <f>55.1%</f>
        <v>0.55100000000000005</v>
      </c>
      <c r="M133" s="10">
        <f>60.25%+K133/2+L133/4-3.63%</f>
        <v>0.79995000000000005</v>
      </c>
      <c r="N133" s="10">
        <f>60.25%*2+K133+L133/2+3.63%*2</f>
        <v>1.7451000000000001</v>
      </c>
      <c r="O133" s="31">
        <f>0.466+0.35+I133*0.15%</f>
        <v>0.93600000000000005</v>
      </c>
      <c r="P133" s="29">
        <v>0.5</v>
      </c>
      <c r="Q133" s="29">
        <v>0.9</v>
      </c>
      <c r="R133" s="31">
        <v>1.7063999999999999</v>
      </c>
      <c r="S133" s="34" t="s">
        <v>296</v>
      </c>
      <c r="T133" s="6">
        <f>J133*R133*(1+O133)*(1+N133)*P133*Q133</f>
        <v>12826.70414492734</v>
      </c>
    </row>
    <row r="134" spans="1:20" x14ac:dyDescent="0.1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</row>
    <row r="135" spans="1:20" x14ac:dyDescent="0.15">
      <c r="A135" s="3" t="s">
        <v>9</v>
      </c>
      <c r="B135" s="3" t="s">
        <v>10</v>
      </c>
      <c r="C135" s="3" t="s">
        <v>11</v>
      </c>
      <c r="D135" s="3" t="s">
        <v>12</v>
      </c>
      <c r="E135" s="4" t="s">
        <v>13</v>
      </c>
      <c r="F135" s="11" t="s">
        <v>14</v>
      </c>
      <c r="G135" s="11" t="s">
        <v>15</v>
      </c>
      <c r="H135" s="6" t="s">
        <v>16</v>
      </c>
      <c r="I135" s="7" t="s">
        <v>38</v>
      </c>
      <c r="J135" s="13"/>
      <c r="K135" s="12" t="s">
        <v>19</v>
      </c>
      <c r="L135" s="12" t="s">
        <v>20</v>
      </c>
      <c r="M135" s="10" t="s">
        <v>21</v>
      </c>
      <c r="N135" s="10" t="s">
        <v>22</v>
      </c>
      <c r="O135" s="12" t="s">
        <v>23</v>
      </c>
      <c r="P135" s="11" t="s">
        <v>24</v>
      </c>
      <c r="Q135" s="11" t="s">
        <v>25</v>
      </c>
      <c r="R135" s="12" t="s">
        <v>26</v>
      </c>
      <c r="S135" s="3" t="s">
        <v>27</v>
      </c>
      <c r="T135" s="6" t="s">
        <v>28</v>
      </c>
    </row>
    <row r="136" spans="1:20" x14ac:dyDescent="0.15">
      <c r="A136" s="3" t="s">
        <v>164</v>
      </c>
      <c r="B136" s="3" t="s">
        <v>165</v>
      </c>
      <c r="C136" s="3" t="s">
        <v>89</v>
      </c>
      <c r="D136" s="3" t="s">
        <v>166</v>
      </c>
      <c r="E136" s="4" t="s">
        <v>117</v>
      </c>
      <c r="F136" s="5">
        <v>337</v>
      </c>
      <c r="G136" s="5">
        <v>608</v>
      </c>
      <c r="H136" s="6">
        <f>(F136+G136)*(1+0.3+0.28*(I136-1))+311</f>
        <v>2012.8694000000003</v>
      </c>
      <c r="I136" s="13">
        <f>1+0.32+0.2+0.551+0.518+0.2</f>
        <v>2.7890000000000006</v>
      </c>
      <c r="K136" s="9">
        <v>0</v>
      </c>
      <c r="L136" s="9">
        <v>0</v>
      </c>
      <c r="M136" s="10">
        <f>60.25%+K136/2+L136/4</f>
        <v>0.60250000000000004</v>
      </c>
      <c r="N136" s="10">
        <f>60.25%*2+K136+L136/2</f>
        <v>1.2050000000000001</v>
      </c>
      <c r="O136" s="9">
        <f>0.466+0.75+0.4*(I136+0.3-1)+0.3%*90</f>
        <v>2.3216000000000001</v>
      </c>
      <c r="P136" s="5">
        <f>0.5</f>
        <v>0.5</v>
      </c>
      <c r="Q136" s="5">
        <v>0.9</v>
      </c>
      <c r="R136" s="9">
        <f>721.44%+60*7%</f>
        <v>11.414400000000001</v>
      </c>
      <c r="S136" s="3" t="s">
        <v>167</v>
      </c>
      <c r="T136" s="6">
        <f>((F136+G136)*(1+0.2+0.28*(I136-1+0.3))+311)*R136*(1+N136)*(1+O136)*P136*Q136</f>
        <v>75155.805873511577</v>
      </c>
    </row>
    <row r="137" spans="1:20" x14ac:dyDescent="0.15">
      <c r="A137" s="3" t="s">
        <v>164</v>
      </c>
      <c r="B137" s="3" t="s">
        <v>93</v>
      </c>
      <c r="C137" s="3" t="s">
        <v>89</v>
      </c>
      <c r="D137" s="3" t="s">
        <v>168</v>
      </c>
      <c r="E137" s="4" t="s">
        <v>117</v>
      </c>
      <c r="F137" s="5">
        <v>337</v>
      </c>
      <c r="G137" s="5">
        <v>510</v>
      </c>
      <c r="H137" s="6">
        <f>(F137+G137)*(1+0.3+0.466)+311</f>
        <v>1806.8019999999999</v>
      </c>
      <c r="I137" s="13">
        <f>1+0.32+0.2+0.459+0.518+0.2</f>
        <v>2.6970000000000001</v>
      </c>
      <c r="K137" s="9">
        <v>0.12</v>
      </c>
      <c r="L137" s="9">
        <v>0</v>
      </c>
      <c r="M137" s="10">
        <f>60.25%+K137/2+L137/4-12%</f>
        <v>0.54250000000000009</v>
      </c>
      <c r="N137" s="10">
        <f>60.25%*2+K137+L137/2</f>
        <v>1.3250000000000002</v>
      </c>
      <c r="O137" s="9">
        <f>0.25*(I137)+0.4*(I137-1)+0.3%*90+0.32</f>
        <v>1.9430500000000002</v>
      </c>
      <c r="P137" s="5">
        <v>0.5</v>
      </c>
      <c r="Q137" s="5">
        <v>0.9</v>
      </c>
      <c r="R137" s="9">
        <f>721.44%+60*7%</f>
        <v>11.414400000000001</v>
      </c>
      <c r="S137" s="3" t="s">
        <v>167</v>
      </c>
      <c r="T137" s="6">
        <f>H137*R137*(1+N137)*(1+O137)*P137*Q137</f>
        <v>63503.368345612056</v>
      </c>
    </row>
    <row r="138" spans="1:20" x14ac:dyDescent="0.15">
      <c r="I138" s="13"/>
    </row>
    <row r="139" spans="1:20" x14ac:dyDescent="0.15">
      <c r="A139" s="3" t="s">
        <v>9</v>
      </c>
      <c r="B139" s="3" t="s">
        <v>10</v>
      </c>
      <c r="C139" s="3" t="s">
        <v>11</v>
      </c>
      <c r="D139" s="3" t="s">
        <v>12</v>
      </c>
      <c r="E139" s="4" t="s">
        <v>13</v>
      </c>
      <c r="F139" s="11" t="s">
        <v>14</v>
      </c>
      <c r="G139" s="11" t="s">
        <v>15</v>
      </c>
      <c r="H139" s="6" t="s">
        <v>16</v>
      </c>
      <c r="I139" s="13" t="s">
        <v>38</v>
      </c>
      <c r="J139" s="13"/>
      <c r="K139" s="12" t="s">
        <v>19</v>
      </c>
      <c r="L139" s="12" t="s">
        <v>20</v>
      </c>
      <c r="M139" s="10" t="s">
        <v>21</v>
      </c>
      <c r="N139" s="10" t="s">
        <v>22</v>
      </c>
      <c r="O139" s="12" t="s">
        <v>23</v>
      </c>
      <c r="P139" s="11" t="s">
        <v>24</v>
      </c>
      <c r="Q139" s="11" t="s">
        <v>25</v>
      </c>
      <c r="R139" s="12" t="s">
        <v>26</v>
      </c>
      <c r="S139" s="3" t="s">
        <v>27</v>
      </c>
      <c r="T139" s="6" t="s">
        <v>28</v>
      </c>
    </row>
    <row r="140" spans="1:20" x14ac:dyDescent="0.15">
      <c r="A140" s="3" t="s">
        <v>169</v>
      </c>
      <c r="B140" s="3" t="s">
        <v>119</v>
      </c>
      <c r="C140" s="3" t="s">
        <v>89</v>
      </c>
      <c r="D140" s="3" t="s">
        <v>166</v>
      </c>
      <c r="E140" s="4" t="s">
        <v>170</v>
      </c>
      <c r="F140" s="5">
        <v>195</v>
      </c>
      <c r="G140" s="5">
        <v>674</v>
      </c>
      <c r="H140" s="6">
        <f>(G140+F140)*(1+0.3+0.24)+311</f>
        <v>1649.26</v>
      </c>
      <c r="I140" s="13">
        <f>1+0.2+0.518+0.2</f>
        <v>1.9179999999999999</v>
      </c>
      <c r="K140" s="9">
        <v>0.221</v>
      </c>
      <c r="L140" s="9">
        <v>0.2</v>
      </c>
      <c r="M140" s="10">
        <v>0.8</v>
      </c>
      <c r="N140" s="10">
        <f>60.25%*2+K140+L140/2-3.7%*2</f>
        <v>1.4520000000000002</v>
      </c>
      <c r="O140" s="9">
        <f>0.466+0.25*I140</f>
        <v>0.94550000000000001</v>
      </c>
      <c r="P140" s="5">
        <v>0.5</v>
      </c>
      <c r="Q140" s="5">
        <v>0.9</v>
      </c>
      <c r="R140" s="9">
        <v>8.1920000000000002</v>
      </c>
      <c r="S140" s="3" t="s">
        <v>171</v>
      </c>
      <c r="T140" s="6">
        <f>((1+0.2+0.24+0.9129)*(F140+G140)+311)*R140*(1+O140)*(1+N140+0.6)*P140*Q140</f>
        <v>51562.348683214601</v>
      </c>
    </row>
    <row r="141" spans="1:20" x14ac:dyDescent="0.15">
      <c r="A141" s="3" t="s">
        <v>169</v>
      </c>
      <c r="B141" s="3" t="s">
        <v>172</v>
      </c>
      <c r="C141" s="3" t="s">
        <v>89</v>
      </c>
      <c r="D141" s="3" t="s">
        <v>166</v>
      </c>
      <c r="E141" s="4" t="s">
        <v>170</v>
      </c>
      <c r="F141" s="5">
        <v>195</v>
      </c>
      <c r="G141" s="5">
        <v>565</v>
      </c>
      <c r="H141" s="6">
        <f>(G141+F141)*(1+0.3+0.24)+311</f>
        <v>1481.4</v>
      </c>
      <c r="I141" s="13">
        <f>1+0.2+0.518+0.2+0.306</f>
        <v>2.2239999999999998</v>
      </c>
      <c r="K141" s="9">
        <v>0</v>
      </c>
      <c r="L141" s="9">
        <v>0</v>
      </c>
      <c r="M141" s="10">
        <v>0.7</v>
      </c>
      <c r="N141" s="10">
        <f>60.25%*2+K141+L141/2-9.75%*2</f>
        <v>1.01</v>
      </c>
      <c r="O141" s="9">
        <f>0.466+0.25*I141</f>
        <v>1.022</v>
      </c>
      <c r="P141" s="5">
        <v>0.5</v>
      </c>
      <c r="Q141" s="5">
        <v>0.9</v>
      </c>
      <c r="R141" s="9">
        <v>8.1920000000000002</v>
      </c>
      <c r="S141" s="3" t="s">
        <v>171</v>
      </c>
      <c r="T141" s="6">
        <f>((1+0.2+0.24+0.9129)*(F141+G141)+311)*R141*(1+O141)*(1+N141+0.6)*P141*Q141</f>
        <v>40839.344358653958</v>
      </c>
    </row>
    <row r="143" spans="1:20" x14ac:dyDescent="0.15">
      <c r="A143" s="3" t="s">
        <v>9</v>
      </c>
      <c r="B143" s="3" t="s">
        <v>10</v>
      </c>
      <c r="C143" s="3" t="s">
        <v>11</v>
      </c>
      <c r="D143" s="3" t="s">
        <v>12</v>
      </c>
      <c r="E143" s="4" t="s">
        <v>13</v>
      </c>
      <c r="F143" s="11" t="s">
        <v>14</v>
      </c>
      <c r="G143" s="11" t="s">
        <v>15</v>
      </c>
      <c r="H143" s="6" t="s">
        <v>16</v>
      </c>
      <c r="J143" s="13"/>
      <c r="K143" s="12" t="s">
        <v>19</v>
      </c>
      <c r="L143" s="12" t="s">
        <v>20</v>
      </c>
      <c r="M143" s="10" t="s">
        <v>21</v>
      </c>
      <c r="N143" s="10" t="s">
        <v>22</v>
      </c>
      <c r="O143" s="12" t="s">
        <v>23</v>
      </c>
      <c r="P143" s="11" t="s">
        <v>24</v>
      </c>
      <c r="Q143" s="11" t="s">
        <v>25</v>
      </c>
      <c r="R143" s="12" t="s">
        <v>26</v>
      </c>
      <c r="S143" s="3" t="s">
        <v>27</v>
      </c>
      <c r="T143" s="6" t="s">
        <v>28</v>
      </c>
    </row>
    <row r="144" spans="1:20" x14ac:dyDescent="0.15">
      <c r="A144" s="3" t="s">
        <v>173</v>
      </c>
      <c r="B144" s="3" t="s">
        <v>174</v>
      </c>
      <c r="C144" s="3" t="s">
        <v>175</v>
      </c>
      <c r="D144" s="3" t="s">
        <v>176</v>
      </c>
      <c r="E144" s="4" t="s">
        <v>148</v>
      </c>
      <c r="F144" s="5">
        <v>323</v>
      </c>
      <c r="G144" s="5">
        <v>674</v>
      </c>
      <c r="H144" s="6">
        <f>(F144+G144)*(1+0.3+0.466+0.18)+311</f>
        <v>2251.1620000000003</v>
      </c>
      <c r="K144" s="9">
        <v>0.15</v>
      </c>
      <c r="L144" s="9">
        <f>44.1%+38.4%</f>
        <v>0.82499999999999996</v>
      </c>
      <c r="M144" s="10">
        <f>60.25%+K144/2+L144/4-15%</f>
        <v>0.73375000000000001</v>
      </c>
      <c r="N144" s="10">
        <f t="shared" ref="N144:N150" si="20">60.25%*2+K144+L144/2</f>
        <v>1.7675000000000001</v>
      </c>
      <c r="O144" s="9">
        <f>0.466+0.15+0.4</f>
        <v>1.016</v>
      </c>
      <c r="P144" s="5">
        <v>0.5</v>
      </c>
      <c r="Q144" s="5">
        <v>0.9</v>
      </c>
      <c r="R144" s="9">
        <f>170%</f>
        <v>1.7</v>
      </c>
      <c r="S144" s="3" t="s">
        <v>177</v>
      </c>
      <c r="T144" s="6">
        <f>H144*R144*(1+O144)*(1+N144)*P144*Q144</f>
        <v>9608.2952893704005</v>
      </c>
    </row>
    <row r="145" spans="1:20" x14ac:dyDescent="0.15">
      <c r="A145" s="3" t="s">
        <v>173</v>
      </c>
      <c r="B145" s="3" t="s">
        <v>125</v>
      </c>
      <c r="C145" s="3" t="s">
        <v>175</v>
      </c>
      <c r="D145" s="3" t="s">
        <v>176</v>
      </c>
      <c r="E145" s="4" t="s">
        <v>148</v>
      </c>
      <c r="F145" s="5">
        <v>323</v>
      </c>
      <c r="G145" s="5">
        <v>542</v>
      </c>
      <c r="H145" s="6">
        <f>(F145+G145)*(1+0.3+0.466+0.18)+311+1.2%*(13103*(1+0.2+0.2)+4780)</f>
        <v>2271.7804000000001</v>
      </c>
      <c r="K145" s="9">
        <f>0.15+0.441</f>
        <v>0.59099999999999997</v>
      </c>
      <c r="L145" s="9">
        <v>0.38400000000000001</v>
      </c>
      <c r="M145" s="10">
        <v>0.75</v>
      </c>
      <c r="N145" s="10">
        <f>60.25%*2+K145+L145/2+9.4%*2</f>
        <v>2.1760000000000002</v>
      </c>
      <c r="O145" s="9">
        <f>0.466+0.15</f>
        <v>0.61599999999999999</v>
      </c>
      <c r="P145" s="5">
        <v>0.5</v>
      </c>
      <c r="Q145" s="5">
        <v>0.9</v>
      </c>
      <c r="R145" s="9">
        <f>170%</f>
        <v>1.7</v>
      </c>
      <c r="S145" s="3" t="s">
        <v>177</v>
      </c>
      <c r="T145" s="6">
        <f>H145*R145*(1+O145)*(1+N145)*P145*Q145</f>
        <v>8919.687386186497</v>
      </c>
    </row>
    <row r="146" spans="1:20" x14ac:dyDescent="0.15">
      <c r="A146" s="3" t="s">
        <v>173</v>
      </c>
      <c r="B146" s="3" t="s">
        <v>178</v>
      </c>
      <c r="C146" s="3" t="s">
        <v>175</v>
      </c>
      <c r="D146" s="3" t="s">
        <v>176</v>
      </c>
      <c r="E146" s="4" t="s">
        <v>148</v>
      </c>
      <c r="F146" s="5">
        <v>323</v>
      </c>
      <c r="G146" s="5">
        <v>510</v>
      </c>
      <c r="H146" s="6">
        <f>(F146+G146)*(1+0.3+0.466+0.413+0.18)+311</f>
        <v>2276.047</v>
      </c>
      <c r="K146" s="9">
        <v>0.15</v>
      </c>
      <c r="L146" s="9">
        <v>0.38400000000000001</v>
      </c>
      <c r="M146" s="10">
        <f>60.25%+K146/2+L146/4-15%</f>
        <v>0.62349999999999994</v>
      </c>
      <c r="N146" s="10">
        <f t="shared" si="20"/>
        <v>1.5469999999999999</v>
      </c>
      <c r="O146" s="9">
        <f>0.466+0.15+0.36</f>
        <v>0.97599999999999998</v>
      </c>
      <c r="P146" s="5">
        <v>0.5</v>
      </c>
      <c r="Q146" s="5">
        <v>0.9</v>
      </c>
      <c r="R146" s="9">
        <f>170%</f>
        <v>1.7</v>
      </c>
      <c r="S146" s="3" t="s">
        <v>177</v>
      </c>
      <c r="T146" s="6">
        <f>H146*R146*(1+O146)*(1+N146)*P146*Q146</f>
        <v>8763.115710992759</v>
      </c>
    </row>
    <row r="148" spans="1:20" x14ac:dyDescent="0.15">
      <c r="A148" s="3" t="s">
        <v>9</v>
      </c>
      <c r="B148" s="3" t="s">
        <v>10</v>
      </c>
      <c r="C148" s="3" t="s">
        <v>11</v>
      </c>
      <c r="D148" s="3" t="s">
        <v>12</v>
      </c>
      <c r="E148" s="4" t="s">
        <v>13</v>
      </c>
      <c r="F148" s="11" t="s">
        <v>14</v>
      </c>
      <c r="G148" s="11" t="s">
        <v>15</v>
      </c>
      <c r="H148" s="6" t="s">
        <v>16</v>
      </c>
      <c r="J148" s="13"/>
      <c r="K148" s="12" t="s">
        <v>19</v>
      </c>
      <c r="L148" s="12" t="s">
        <v>20</v>
      </c>
      <c r="M148" s="10" t="s">
        <v>21</v>
      </c>
      <c r="N148" s="10" t="s">
        <v>22</v>
      </c>
      <c r="O148" s="12" t="s">
        <v>23</v>
      </c>
      <c r="P148" s="11" t="s">
        <v>24</v>
      </c>
      <c r="Q148" s="11" t="s">
        <v>25</v>
      </c>
      <c r="R148" s="12" t="s">
        <v>26</v>
      </c>
      <c r="S148" s="3" t="s">
        <v>27</v>
      </c>
      <c r="T148" s="6" t="s">
        <v>28</v>
      </c>
    </row>
    <row r="149" spans="1:20" x14ac:dyDescent="0.15">
      <c r="A149" s="3" t="s">
        <v>179</v>
      </c>
      <c r="B149" s="3" t="s">
        <v>66</v>
      </c>
      <c r="C149" s="3" t="s">
        <v>180</v>
      </c>
      <c r="D149" s="3" t="s">
        <v>71</v>
      </c>
      <c r="E149" s="4" t="s">
        <v>83</v>
      </c>
      <c r="F149" s="5">
        <v>234</v>
      </c>
      <c r="G149" s="5">
        <v>510</v>
      </c>
      <c r="H149" s="6">
        <f>(F149+G149)*(1+0.3+0.466+0.18)+311</f>
        <v>1758.8240000000001</v>
      </c>
      <c r="K149" s="9">
        <v>0.27600000000000002</v>
      </c>
      <c r="L149" s="9">
        <v>0</v>
      </c>
      <c r="M149" s="10">
        <f t="shared" ref="M149:M154" si="21">60.25%+K149/2+L149/4</f>
        <v>0.74050000000000005</v>
      </c>
      <c r="N149" s="10">
        <f t="shared" si="20"/>
        <v>1.4810000000000001</v>
      </c>
      <c r="O149" s="9">
        <f>0.583+0.35+0.3+0.5+0.1</f>
        <v>1.833</v>
      </c>
      <c r="P149" s="5">
        <f>190/(190*(1-0.15)+190)</f>
        <v>0.54054054054054057</v>
      </c>
      <c r="Q149" s="5">
        <v>0.9</v>
      </c>
      <c r="R149" s="9">
        <v>1.7113</v>
      </c>
      <c r="S149" s="3" t="s">
        <v>181</v>
      </c>
      <c r="T149" s="6">
        <f t="shared" ref="T149:T154" si="22">H149*R149*(1+O149)*(1+N149)*P149*Q149</f>
        <v>10291.831170291554</v>
      </c>
    </row>
    <row r="150" spans="1:20" x14ac:dyDescent="0.15">
      <c r="A150" s="3" t="s">
        <v>179</v>
      </c>
      <c r="B150" s="3" t="s">
        <v>64</v>
      </c>
      <c r="C150" s="3" t="s">
        <v>180</v>
      </c>
      <c r="D150" s="3" t="s">
        <v>71</v>
      </c>
      <c r="E150" s="4" t="s">
        <v>83</v>
      </c>
      <c r="F150" s="5">
        <v>234</v>
      </c>
      <c r="G150" s="5">
        <v>608</v>
      </c>
      <c r="H150" s="6">
        <f>(F150+G150)*(1+0.3+0.466+0.18+0.496+0.2)+311</f>
        <v>2535.5640000000003</v>
      </c>
      <c r="K150" s="9">
        <v>0</v>
      </c>
      <c r="L150" s="9">
        <v>0</v>
      </c>
      <c r="M150" s="10">
        <f t="shared" si="21"/>
        <v>0.60250000000000004</v>
      </c>
      <c r="N150" s="10">
        <f t="shared" si="20"/>
        <v>1.2050000000000001</v>
      </c>
      <c r="O150" s="9">
        <f>0.583+0.35+0.3+0.1</f>
        <v>1.333</v>
      </c>
      <c r="P150" s="5">
        <f>190/(190*(1-0.15)+190)</f>
        <v>0.54054054054054057</v>
      </c>
      <c r="Q150" s="5">
        <v>0.9</v>
      </c>
      <c r="R150" s="9">
        <v>1.7113</v>
      </c>
      <c r="S150" s="3" t="s">
        <v>181</v>
      </c>
      <c r="T150" s="6">
        <f t="shared" si="22"/>
        <v>10859.125216509341</v>
      </c>
    </row>
    <row r="152" spans="1:20" x14ac:dyDescent="0.15">
      <c r="A152" s="3" t="s">
        <v>9</v>
      </c>
      <c r="B152" s="3" t="s">
        <v>10</v>
      </c>
      <c r="C152" s="3" t="s">
        <v>11</v>
      </c>
      <c r="D152" s="3" t="s">
        <v>12</v>
      </c>
      <c r="E152" s="4" t="s">
        <v>13</v>
      </c>
      <c r="F152" s="11" t="s">
        <v>14</v>
      </c>
      <c r="G152" s="11" t="s">
        <v>15</v>
      </c>
      <c r="H152" s="6" t="s">
        <v>16</v>
      </c>
      <c r="J152" s="13"/>
      <c r="K152" s="12" t="s">
        <v>19</v>
      </c>
      <c r="L152" s="12" t="s">
        <v>20</v>
      </c>
      <c r="M152" s="10" t="s">
        <v>21</v>
      </c>
      <c r="N152" s="10" t="s">
        <v>22</v>
      </c>
      <c r="O152" s="12" t="s">
        <v>23</v>
      </c>
      <c r="P152" s="11" t="s">
        <v>24</v>
      </c>
      <c r="Q152" s="11" t="s">
        <v>25</v>
      </c>
      <c r="R152" s="12" t="s">
        <v>26</v>
      </c>
      <c r="S152" s="3" t="s">
        <v>27</v>
      </c>
      <c r="T152" s="6" t="s">
        <v>28</v>
      </c>
    </row>
    <row r="153" spans="1:20" x14ac:dyDescent="0.15">
      <c r="A153" s="3" t="s">
        <v>182</v>
      </c>
      <c r="B153" s="3" t="s">
        <v>153</v>
      </c>
      <c r="C153" s="3" t="s">
        <v>175</v>
      </c>
      <c r="D153" s="3" t="s">
        <v>176</v>
      </c>
      <c r="E153" s="4" t="s">
        <v>183</v>
      </c>
      <c r="F153" s="5">
        <v>244</v>
      </c>
      <c r="G153" s="5">
        <v>510</v>
      </c>
      <c r="H153" s="6">
        <f>(F153+G153)*(1+0.3+0.466+0.18+0.24)+311</f>
        <v>1959.2439999999999</v>
      </c>
      <c r="K153" s="9">
        <v>0</v>
      </c>
      <c r="L153" s="9">
        <v>0</v>
      </c>
      <c r="M153" s="10">
        <f t="shared" si="21"/>
        <v>0.60250000000000004</v>
      </c>
      <c r="N153" s="10">
        <f t="shared" ref="N153:N158" si="23">60.25%*2+K153+L153/2</f>
        <v>1.2050000000000001</v>
      </c>
      <c r="O153" s="9">
        <f>0.466+0.15+0.48</f>
        <v>1.0960000000000001</v>
      </c>
      <c r="P153" s="5">
        <f>190/(190*(1)+190)</f>
        <v>0.5</v>
      </c>
      <c r="Q153" s="5">
        <v>0.9</v>
      </c>
      <c r="R153" s="9">
        <v>1.8869999999999998</v>
      </c>
      <c r="S153" s="3" t="s">
        <v>184</v>
      </c>
      <c r="T153" s="6">
        <f t="shared" si="22"/>
        <v>7689.0522394435684</v>
      </c>
    </row>
    <row r="154" spans="1:20" x14ac:dyDescent="0.15">
      <c r="A154" s="3" t="s">
        <v>182</v>
      </c>
      <c r="B154" s="3" t="s">
        <v>119</v>
      </c>
      <c r="C154" s="3" t="s">
        <v>175</v>
      </c>
      <c r="D154" s="3" t="s">
        <v>176</v>
      </c>
      <c r="E154" s="4" t="s">
        <v>183</v>
      </c>
      <c r="F154" s="5">
        <v>244</v>
      </c>
      <c r="G154" s="5">
        <v>674</v>
      </c>
      <c r="H154" s="6">
        <f>(F154+G154)*(1+0.3+0.466+0.18+0.24)+311</f>
        <v>2317.748</v>
      </c>
      <c r="K154" s="9">
        <v>0.221</v>
      </c>
      <c r="L154" s="9">
        <v>0.2</v>
      </c>
      <c r="M154" s="10">
        <f t="shared" si="21"/>
        <v>0.76300000000000012</v>
      </c>
      <c r="N154" s="10">
        <f t="shared" si="23"/>
        <v>1.5260000000000002</v>
      </c>
      <c r="O154" s="9">
        <f>0.466+0.15</f>
        <v>0.61599999999999999</v>
      </c>
      <c r="P154" s="5">
        <f>190/(190*(1)+190)</f>
        <v>0.5</v>
      </c>
      <c r="Q154" s="5">
        <v>0.9</v>
      </c>
      <c r="R154" s="9">
        <v>1.8869999999999998</v>
      </c>
      <c r="S154" s="3" t="s">
        <v>184</v>
      </c>
      <c r="T154" s="6">
        <f t="shared" si="22"/>
        <v>8033.8798352158274</v>
      </c>
    </row>
    <row r="156" spans="1:20" x14ac:dyDescent="0.15">
      <c r="A156" s="3" t="s">
        <v>9</v>
      </c>
      <c r="B156" s="3" t="s">
        <v>10</v>
      </c>
      <c r="C156" s="3" t="s">
        <v>11</v>
      </c>
      <c r="D156" s="3" t="s">
        <v>12</v>
      </c>
      <c r="E156" s="4" t="s">
        <v>13</v>
      </c>
      <c r="F156" s="11" t="s">
        <v>14</v>
      </c>
      <c r="G156" s="11" t="s">
        <v>15</v>
      </c>
      <c r="H156" s="6" t="s">
        <v>16</v>
      </c>
      <c r="J156" s="13"/>
      <c r="K156" s="12" t="s">
        <v>19</v>
      </c>
      <c r="L156" s="12" t="s">
        <v>20</v>
      </c>
      <c r="M156" s="10" t="s">
        <v>21</v>
      </c>
      <c r="N156" s="10" t="s">
        <v>22</v>
      </c>
      <c r="O156" s="12" t="s">
        <v>23</v>
      </c>
      <c r="P156" s="11" t="s">
        <v>24</v>
      </c>
      <c r="Q156" s="11" t="s">
        <v>25</v>
      </c>
      <c r="R156" s="12" t="s">
        <v>26</v>
      </c>
      <c r="S156" s="3" t="s">
        <v>27</v>
      </c>
      <c r="T156" s="6" t="s">
        <v>28</v>
      </c>
    </row>
    <row r="157" spans="1:20" x14ac:dyDescent="0.15">
      <c r="A157" s="3" t="s">
        <v>185</v>
      </c>
      <c r="B157" s="3" t="s">
        <v>56</v>
      </c>
      <c r="C157" s="3" t="s">
        <v>186</v>
      </c>
      <c r="D157" s="3" t="s">
        <v>176</v>
      </c>
      <c r="E157" s="4" t="s">
        <v>187</v>
      </c>
      <c r="F157" s="5">
        <v>232</v>
      </c>
      <c r="G157" s="5">
        <v>608</v>
      </c>
      <c r="H157" s="6">
        <f>(F157+G157)*(1+0.3+0.466+0.18)+311</f>
        <v>1945.6399999999999</v>
      </c>
      <c r="K157" s="9">
        <v>0.33100000000000002</v>
      </c>
      <c r="L157" s="9">
        <v>0</v>
      </c>
      <c r="M157" s="10">
        <f t="shared" ref="M157:M162" si="24">60.25%+K157/2+L157/4</f>
        <v>0.76800000000000002</v>
      </c>
      <c r="N157" s="10">
        <f t="shared" si="23"/>
        <v>1.536</v>
      </c>
      <c r="O157" s="9">
        <f>0.466+0.32+0.15</f>
        <v>0.93600000000000005</v>
      </c>
      <c r="P157" s="5">
        <f>190/(190*(1-0.15)+190)</f>
        <v>0.54054054054054057</v>
      </c>
      <c r="Q157" s="5">
        <v>0.9</v>
      </c>
      <c r="R157" s="9">
        <v>10.353</v>
      </c>
      <c r="S157" s="3" t="s">
        <v>188</v>
      </c>
      <c r="T157" s="6">
        <f t="shared" ref="T157:T162" si="25">H157*R157*(1+O157)*(1+N157)*P157*Q157</f>
        <v>48112.074525930962</v>
      </c>
    </row>
    <row r="158" spans="1:20" x14ac:dyDescent="0.15">
      <c r="A158" s="3" t="s">
        <v>185</v>
      </c>
      <c r="B158" s="3" t="s">
        <v>60</v>
      </c>
      <c r="C158" s="3" t="s">
        <v>82</v>
      </c>
      <c r="D158" s="3" t="s">
        <v>176</v>
      </c>
      <c r="E158" s="4" t="s">
        <v>189</v>
      </c>
      <c r="F158" s="5">
        <v>232</v>
      </c>
      <c r="G158" s="5">
        <v>510</v>
      </c>
      <c r="H158" s="6">
        <f>(F158+G158)*(1+0.3+0.466)+311</f>
        <v>1621.3720000000001</v>
      </c>
      <c r="K158" s="9">
        <v>0</v>
      </c>
      <c r="L158" s="9">
        <v>0.55100000000000005</v>
      </c>
      <c r="M158" s="10">
        <f t="shared" si="24"/>
        <v>0.74025000000000007</v>
      </c>
      <c r="N158" s="10">
        <f t="shared" si="23"/>
        <v>1.4805000000000001</v>
      </c>
      <c r="O158" s="9">
        <f>0.466+0.2</f>
        <v>0.66600000000000004</v>
      </c>
      <c r="P158" s="5">
        <f>190/(190*(1-0.15)+190)</f>
        <v>0.54054054054054057</v>
      </c>
      <c r="Q158" s="5">
        <v>0.9</v>
      </c>
      <c r="R158" s="9">
        <v>0.77689999999999992</v>
      </c>
      <c r="S158" s="3" t="s">
        <v>190</v>
      </c>
      <c r="T158" s="6">
        <f>((F158+G158)*(1+0.3+0.466+1.2)+311)*R158*(1+O158)*(1+N158)*P158*Q158</f>
        <v>3923.1087378784878</v>
      </c>
    </row>
    <row r="160" spans="1:20" x14ac:dyDescent="0.15">
      <c r="A160" s="3" t="s">
        <v>9</v>
      </c>
      <c r="B160" s="3" t="s">
        <v>10</v>
      </c>
      <c r="C160" s="3" t="s">
        <v>11</v>
      </c>
      <c r="D160" s="3" t="s">
        <v>12</v>
      </c>
      <c r="E160" s="4" t="s">
        <v>13</v>
      </c>
      <c r="F160" s="11" t="s">
        <v>14</v>
      </c>
      <c r="G160" s="11" t="s">
        <v>15</v>
      </c>
      <c r="H160" s="6" t="s">
        <v>16</v>
      </c>
      <c r="I160" s="7" t="s">
        <v>38</v>
      </c>
      <c r="J160" s="13"/>
      <c r="K160" s="12" t="s">
        <v>19</v>
      </c>
      <c r="L160" s="12" t="s">
        <v>20</v>
      </c>
      <c r="M160" s="10" t="s">
        <v>21</v>
      </c>
      <c r="N160" s="10" t="s">
        <v>22</v>
      </c>
      <c r="O160" s="12" t="s">
        <v>23</v>
      </c>
      <c r="P160" s="11" t="s">
        <v>24</v>
      </c>
      <c r="Q160" s="11" t="s">
        <v>25</v>
      </c>
      <c r="R160" s="12" t="s">
        <v>26</v>
      </c>
      <c r="S160" s="3" t="s">
        <v>27</v>
      </c>
      <c r="T160" s="6" t="s">
        <v>28</v>
      </c>
    </row>
    <row r="161" spans="1:20" x14ac:dyDescent="0.15">
      <c r="A161" s="3" t="s">
        <v>191</v>
      </c>
      <c r="B161" s="3" t="s">
        <v>64</v>
      </c>
      <c r="C161" s="3" t="s">
        <v>89</v>
      </c>
      <c r="D161" s="3" t="s">
        <v>166</v>
      </c>
      <c r="E161" s="4" t="s">
        <v>192</v>
      </c>
      <c r="F161" s="5">
        <v>225</v>
      </c>
      <c r="G161" s="5">
        <v>608</v>
      </c>
      <c r="H161" s="6">
        <f>(G161+F161)*(1+0.3+0.466+0.2+0.496)+311</f>
        <v>2361.846</v>
      </c>
      <c r="I161" s="13">
        <f>1+0.2+0.518+0.2</f>
        <v>1.9179999999999999</v>
      </c>
      <c r="K161" s="9">
        <v>0</v>
      </c>
      <c r="L161" s="9">
        <v>0</v>
      </c>
      <c r="M161" s="10">
        <f t="shared" si="24"/>
        <v>0.60250000000000004</v>
      </c>
      <c r="N161" s="10">
        <f>60.25%*2+K161+L161/2</f>
        <v>1.2050000000000001</v>
      </c>
      <c r="O161" s="9">
        <f>0.466+0.25*I161</f>
        <v>0.94550000000000001</v>
      </c>
      <c r="P161" s="5">
        <v>0.5</v>
      </c>
      <c r="Q161" s="5">
        <v>1.0249999999999999</v>
      </c>
      <c r="R161" s="9">
        <v>1.7280000000000002</v>
      </c>
      <c r="S161" s="3" t="s">
        <v>193</v>
      </c>
      <c r="T161" s="6">
        <f t="shared" si="25"/>
        <v>8972.8211977379633</v>
      </c>
    </row>
    <row r="162" spans="1:20" x14ac:dyDescent="0.15">
      <c r="A162" s="3" t="s">
        <v>191</v>
      </c>
      <c r="B162" s="3" t="s">
        <v>66</v>
      </c>
      <c r="C162" s="3" t="s">
        <v>89</v>
      </c>
      <c r="D162" s="3" t="s">
        <v>168</v>
      </c>
      <c r="E162" s="4" t="s">
        <v>192</v>
      </c>
      <c r="F162" s="5">
        <v>225</v>
      </c>
      <c r="G162" s="5">
        <v>510</v>
      </c>
      <c r="H162" s="6">
        <f>(G162+F162)*(1+0.3+0.466*2)+311</f>
        <v>1951.5200000000002</v>
      </c>
      <c r="I162" s="13">
        <f>1+0.2+0.518+0.2</f>
        <v>1.9179999999999999</v>
      </c>
      <c r="K162" s="9">
        <v>0.27600000000000002</v>
      </c>
      <c r="L162" s="9">
        <v>0</v>
      </c>
      <c r="M162" s="10">
        <f t="shared" si="24"/>
        <v>0.74050000000000005</v>
      </c>
      <c r="N162" s="10">
        <f>60.25%*2+K162+L162/2</f>
        <v>1.4810000000000001</v>
      </c>
      <c r="O162" s="9">
        <f>0.4+0.25*I162</f>
        <v>0.87949999999999995</v>
      </c>
      <c r="P162" s="5">
        <v>0.5</v>
      </c>
      <c r="Q162" s="5">
        <v>1.0249999999999999</v>
      </c>
      <c r="R162" s="9">
        <v>1.7280000000000002</v>
      </c>
      <c r="S162" s="3" t="s">
        <v>193</v>
      </c>
      <c r="T162" s="6">
        <f t="shared" si="25"/>
        <v>8058.9731467674246</v>
      </c>
    </row>
    <row r="164" spans="1:20" x14ac:dyDescent="0.15">
      <c r="A164" s="3" t="s">
        <v>9</v>
      </c>
      <c r="B164" s="3" t="s">
        <v>10</v>
      </c>
      <c r="C164" s="3" t="s">
        <v>11</v>
      </c>
      <c r="D164" s="3" t="s">
        <v>12</v>
      </c>
      <c r="E164" s="4" t="s">
        <v>13</v>
      </c>
      <c r="F164" s="11" t="s">
        <v>14</v>
      </c>
      <c r="G164" s="11" t="s">
        <v>15</v>
      </c>
      <c r="H164" s="6" t="s">
        <v>16</v>
      </c>
      <c r="I164" s="7" t="s">
        <v>38</v>
      </c>
      <c r="J164" s="13"/>
      <c r="K164" s="12" t="s">
        <v>19</v>
      </c>
      <c r="L164" s="12" t="s">
        <v>20</v>
      </c>
      <c r="M164" s="10" t="s">
        <v>21</v>
      </c>
      <c r="N164" s="10" t="s">
        <v>22</v>
      </c>
      <c r="O164" s="12" t="s">
        <v>23</v>
      </c>
      <c r="P164" s="11" t="s">
        <v>24</v>
      </c>
      <c r="Q164" s="11" t="s">
        <v>25</v>
      </c>
      <c r="R164" s="12" t="s">
        <v>26</v>
      </c>
      <c r="S164" s="3" t="s">
        <v>27</v>
      </c>
      <c r="T164" s="6" t="s">
        <v>28</v>
      </c>
    </row>
    <row r="165" spans="1:20" x14ac:dyDescent="0.15">
      <c r="A165" s="3" t="s">
        <v>194</v>
      </c>
      <c r="B165" s="3" t="s">
        <v>159</v>
      </c>
      <c r="C165" s="3" t="s">
        <v>89</v>
      </c>
      <c r="D165" s="3" t="s">
        <v>166</v>
      </c>
      <c r="E165" s="4" t="s">
        <v>141</v>
      </c>
      <c r="F165" s="5">
        <v>212</v>
      </c>
      <c r="G165" s="5">
        <v>454</v>
      </c>
      <c r="H165" s="6">
        <f>(G165+F165)*(1+0.2+0.24)+311</f>
        <v>1270.04</v>
      </c>
      <c r="I165" s="13">
        <f>1+0.2+0.518+0.2+0.613</f>
        <v>2.5309999999999997</v>
      </c>
      <c r="K165" s="9">
        <v>0</v>
      </c>
      <c r="L165" s="9">
        <v>0</v>
      </c>
      <c r="M165" s="10">
        <f>60.25%+K165/2+L165/4</f>
        <v>0.60250000000000004</v>
      </c>
      <c r="N165" s="10">
        <f>60.25%*2+K165+L165/2</f>
        <v>1.2050000000000001</v>
      </c>
      <c r="O165" s="9">
        <f>0.466+0.25*I165</f>
        <v>1.0987499999999999</v>
      </c>
      <c r="P165" s="5">
        <v>0.5</v>
      </c>
      <c r="Q165" s="5">
        <v>1.0249999999999999</v>
      </c>
      <c r="R165" s="9">
        <v>1.7280000000000002</v>
      </c>
      <c r="S165" s="3" t="s">
        <v>195</v>
      </c>
      <c r="T165" s="10">
        <f>0.2+0.1*I165</f>
        <v>0.4531</v>
      </c>
    </row>
    <row r="166" spans="1:20" x14ac:dyDescent="0.15">
      <c r="I166" s="13"/>
      <c r="T166" s="10"/>
    </row>
    <row r="167" spans="1:20" x14ac:dyDescent="0.15">
      <c r="A167" s="19"/>
      <c r="B167" s="19"/>
      <c r="C167" s="19"/>
      <c r="D167" s="19"/>
      <c r="E167" s="20"/>
      <c r="F167" s="21"/>
      <c r="G167" s="21"/>
      <c r="H167" s="22"/>
      <c r="I167" s="23"/>
      <c r="J167" s="24"/>
      <c r="K167" s="25"/>
      <c r="L167" s="25"/>
      <c r="M167" s="26"/>
      <c r="N167" s="26"/>
      <c r="O167" s="25"/>
      <c r="P167" s="21"/>
      <c r="Q167" s="21"/>
      <c r="R167" s="25"/>
      <c r="S167" s="19"/>
      <c r="T167" s="22"/>
    </row>
    <row r="168" spans="1:20" x14ac:dyDescent="0.15">
      <c r="A168" s="3" t="s">
        <v>9</v>
      </c>
      <c r="B168" s="3" t="s">
        <v>10</v>
      </c>
      <c r="C168" s="3" t="s">
        <v>11</v>
      </c>
      <c r="D168" s="3" t="s">
        <v>12</v>
      </c>
      <c r="E168" s="4" t="s">
        <v>13</v>
      </c>
      <c r="F168" s="11" t="s">
        <v>14</v>
      </c>
      <c r="G168" s="11" t="s">
        <v>15</v>
      </c>
      <c r="H168" s="6" t="s">
        <v>16</v>
      </c>
      <c r="I168" s="7" t="s">
        <v>38</v>
      </c>
      <c r="K168" s="12" t="s">
        <v>19</v>
      </c>
      <c r="L168" s="12" t="s">
        <v>20</v>
      </c>
      <c r="M168" s="10" t="s">
        <v>21</v>
      </c>
      <c r="N168" s="10" t="s">
        <v>22</v>
      </c>
      <c r="O168" s="12" t="s">
        <v>23</v>
      </c>
      <c r="P168" s="11" t="s">
        <v>24</v>
      </c>
      <c r="Q168" s="11" t="s">
        <v>25</v>
      </c>
      <c r="R168" s="12" t="s">
        <v>26</v>
      </c>
      <c r="S168" s="3" t="s">
        <v>27</v>
      </c>
      <c r="T168" s="6" t="s">
        <v>28</v>
      </c>
    </row>
    <row r="169" spans="1:20" x14ac:dyDescent="0.15">
      <c r="A169" s="3" t="s">
        <v>196</v>
      </c>
      <c r="B169" s="3" t="s">
        <v>197</v>
      </c>
      <c r="C169" s="3" t="s">
        <v>198</v>
      </c>
      <c r="D169" s="3" t="s">
        <v>199</v>
      </c>
      <c r="E169" s="4" t="s">
        <v>200</v>
      </c>
      <c r="F169" s="5">
        <v>304</v>
      </c>
      <c r="G169" s="5">
        <v>741</v>
      </c>
      <c r="H169" s="6">
        <f>(F169+G169)*(1+0.4+0.466*3+0.165+0.288+0.18*2)+311</f>
        <v>4084.4949999999999</v>
      </c>
      <c r="I169" s="17">
        <f>1+0.8</f>
        <v>1.8</v>
      </c>
      <c r="K169" s="9">
        <v>0</v>
      </c>
      <c r="L169" s="9">
        <v>0</v>
      </c>
      <c r="M169" s="10" t="s">
        <v>44</v>
      </c>
      <c r="N169" s="10" t="s">
        <v>44</v>
      </c>
      <c r="O169" s="9" t="s">
        <v>45</v>
      </c>
      <c r="P169" s="5">
        <f>0.5</f>
        <v>0.5</v>
      </c>
      <c r="Q169" s="5">
        <f>0.9</f>
        <v>0.9</v>
      </c>
      <c r="R169" s="9" t="s">
        <v>45</v>
      </c>
      <c r="S169" s="3" t="s">
        <v>201</v>
      </c>
      <c r="T169" s="6" t="s">
        <v>44</v>
      </c>
    </row>
    <row r="170" spans="1:20" x14ac:dyDescent="0.15">
      <c r="A170" s="3" t="s">
        <v>196</v>
      </c>
      <c r="B170" s="3" t="s">
        <v>165</v>
      </c>
      <c r="C170" s="3" t="s">
        <v>198</v>
      </c>
      <c r="D170" s="3" t="s">
        <v>199</v>
      </c>
      <c r="E170" s="4" t="s">
        <v>200</v>
      </c>
      <c r="F170" s="5">
        <v>304</v>
      </c>
      <c r="G170" s="5">
        <v>608</v>
      </c>
      <c r="H170" s="6">
        <f>(F170+G170)*(1+0.4+0.466*3+0.288+0.18*2+0.28*(I170-1))+311</f>
        <v>3798.7433599999999</v>
      </c>
      <c r="I170" s="27">
        <f>1+0.551+0.8</f>
        <v>2.351</v>
      </c>
      <c r="K170" s="9">
        <v>0</v>
      </c>
      <c r="L170" s="9">
        <v>0</v>
      </c>
      <c r="M170" s="10" t="s">
        <v>44</v>
      </c>
      <c r="N170" s="10" t="s">
        <v>44</v>
      </c>
      <c r="O170" s="9" t="s">
        <v>45</v>
      </c>
      <c r="P170" s="5">
        <f>0.5</f>
        <v>0.5</v>
      </c>
      <c r="Q170" s="5">
        <f>0.9</f>
        <v>0.9</v>
      </c>
      <c r="R170" s="9" t="s">
        <v>45</v>
      </c>
      <c r="S170" s="3" t="s">
        <v>201</v>
      </c>
      <c r="T170" s="6" t="s">
        <v>44</v>
      </c>
    </row>
    <row r="171" spans="1:20" x14ac:dyDescent="0.15">
      <c r="A171" s="3" t="s">
        <v>196</v>
      </c>
      <c r="B171" s="3" t="s">
        <v>88</v>
      </c>
      <c r="C171" s="3" t="s">
        <v>198</v>
      </c>
      <c r="D171" s="3" t="s">
        <v>199</v>
      </c>
      <c r="E171" s="4" t="s">
        <v>200</v>
      </c>
      <c r="F171" s="5">
        <v>304</v>
      </c>
      <c r="G171" s="5">
        <v>674</v>
      </c>
      <c r="H171" s="6">
        <f>(F171+G171)*(1+0.4+0.466*3+0.288+0.18*2)+311</f>
        <v>3681.1879999999996</v>
      </c>
      <c r="I171" s="27">
        <f>1+0.8+0.368</f>
        <v>2.1680000000000001</v>
      </c>
      <c r="K171" s="9">
        <v>0</v>
      </c>
      <c r="L171" s="9">
        <v>0</v>
      </c>
      <c r="M171" s="10" t="s">
        <v>44</v>
      </c>
      <c r="N171" s="10" t="s">
        <v>44</v>
      </c>
      <c r="O171" s="9" t="s">
        <v>45</v>
      </c>
      <c r="P171" s="5">
        <f>0.5</f>
        <v>0.5</v>
      </c>
      <c r="Q171" s="5">
        <f>0.9</f>
        <v>0.9</v>
      </c>
      <c r="R171" s="9" t="s">
        <v>45</v>
      </c>
      <c r="S171" s="3" t="s">
        <v>201</v>
      </c>
      <c r="T171" s="6" t="s">
        <v>44</v>
      </c>
    </row>
    <row r="172" spans="1:20" x14ac:dyDescent="0.15">
      <c r="A172" s="3" t="s">
        <v>196</v>
      </c>
      <c r="B172" s="3" t="s">
        <v>40</v>
      </c>
      <c r="C172" s="3" t="s">
        <v>198</v>
      </c>
      <c r="D172" s="3" t="s">
        <v>199</v>
      </c>
      <c r="E172" s="4" t="s">
        <v>200</v>
      </c>
      <c r="F172" s="5">
        <v>304</v>
      </c>
      <c r="G172" s="5">
        <v>565</v>
      </c>
      <c r="H172" s="6">
        <f>(F172+G172)*(1+0.4+0.466*3+0.288+0.18*2)+311</f>
        <v>3305.5739999999996</v>
      </c>
      <c r="I172" s="27">
        <f>1+0.8+0.306</f>
        <v>2.1059999999999999</v>
      </c>
      <c r="K172" s="9">
        <v>0</v>
      </c>
      <c r="L172" s="9">
        <v>0</v>
      </c>
      <c r="M172" s="10" t="s">
        <v>44</v>
      </c>
      <c r="N172" s="10" t="s">
        <v>44</v>
      </c>
      <c r="O172" s="9" t="s">
        <v>45</v>
      </c>
      <c r="P172" s="5">
        <f>0.5</f>
        <v>0.5</v>
      </c>
      <c r="Q172" s="5">
        <f>0.9</f>
        <v>0.9</v>
      </c>
      <c r="R172" s="9" t="s">
        <v>45</v>
      </c>
      <c r="S172" s="3" t="s">
        <v>201</v>
      </c>
      <c r="T172" s="6" t="s">
        <v>44</v>
      </c>
    </row>
    <row r="174" spans="1:20" x14ac:dyDescent="0.15">
      <c r="A174" s="3" t="s">
        <v>9</v>
      </c>
      <c r="B174" s="3" t="s">
        <v>10</v>
      </c>
      <c r="C174" s="3" t="s">
        <v>11</v>
      </c>
      <c r="D174" s="3" t="s">
        <v>12</v>
      </c>
      <c r="E174" s="4" t="s">
        <v>13</v>
      </c>
      <c r="F174" s="11" t="s">
        <v>14</v>
      </c>
      <c r="G174" s="11" t="s">
        <v>15</v>
      </c>
      <c r="H174" s="6" t="s">
        <v>16</v>
      </c>
      <c r="K174" s="12" t="s">
        <v>19</v>
      </c>
      <c r="L174" s="12" t="s">
        <v>20</v>
      </c>
      <c r="M174" s="10" t="s">
        <v>21</v>
      </c>
      <c r="N174" s="10" t="s">
        <v>22</v>
      </c>
      <c r="O174" s="12" t="s">
        <v>23</v>
      </c>
      <c r="P174" s="11" t="s">
        <v>24</v>
      </c>
      <c r="Q174" s="11" t="s">
        <v>25</v>
      </c>
      <c r="R174" s="12" t="s">
        <v>26</v>
      </c>
      <c r="S174" s="3" t="s">
        <v>27</v>
      </c>
      <c r="T174" s="6" t="s">
        <v>202</v>
      </c>
    </row>
    <row r="175" spans="1:20" x14ac:dyDescent="0.15">
      <c r="A175" s="3" t="s">
        <v>203</v>
      </c>
      <c r="B175" s="3" t="s">
        <v>174</v>
      </c>
      <c r="C175" s="3" t="s">
        <v>204</v>
      </c>
      <c r="D175" s="3" t="s">
        <v>205</v>
      </c>
      <c r="E175" s="4" t="s">
        <v>206</v>
      </c>
      <c r="F175" s="5">
        <v>342</v>
      </c>
      <c r="G175" s="5">
        <v>674</v>
      </c>
      <c r="H175" s="6">
        <f>(F175+G175)*(1+0.3+0.466)+311</f>
        <v>2105.2560000000003</v>
      </c>
      <c r="K175" s="9">
        <f>0.4+0.15</f>
        <v>0.55000000000000004</v>
      </c>
      <c r="L175" s="9">
        <f>38.4%+44.1%</f>
        <v>0.82499999999999996</v>
      </c>
      <c r="M175" s="10">
        <f>63.55%+K175/2+L175/4-11.68%-55%-10%</f>
        <v>0.34994999999999987</v>
      </c>
      <c r="N175" s="10">
        <f>63.55%*2+K175+L175/2+11.68%*2+20%-6.6%*2</f>
        <v>2.5350999999999999</v>
      </c>
      <c r="O175" s="9">
        <f>0.466+0.15+0.18+0.4</f>
        <v>1.1960000000000002</v>
      </c>
      <c r="P175" s="5">
        <f>0.5</f>
        <v>0.5</v>
      </c>
      <c r="Q175" s="5">
        <f>0.9</f>
        <v>0.9</v>
      </c>
      <c r="R175" s="9">
        <f>2.0214</f>
        <v>2.0213999999999999</v>
      </c>
      <c r="S175" s="3" t="s">
        <v>207</v>
      </c>
      <c r="T175" s="6">
        <f>H175*R175*(1+O175)*(1+N175)*P175*Q175</f>
        <v>14866.32860493826</v>
      </c>
    </row>
    <row r="176" spans="1:20" x14ac:dyDescent="0.15">
      <c r="A176" s="3" t="s">
        <v>203</v>
      </c>
      <c r="B176" s="3" t="s">
        <v>208</v>
      </c>
      <c r="C176" s="3" t="s">
        <v>204</v>
      </c>
      <c r="D176" s="3" t="s">
        <v>205</v>
      </c>
      <c r="E176" s="4" t="s">
        <v>206</v>
      </c>
      <c r="F176" s="5">
        <v>342</v>
      </c>
      <c r="G176" s="5">
        <v>454</v>
      </c>
      <c r="H176" s="6">
        <f>(F176+G176)*(1+0.3+0.466+0.551)+311</f>
        <v>2155.3320000000003</v>
      </c>
      <c r="K176" s="9">
        <f>0.15+0.4</f>
        <v>0.55000000000000004</v>
      </c>
      <c r="L176" s="9">
        <f>38.4%</f>
        <v>0.38400000000000001</v>
      </c>
      <c r="M176" s="10">
        <f>63.55%+K176/2+L176/4-0.65%-55%-10%</f>
        <v>0.35</v>
      </c>
      <c r="N176" s="10">
        <f>63.55%*2+K176+L176/2+0.65%*2+20%-6.6%*2</f>
        <v>2.0939999999999999</v>
      </c>
      <c r="O176" s="9">
        <f>0.466+0.15+0.18</f>
        <v>0.79600000000000004</v>
      </c>
      <c r="P176" s="5">
        <f>0.5</f>
        <v>0.5</v>
      </c>
      <c r="Q176" s="5">
        <f>0.9</f>
        <v>0.9</v>
      </c>
      <c r="R176" s="9">
        <f>2.0214</f>
        <v>2.0213999999999999</v>
      </c>
      <c r="S176" s="3" t="s">
        <v>207</v>
      </c>
      <c r="T176" s="6">
        <f>H176*R176*(1+O176)*(1+N176)*P176*Q176</f>
        <v>10894.457116650219</v>
      </c>
    </row>
    <row r="178" spans="1:20" x14ac:dyDescent="0.15">
      <c r="A178" s="3" t="s">
        <v>9</v>
      </c>
      <c r="B178" s="3" t="s">
        <v>10</v>
      </c>
      <c r="C178" s="3" t="s">
        <v>11</v>
      </c>
      <c r="D178" s="3" t="s">
        <v>12</v>
      </c>
      <c r="E178" s="4" t="s">
        <v>13</v>
      </c>
      <c r="F178" s="11" t="s">
        <v>14</v>
      </c>
      <c r="G178" s="11" t="s">
        <v>15</v>
      </c>
      <c r="H178" s="6" t="s">
        <v>16</v>
      </c>
      <c r="J178" s="13"/>
      <c r="K178" s="12" t="s">
        <v>19</v>
      </c>
      <c r="L178" s="12" t="s">
        <v>20</v>
      </c>
      <c r="M178" s="10" t="s">
        <v>21</v>
      </c>
      <c r="N178" s="10" t="s">
        <v>22</v>
      </c>
      <c r="O178" s="12" t="s">
        <v>23</v>
      </c>
      <c r="P178" s="11" t="s">
        <v>24</v>
      </c>
      <c r="Q178" s="11" t="s">
        <v>25</v>
      </c>
      <c r="R178" s="12" t="s">
        <v>26</v>
      </c>
      <c r="S178" s="3" t="s">
        <v>27</v>
      </c>
      <c r="T178" s="6" t="s">
        <v>28</v>
      </c>
    </row>
    <row r="179" spans="1:20" x14ac:dyDescent="0.15">
      <c r="A179" s="3" t="s">
        <v>209</v>
      </c>
      <c r="B179" s="3" t="s">
        <v>210</v>
      </c>
      <c r="C179" s="3" t="s">
        <v>211</v>
      </c>
      <c r="D179" s="3" t="s">
        <v>71</v>
      </c>
      <c r="E179" s="4" t="s">
        <v>206</v>
      </c>
      <c r="F179" s="5">
        <v>342</v>
      </c>
      <c r="G179" s="5">
        <v>741</v>
      </c>
      <c r="H179" s="6">
        <f>(F179+G179)*(1+0.3+0.466+0.16)+311</f>
        <v>2396.8579999999997</v>
      </c>
      <c r="K179" s="9">
        <v>0.15</v>
      </c>
      <c r="L179" s="9">
        <v>0.38400000000000001</v>
      </c>
      <c r="M179" s="10">
        <f>60.25%+K179/2+L179/4-15%</f>
        <v>0.62349999999999994</v>
      </c>
      <c r="N179" s="10">
        <f>60.25%*2+K179+L179/2</f>
        <v>1.5469999999999999</v>
      </c>
      <c r="O179" s="9">
        <f>0.583+0.5+0.207</f>
        <v>1.29</v>
      </c>
      <c r="P179" s="5">
        <f>0.5</f>
        <v>0.5</v>
      </c>
      <c r="Q179" s="5">
        <v>1.0649999999999999</v>
      </c>
      <c r="R179" s="9">
        <f>725.56%+13*148.24%</f>
        <v>26.526800000000001</v>
      </c>
      <c r="S179" s="3" t="s">
        <v>212</v>
      </c>
      <c r="T179" s="6">
        <f>((F179+G179)*(1+0.3+0.466+0.16+0.14+0.2)+311)*R179*(1+O179)*(1+N179)*P179*Q179</f>
        <v>227811.83866351488</v>
      </c>
    </row>
    <row r="180" spans="1:20" x14ac:dyDescent="0.15">
      <c r="A180" s="3" t="s">
        <v>209</v>
      </c>
      <c r="B180" s="3" t="s">
        <v>64</v>
      </c>
      <c r="C180" s="3" t="s">
        <v>211</v>
      </c>
      <c r="D180" s="3" t="s">
        <v>71</v>
      </c>
      <c r="E180" s="4" t="s">
        <v>206</v>
      </c>
      <c r="F180" s="5">
        <v>342</v>
      </c>
      <c r="G180" s="5">
        <v>608</v>
      </c>
      <c r="H180" s="6">
        <f>(F180+G180)*(1+0.3+0.466+0.2+0.496)+311</f>
        <v>2649.8999999999996</v>
      </c>
      <c r="K180" s="9">
        <v>0.15</v>
      </c>
      <c r="L180" s="9">
        <v>0.38400000000000001</v>
      </c>
      <c r="M180" s="10">
        <f>60.25%+K180/2+L180/4-15%</f>
        <v>0.62349999999999994</v>
      </c>
      <c r="N180" s="10">
        <f>60.25%*2+K180+L180/2</f>
        <v>1.5469999999999999</v>
      </c>
      <c r="O180" s="9">
        <f>0.583+0.5</f>
        <v>1.083</v>
      </c>
      <c r="P180" s="5">
        <f>0.5</f>
        <v>0.5</v>
      </c>
      <c r="Q180" s="5">
        <v>1.0649999999999999</v>
      </c>
      <c r="R180" s="9">
        <f>725.56%+13*148.24%</f>
        <v>26.526800000000001</v>
      </c>
      <c r="S180" s="3" t="s">
        <v>212</v>
      </c>
      <c r="T180" s="6">
        <f>((F180+G180)*(1+0.3+0.466+0.2+0.496+0.14)+311)*R180*(1+O180)*(1+N180)*P180*Q180</f>
        <v>208554.84850859328</v>
      </c>
    </row>
    <row r="181" spans="1:20" x14ac:dyDescent="0.15">
      <c r="A181" s="3" t="s">
        <v>209</v>
      </c>
      <c r="B181" s="3" t="s">
        <v>66</v>
      </c>
      <c r="C181" s="3" t="s">
        <v>211</v>
      </c>
      <c r="D181" s="3" t="s">
        <v>71</v>
      </c>
      <c r="E181" s="4" t="s">
        <v>206</v>
      </c>
      <c r="F181" s="5">
        <v>342</v>
      </c>
      <c r="G181" s="5">
        <v>510</v>
      </c>
      <c r="H181" s="6">
        <f>(F181+G181)*(1+0.3+0.466)+311</f>
        <v>1815.6320000000001</v>
      </c>
      <c r="K181" s="9">
        <f>15%+27.6%</f>
        <v>0.42600000000000005</v>
      </c>
      <c r="L181" s="9">
        <f t="shared" ref="L181:L190" si="26">38.4%</f>
        <v>0.38400000000000001</v>
      </c>
      <c r="M181" s="10">
        <v>0.75</v>
      </c>
      <c r="N181" s="10">
        <f>60.25%*2+K181+L181/2+1.15%*2</f>
        <v>1.8460000000000001</v>
      </c>
      <c r="O181" s="9">
        <f>0.583+0.5+0.4</f>
        <v>1.4830000000000001</v>
      </c>
      <c r="P181" s="5">
        <f>0.5</f>
        <v>0.5</v>
      </c>
      <c r="Q181" s="5">
        <v>1.0649999999999999</v>
      </c>
      <c r="R181" s="9">
        <f>725.56%+13*148.24%</f>
        <v>26.526800000000001</v>
      </c>
      <c r="S181" s="3" t="s">
        <v>212</v>
      </c>
      <c r="T181" s="6">
        <f>((F181+G181)*(1+0.3+0.466+0.14)+311)*R181*(1+O181)*(1+N181)*P181*Q181</f>
        <v>193142.25982352314</v>
      </c>
    </row>
    <row r="182" spans="1:20" x14ac:dyDescent="0.15">
      <c r="S182" s="3" t="s">
        <v>213</v>
      </c>
    </row>
    <row r="184" spans="1:20" x14ac:dyDescent="0.15">
      <c r="A184" s="3" t="s">
        <v>9</v>
      </c>
      <c r="B184" s="3" t="s">
        <v>10</v>
      </c>
      <c r="C184" s="3" t="s">
        <v>11</v>
      </c>
      <c r="E184" s="4" t="s">
        <v>13</v>
      </c>
      <c r="F184" s="11" t="s">
        <v>14</v>
      </c>
      <c r="G184" s="11" t="s">
        <v>15</v>
      </c>
      <c r="H184" s="6" t="s">
        <v>16</v>
      </c>
      <c r="K184" s="12" t="s">
        <v>19</v>
      </c>
      <c r="L184" s="12" t="s">
        <v>20</v>
      </c>
      <c r="M184" s="10" t="s">
        <v>21</v>
      </c>
      <c r="N184" s="10" t="s">
        <v>22</v>
      </c>
      <c r="O184" s="12" t="s">
        <v>23</v>
      </c>
      <c r="P184" s="11" t="s">
        <v>24</v>
      </c>
      <c r="Q184" s="11" t="s">
        <v>25</v>
      </c>
      <c r="R184" s="12" t="s">
        <v>26</v>
      </c>
      <c r="S184" s="3" t="s">
        <v>27</v>
      </c>
      <c r="T184" s="6" t="s">
        <v>28</v>
      </c>
    </row>
    <row r="185" spans="1:20" x14ac:dyDescent="0.15">
      <c r="A185" s="3" t="s">
        <v>214</v>
      </c>
      <c r="B185" s="3" t="s">
        <v>85</v>
      </c>
      <c r="C185" s="3" t="s">
        <v>204</v>
      </c>
      <c r="D185" s="3" t="s">
        <v>205</v>
      </c>
      <c r="E185" s="4" t="s">
        <v>148</v>
      </c>
      <c r="F185" s="5">
        <f>335</f>
        <v>335</v>
      </c>
      <c r="G185" s="5">
        <f>608</f>
        <v>608</v>
      </c>
      <c r="H185" s="6">
        <f>(F185+G185)*(1+0.3+0.466+0.496)+311</f>
        <v>2444.0659999999998</v>
      </c>
      <c r="K185" s="9">
        <f>0.2+0.4+0.15</f>
        <v>0.75000000000000011</v>
      </c>
      <c r="L185" s="9">
        <f t="shared" si="26"/>
        <v>0.38400000000000001</v>
      </c>
      <c r="M185" s="10">
        <f>63.55%+K185/2+L185/4-10.65%-75%</f>
        <v>0.25</v>
      </c>
      <c r="N185" s="10">
        <f>63.55%*2+K185+L185/2+10.65%*2-6.6%*2</f>
        <v>2.294</v>
      </c>
      <c r="O185" s="9">
        <f>0.466+0.15+0.12+0.4</f>
        <v>1.1360000000000001</v>
      </c>
      <c r="P185" s="5">
        <f t="shared" ref="P185:P190" si="27">0.5</f>
        <v>0.5</v>
      </c>
      <c r="Q185" s="5">
        <f t="shared" ref="Q185:Q190" si="28">0.9</f>
        <v>0.9</v>
      </c>
      <c r="R185" s="9">
        <f t="shared" ref="R185:R190" si="29">6.22</f>
        <v>6.22</v>
      </c>
      <c r="S185" s="3" t="s">
        <v>215</v>
      </c>
      <c r="T185" s="6">
        <f>H185*R185*(1+O185)*(1+N185)*P185*Q185</f>
        <v>48132.749549372253</v>
      </c>
    </row>
    <row r="186" spans="1:20" x14ac:dyDescent="0.15">
      <c r="A186" s="3" t="s">
        <v>214</v>
      </c>
      <c r="B186" s="39" t="s">
        <v>300</v>
      </c>
      <c r="C186" s="3" t="s">
        <v>204</v>
      </c>
      <c r="D186" s="3" t="s">
        <v>205</v>
      </c>
      <c r="E186" s="4" t="s">
        <v>148</v>
      </c>
      <c r="F186" s="29">
        <f>335</f>
        <v>335</v>
      </c>
      <c r="G186" s="29">
        <v>454</v>
      </c>
      <c r="H186" s="6">
        <f>(F186+G186)*(1+0.3+0.466+0.551)+311</f>
        <v>2139.1130000000003</v>
      </c>
      <c r="I186" s="28"/>
      <c r="K186" s="31">
        <f>0.2+0.4+0.15</f>
        <v>0.75000000000000011</v>
      </c>
      <c r="L186" s="31">
        <f t="shared" si="26"/>
        <v>0.38400000000000001</v>
      </c>
      <c r="M186" s="10">
        <f>63.55%+K186/2+L186/4-10.65%-75%</f>
        <v>0.25</v>
      </c>
      <c r="N186" s="10">
        <f>63.55%*2+K186+L186/2+10.65%*2-6.6%*2</f>
        <v>2.294</v>
      </c>
      <c r="O186" s="31">
        <f>0.466+0.15+0.18*2</f>
        <v>0.97599999999999998</v>
      </c>
      <c r="P186" s="29">
        <f t="shared" si="27"/>
        <v>0.5</v>
      </c>
      <c r="Q186" s="29">
        <f t="shared" si="28"/>
        <v>0.9</v>
      </c>
      <c r="R186" s="31">
        <f t="shared" si="29"/>
        <v>6.22</v>
      </c>
      <c r="S186" s="3" t="s">
        <v>215</v>
      </c>
      <c r="T186" s="6">
        <f>H186*R186*(1+O186)*(1+N186)*P186*Q186</f>
        <v>38971.503467954935</v>
      </c>
    </row>
    <row r="187" spans="1:20" x14ac:dyDescent="0.15">
      <c r="A187" s="3" t="s">
        <v>214</v>
      </c>
      <c r="B187" s="34" t="s">
        <v>291</v>
      </c>
      <c r="C187" s="3" t="s">
        <v>204</v>
      </c>
      <c r="D187" s="3" t="s">
        <v>205</v>
      </c>
      <c r="E187" s="4" t="s">
        <v>148</v>
      </c>
      <c r="F187" s="5">
        <f>335</f>
        <v>335</v>
      </c>
      <c r="G187" s="5">
        <v>510</v>
      </c>
      <c r="H187" s="6">
        <f>(F187+G187)*(1+0.3+0.466+0.413)+311</f>
        <v>2152.2550000000001</v>
      </c>
      <c r="I187" s="28">
        <f>(F187+G187)*0.54+H187</f>
        <v>2608.5550000000003</v>
      </c>
      <c r="K187" s="9">
        <f>0.2+0.4+0.15</f>
        <v>0.75000000000000011</v>
      </c>
      <c r="L187" s="9">
        <f t="shared" si="26"/>
        <v>0.38400000000000001</v>
      </c>
      <c r="M187" s="10">
        <f>63.55%+K187/2+L187/4-10.65%-75%</f>
        <v>0.25</v>
      </c>
      <c r="N187" s="10">
        <f>63.55%*2+K187+L187/2+10.65%*2-6.6%*2</f>
        <v>2.294</v>
      </c>
      <c r="O187" s="9">
        <f>0.466+0.15</f>
        <v>0.61599999999999999</v>
      </c>
      <c r="P187" s="5">
        <f t="shared" si="27"/>
        <v>0.5</v>
      </c>
      <c r="Q187" s="5">
        <f t="shared" si="28"/>
        <v>0.9</v>
      </c>
      <c r="R187" s="9">
        <f t="shared" si="29"/>
        <v>6.22</v>
      </c>
      <c r="S187" s="3" t="s">
        <v>215</v>
      </c>
      <c r="T187" s="6">
        <f>I187*R187*(1+O187)*(1+N187)*P187*Q187</f>
        <v>38865.821143661284</v>
      </c>
    </row>
    <row r="188" spans="1:20" x14ac:dyDescent="0.15">
      <c r="A188" s="3" t="s">
        <v>214</v>
      </c>
      <c r="B188" s="3" t="s">
        <v>85</v>
      </c>
      <c r="C188" s="3" t="s">
        <v>57</v>
      </c>
      <c r="D188" s="3" t="s">
        <v>205</v>
      </c>
      <c r="E188" s="4" t="s">
        <v>148</v>
      </c>
      <c r="F188" s="5">
        <f>335</f>
        <v>335</v>
      </c>
      <c r="G188" s="5">
        <f>608</f>
        <v>608</v>
      </c>
      <c r="H188" s="6">
        <f>(F188+G188)*(1+0.3+0.466+0.496)+311</f>
        <v>2444.0659999999998</v>
      </c>
      <c r="I188" s="28"/>
      <c r="K188" s="9">
        <f>0.2+0.15</f>
        <v>0.35</v>
      </c>
      <c r="L188" s="9">
        <f t="shared" si="26"/>
        <v>0.38400000000000001</v>
      </c>
      <c r="M188" s="10">
        <f>60.25%+K188/2+L188/4-35%</f>
        <v>0.52350000000000008</v>
      </c>
      <c r="N188" s="10">
        <f t="shared" ref="N188:N194" si="30">60.25%*2+K188+L188/2</f>
        <v>1.7470000000000001</v>
      </c>
      <c r="O188" s="9">
        <f>0.466+0.35+0.12+0.4</f>
        <v>1.3360000000000001</v>
      </c>
      <c r="P188" s="5">
        <f t="shared" si="27"/>
        <v>0.5</v>
      </c>
      <c r="Q188" s="5">
        <f t="shared" si="28"/>
        <v>0.9</v>
      </c>
      <c r="R188" s="9">
        <f t="shared" si="29"/>
        <v>6.22</v>
      </c>
      <c r="S188" s="3" t="s">
        <v>215</v>
      </c>
      <c r="T188" s="6">
        <f>H188*R188*(1+O188)*(1+N188)*P188*Q188</f>
        <v>43898.261962552126</v>
      </c>
    </row>
    <row r="189" spans="1:20" x14ac:dyDescent="0.15">
      <c r="A189" s="3" t="s">
        <v>214</v>
      </c>
      <c r="B189" s="39" t="s">
        <v>300</v>
      </c>
      <c r="C189" s="3" t="s">
        <v>57</v>
      </c>
      <c r="D189" s="3" t="s">
        <v>205</v>
      </c>
      <c r="E189" s="4" t="s">
        <v>148</v>
      </c>
      <c r="F189" s="29">
        <f>335</f>
        <v>335</v>
      </c>
      <c r="G189" s="29">
        <v>454</v>
      </c>
      <c r="H189" s="6">
        <f>(F189+G189)*(1+0.3+0.466+0.551)+311</f>
        <v>2139.1130000000003</v>
      </c>
      <c r="I189" s="28"/>
      <c r="K189" s="31">
        <f>0.2+0.15</f>
        <v>0.35</v>
      </c>
      <c r="L189" s="31">
        <f t="shared" si="26"/>
        <v>0.38400000000000001</v>
      </c>
      <c r="M189" s="10">
        <f>60.25%+K189/2+L189/4-35%</f>
        <v>0.52350000000000008</v>
      </c>
      <c r="N189" s="10">
        <f>60.25%*2+K189+L189/2</f>
        <v>1.7470000000000001</v>
      </c>
      <c r="O189" s="31">
        <f>0.466+0.35+0.18*2</f>
        <v>1.1760000000000002</v>
      </c>
      <c r="P189" s="29">
        <f t="shared" si="27"/>
        <v>0.5</v>
      </c>
      <c r="Q189" s="29">
        <f t="shared" si="28"/>
        <v>0.9</v>
      </c>
      <c r="R189" s="31">
        <f t="shared" si="29"/>
        <v>6.22</v>
      </c>
      <c r="S189" s="3" t="s">
        <v>215</v>
      </c>
      <c r="T189" s="6">
        <f>H189*R189*(1+O189)*(1+N189)*P189*Q189</f>
        <v>35789.380086478464</v>
      </c>
    </row>
    <row r="190" spans="1:20" x14ac:dyDescent="0.15">
      <c r="A190" s="3" t="s">
        <v>214</v>
      </c>
      <c r="B190" s="3" t="s">
        <v>216</v>
      </c>
      <c r="C190" s="3" t="s">
        <v>57</v>
      </c>
      <c r="D190" s="3" t="s">
        <v>205</v>
      </c>
      <c r="E190" s="4" t="s">
        <v>148</v>
      </c>
      <c r="F190" s="5">
        <f>335</f>
        <v>335</v>
      </c>
      <c r="G190" s="5">
        <v>510</v>
      </c>
      <c r="H190" s="6">
        <f>(F190+G190)*(1+0.3+0.466+0.413)+311</f>
        <v>2152.2550000000001</v>
      </c>
      <c r="I190" s="28">
        <f>(F190+G190)*0.54+H190</f>
        <v>2608.5550000000003</v>
      </c>
      <c r="K190" s="9">
        <f>0.2+0.15</f>
        <v>0.35</v>
      </c>
      <c r="L190" s="9">
        <f t="shared" si="26"/>
        <v>0.38400000000000001</v>
      </c>
      <c r="M190" s="10">
        <f>60.25%+K190/2+L190/4-35%</f>
        <v>0.52350000000000008</v>
      </c>
      <c r="N190" s="10">
        <f t="shared" si="30"/>
        <v>1.7470000000000001</v>
      </c>
      <c r="O190" s="9">
        <f>0.466+0.35</f>
        <v>0.81600000000000006</v>
      </c>
      <c r="P190" s="5">
        <f t="shared" si="27"/>
        <v>0.5</v>
      </c>
      <c r="Q190" s="5">
        <f t="shared" si="28"/>
        <v>0.9</v>
      </c>
      <c r="R190" s="9">
        <f t="shared" si="29"/>
        <v>6.22</v>
      </c>
      <c r="S190" s="3" t="s">
        <v>215</v>
      </c>
      <c r="T190" s="6">
        <f>I190*R190*(1+O190)*(1+N190)*P190*Q190</f>
        <v>36423.141422345645</v>
      </c>
    </row>
    <row r="192" spans="1:20" x14ac:dyDescent="0.15">
      <c r="A192" s="3" t="s">
        <v>9</v>
      </c>
      <c r="B192" s="3" t="s">
        <v>10</v>
      </c>
      <c r="C192" s="3" t="s">
        <v>11</v>
      </c>
      <c r="D192" s="3" t="s">
        <v>12</v>
      </c>
      <c r="E192" s="4" t="s">
        <v>13</v>
      </c>
      <c r="F192" s="11" t="s">
        <v>14</v>
      </c>
      <c r="G192" s="11" t="s">
        <v>15</v>
      </c>
      <c r="H192" s="6" t="s">
        <v>16</v>
      </c>
      <c r="I192" s="7" t="s">
        <v>38</v>
      </c>
      <c r="J192" s="13"/>
      <c r="K192" s="12" t="s">
        <v>19</v>
      </c>
      <c r="L192" s="12" t="s">
        <v>20</v>
      </c>
      <c r="M192" s="10" t="s">
        <v>21</v>
      </c>
      <c r="N192" s="10" t="s">
        <v>22</v>
      </c>
      <c r="O192" s="12" t="s">
        <v>23</v>
      </c>
      <c r="P192" s="11" t="s">
        <v>24</v>
      </c>
      <c r="Q192" s="11" t="s">
        <v>25</v>
      </c>
      <c r="R192" s="12" t="s">
        <v>26</v>
      </c>
      <c r="S192" s="3" t="s">
        <v>27</v>
      </c>
      <c r="T192" s="6" t="s">
        <v>28</v>
      </c>
    </row>
    <row r="193" spans="1:20" x14ac:dyDescent="0.15">
      <c r="A193" s="3" t="s">
        <v>217</v>
      </c>
      <c r="B193" s="3" t="s">
        <v>159</v>
      </c>
      <c r="C193" s="3" t="s">
        <v>89</v>
      </c>
      <c r="D193" s="3" t="s">
        <v>205</v>
      </c>
      <c r="E193" s="4" t="s">
        <v>218</v>
      </c>
      <c r="F193" s="5">
        <v>223</v>
      </c>
      <c r="G193" s="5">
        <v>454</v>
      </c>
      <c r="H193" s="6">
        <f>(G193+F193)*(1+0.3+0.466)+311</f>
        <v>1506.5820000000001</v>
      </c>
      <c r="I193" s="13">
        <f>1+0.2+0.613+0.2+0.267</f>
        <v>2.2799999999999998</v>
      </c>
      <c r="K193" s="9">
        <v>0.15</v>
      </c>
      <c r="L193" s="9">
        <v>0</v>
      </c>
      <c r="M193" s="10">
        <f t="shared" ref="M193:M198" si="31">60.25%+K193/2+L193/4-15%</f>
        <v>0.52749999999999997</v>
      </c>
      <c r="N193" s="10">
        <f t="shared" si="30"/>
        <v>1.355</v>
      </c>
      <c r="O193" s="9">
        <f>0.466+0.25*I193</f>
        <v>1.036</v>
      </c>
      <c r="P193" s="5">
        <v>0.5</v>
      </c>
      <c r="Q193" s="5">
        <v>0.9</v>
      </c>
      <c r="R193" s="9">
        <v>1.649</v>
      </c>
      <c r="S193" s="3" t="s">
        <v>190</v>
      </c>
      <c r="T193" s="6">
        <f t="shared" ref="T193:T198" si="32">H193*R193*(1+O193)*(1+N193)*P193*Q193</f>
        <v>5360.3682839964176</v>
      </c>
    </row>
    <row r="194" spans="1:20" x14ac:dyDescent="0.15">
      <c r="A194" s="3" t="s">
        <v>217</v>
      </c>
      <c r="B194" s="3" t="s">
        <v>125</v>
      </c>
      <c r="C194" s="3" t="s">
        <v>89</v>
      </c>
      <c r="D194" s="3" t="s">
        <v>219</v>
      </c>
      <c r="E194" s="4" t="s">
        <v>218</v>
      </c>
      <c r="F194" s="5">
        <v>223</v>
      </c>
      <c r="G194" s="5">
        <v>542</v>
      </c>
      <c r="H194" s="6">
        <f>(G194+F194)*(1+0.3)+311+1.2%*(11636*(1+0.2+0.2)+4780)</f>
        <v>1558.3448000000001</v>
      </c>
      <c r="I194" s="13">
        <f>1+0.2+0.518+0.2+0.267</f>
        <v>2.1850000000000001</v>
      </c>
      <c r="K194" s="9">
        <f>44.1%+15%</f>
        <v>0.59099999999999997</v>
      </c>
      <c r="L194" s="9">
        <v>0</v>
      </c>
      <c r="M194" s="10">
        <f t="shared" si="31"/>
        <v>0.748</v>
      </c>
      <c r="N194" s="10">
        <f t="shared" si="30"/>
        <v>1.796</v>
      </c>
      <c r="O194" s="9">
        <f>0.466+0.25*I194</f>
        <v>1.0122500000000001</v>
      </c>
      <c r="P194" s="5">
        <v>0.5</v>
      </c>
      <c r="Q194" s="5">
        <v>0.9</v>
      </c>
      <c r="R194" s="9">
        <v>1.649</v>
      </c>
      <c r="S194" s="3" t="s">
        <v>190</v>
      </c>
      <c r="T194" s="6">
        <f t="shared" si="32"/>
        <v>6506.0265120433096</v>
      </c>
    </row>
    <row r="196" spans="1:20" x14ac:dyDescent="0.15">
      <c r="A196" s="3" t="s">
        <v>9</v>
      </c>
      <c r="B196" s="3" t="s">
        <v>10</v>
      </c>
      <c r="C196" s="3" t="s">
        <v>11</v>
      </c>
      <c r="D196" s="3" t="s">
        <v>12</v>
      </c>
      <c r="E196" s="4" t="s">
        <v>13</v>
      </c>
      <c r="F196" s="11" t="s">
        <v>14</v>
      </c>
      <c r="G196" s="11" t="s">
        <v>15</v>
      </c>
      <c r="H196" s="6" t="s">
        <v>16</v>
      </c>
      <c r="J196" s="13"/>
      <c r="K196" s="12" t="s">
        <v>19</v>
      </c>
      <c r="L196" s="12" t="s">
        <v>20</v>
      </c>
      <c r="M196" s="10" t="s">
        <v>21</v>
      </c>
      <c r="N196" s="10" t="s">
        <v>22</v>
      </c>
      <c r="O196" s="12" t="s">
        <v>23</v>
      </c>
      <c r="P196" s="11" t="s">
        <v>24</v>
      </c>
      <c r="Q196" s="11" t="s">
        <v>25</v>
      </c>
      <c r="R196" s="12" t="s">
        <v>26</v>
      </c>
      <c r="S196" s="3" t="s">
        <v>27</v>
      </c>
      <c r="T196" s="6" t="s">
        <v>28</v>
      </c>
    </row>
    <row r="197" spans="1:20" x14ac:dyDescent="0.15">
      <c r="A197" s="3" t="s">
        <v>220</v>
      </c>
      <c r="B197" s="3" t="s">
        <v>64</v>
      </c>
      <c r="C197" s="3" t="s">
        <v>221</v>
      </c>
      <c r="D197" s="3" t="s">
        <v>205</v>
      </c>
      <c r="E197" s="4" t="s">
        <v>218</v>
      </c>
      <c r="F197" s="5">
        <v>223</v>
      </c>
      <c r="G197" s="5">
        <f>608</f>
        <v>608</v>
      </c>
      <c r="H197" s="6">
        <f>(F197+G197)*(1+0.3+0.466+0.496+0.2+0.24)+311</f>
        <v>2556.3620000000001</v>
      </c>
      <c r="K197" s="9">
        <v>0.15</v>
      </c>
      <c r="L197" s="9">
        <v>0</v>
      </c>
      <c r="M197" s="10">
        <f t="shared" si="31"/>
        <v>0.52749999999999997</v>
      </c>
      <c r="N197" s="10">
        <f>60.25%*2+K197+L197/2</f>
        <v>1.355</v>
      </c>
      <c r="O197" s="9">
        <f>0.466+0.35</f>
        <v>0.81600000000000006</v>
      </c>
      <c r="P197" s="5">
        <f t="shared" ref="P197:P203" si="33">0.5</f>
        <v>0.5</v>
      </c>
      <c r="Q197" s="5">
        <f t="shared" ref="Q197:Q203" si="34">0.9</f>
        <v>0.9</v>
      </c>
      <c r="R197" s="9">
        <v>3.0260000000000002</v>
      </c>
      <c r="S197" s="3" t="s">
        <v>190</v>
      </c>
      <c r="T197" s="6">
        <f t="shared" si="32"/>
        <v>14887.115105702473</v>
      </c>
    </row>
    <row r="198" spans="1:20" x14ac:dyDescent="0.15">
      <c r="A198" s="3" t="s">
        <v>220</v>
      </c>
      <c r="B198" s="3" t="s">
        <v>66</v>
      </c>
      <c r="C198" s="3" t="s">
        <v>221</v>
      </c>
      <c r="D198" s="3" t="s">
        <v>205</v>
      </c>
      <c r="E198" s="4" t="s">
        <v>218</v>
      </c>
      <c r="F198" s="5">
        <v>223</v>
      </c>
      <c r="G198" s="5">
        <v>510</v>
      </c>
      <c r="H198" s="6">
        <f>(F198+G198)*(1+0.3+0.466+0.24)+311</f>
        <v>1781.3980000000001</v>
      </c>
      <c r="K198" s="9">
        <f>15%+27.6%</f>
        <v>0.42600000000000005</v>
      </c>
      <c r="L198" s="9">
        <v>0</v>
      </c>
      <c r="M198" s="10">
        <f t="shared" si="31"/>
        <v>0.66550000000000009</v>
      </c>
      <c r="N198" s="10">
        <f>60.25%*2+K198+L198/2</f>
        <v>1.6310000000000002</v>
      </c>
      <c r="O198" s="9">
        <f>0.466+0.35+0.4</f>
        <v>1.2160000000000002</v>
      </c>
      <c r="P198" s="5">
        <f t="shared" si="33"/>
        <v>0.5</v>
      </c>
      <c r="Q198" s="5">
        <f t="shared" si="34"/>
        <v>0.9</v>
      </c>
      <c r="R198" s="9">
        <v>3.0260000000000002</v>
      </c>
      <c r="S198" s="3" t="s">
        <v>190</v>
      </c>
      <c r="T198" s="6">
        <f t="shared" si="32"/>
        <v>14142.721913956359</v>
      </c>
    </row>
    <row r="200" spans="1:20" x14ac:dyDescent="0.15">
      <c r="A200" s="3" t="s">
        <v>9</v>
      </c>
      <c r="B200" s="3" t="s">
        <v>10</v>
      </c>
      <c r="C200" s="3" t="s">
        <v>11</v>
      </c>
      <c r="D200" s="3" t="s">
        <v>12</v>
      </c>
      <c r="E200" s="4" t="s">
        <v>13</v>
      </c>
      <c r="F200" s="11" t="s">
        <v>14</v>
      </c>
      <c r="G200" s="11" t="s">
        <v>15</v>
      </c>
      <c r="H200" s="6" t="s">
        <v>16</v>
      </c>
      <c r="I200" s="7" t="s">
        <v>101</v>
      </c>
      <c r="J200" s="13"/>
      <c r="K200" s="12" t="s">
        <v>19</v>
      </c>
      <c r="L200" s="12" t="s">
        <v>20</v>
      </c>
      <c r="M200" s="10" t="s">
        <v>21</v>
      </c>
      <c r="N200" s="10" t="s">
        <v>22</v>
      </c>
      <c r="O200" s="12" t="s">
        <v>23</v>
      </c>
      <c r="P200" s="11" t="s">
        <v>24</v>
      </c>
      <c r="Q200" s="11" t="s">
        <v>25</v>
      </c>
      <c r="R200" s="12" t="s">
        <v>26</v>
      </c>
      <c r="S200" s="3" t="s">
        <v>27</v>
      </c>
      <c r="T200" s="6" t="s">
        <v>28</v>
      </c>
    </row>
    <row r="201" spans="1:20" x14ac:dyDescent="0.15">
      <c r="A201" s="3" t="s">
        <v>222</v>
      </c>
      <c r="B201" s="3" t="s">
        <v>121</v>
      </c>
      <c r="C201" s="3" t="s">
        <v>104</v>
      </c>
      <c r="D201" s="3" t="s">
        <v>157</v>
      </c>
      <c r="E201" s="4" t="s">
        <v>223</v>
      </c>
      <c r="F201" s="5">
        <v>287</v>
      </c>
      <c r="G201" s="5">
        <v>454</v>
      </c>
      <c r="H201" s="6">
        <f>(F201+G201)*(1+0.3+0.466*2)+311</f>
        <v>1964.9120000000003</v>
      </c>
      <c r="I201" s="13">
        <f>0.358+0.222+0.15</f>
        <v>0.73</v>
      </c>
      <c r="K201" s="9">
        <v>0</v>
      </c>
      <c r="L201" s="9">
        <v>0</v>
      </c>
      <c r="M201" s="10" t="s">
        <v>44</v>
      </c>
      <c r="N201" s="10" t="s">
        <v>44</v>
      </c>
      <c r="O201" s="9">
        <v>0</v>
      </c>
      <c r="P201" s="5">
        <f t="shared" si="33"/>
        <v>0.5</v>
      </c>
      <c r="Q201" s="5">
        <f t="shared" si="34"/>
        <v>0.9</v>
      </c>
      <c r="R201" s="9">
        <v>1.53</v>
      </c>
      <c r="S201" s="3" t="s">
        <v>224</v>
      </c>
      <c r="T201" s="6">
        <f>(H201*R201+1174)*(1+I201)</f>
        <v>7231.9455728000012</v>
      </c>
    </row>
    <row r="202" spans="1:20" x14ac:dyDescent="0.15">
      <c r="A202" s="3" t="s">
        <v>222</v>
      </c>
      <c r="B202" s="3" t="s">
        <v>95</v>
      </c>
      <c r="C202" s="3" t="s">
        <v>104</v>
      </c>
      <c r="D202" s="3" t="s">
        <v>157</v>
      </c>
      <c r="E202" s="4" t="s">
        <v>223</v>
      </c>
      <c r="F202" s="5">
        <v>287</v>
      </c>
      <c r="G202" s="5">
        <v>674</v>
      </c>
      <c r="H202" s="6">
        <f>(F202+G202)*(1+0.3+0.466*2+0.2)+311</f>
        <v>2648.1520000000005</v>
      </c>
      <c r="I202" s="13">
        <f>0.358+0.222+0.15</f>
        <v>0.73</v>
      </c>
      <c r="K202" s="9">
        <v>0</v>
      </c>
      <c r="L202" s="9">
        <v>0</v>
      </c>
      <c r="M202" s="10" t="s">
        <v>44</v>
      </c>
      <c r="N202" s="10" t="s">
        <v>44</v>
      </c>
      <c r="O202" s="9">
        <v>0</v>
      </c>
      <c r="P202" s="5">
        <f t="shared" si="33"/>
        <v>0.5</v>
      </c>
      <c r="Q202" s="5">
        <f t="shared" si="34"/>
        <v>0.9</v>
      </c>
      <c r="R202" s="9">
        <v>1.53</v>
      </c>
      <c r="S202" s="3" t="s">
        <v>224</v>
      </c>
      <c r="T202" s="6">
        <f>(H202*R202+1174)*(1+I202)</f>
        <v>9040.4135288000016</v>
      </c>
    </row>
    <row r="203" spans="1:20" x14ac:dyDescent="0.15">
      <c r="A203" s="3" t="s">
        <v>222</v>
      </c>
      <c r="B203" s="3" t="s">
        <v>225</v>
      </c>
      <c r="C203" s="3" t="s">
        <v>104</v>
      </c>
      <c r="D203" s="3" t="s">
        <v>157</v>
      </c>
      <c r="E203" s="4" t="s">
        <v>223</v>
      </c>
      <c r="F203" s="5">
        <v>287</v>
      </c>
      <c r="G203" s="5">
        <v>510</v>
      </c>
      <c r="H203" s="6">
        <f>(F203+G203)*(1+0.3+0.466*2+0.413)+311</f>
        <v>2419.0650000000001</v>
      </c>
      <c r="I203" s="13">
        <f>0.358+0.222+0.15</f>
        <v>0.73</v>
      </c>
      <c r="K203" s="9">
        <v>0</v>
      </c>
      <c r="L203" s="9">
        <v>0</v>
      </c>
      <c r="M203" s="10" t="s">
        <v>44</v>
      </c>
      <c r="N203" s="10" t="s">
        <v>44</v>
      </c>
      <c r="O203" s="9">
        <v>0</v>
      </c>
      <c r="P203" s="5">
        <f t="shared" si="33"/>
        <v>0.5</v>
      </c>
      <c r="Q203" s="5">
        <f t="shared" si="34"/>
        <v>0.9</v>
      </c>
      <c r="R203" s="9">
        <v>1.53</v>
      </c>
      <c r="S203" s="3" t="s">
        <v>224</v>
      </c>
      <c r="T203" s="6">
        <f>(H203*R203+1174)*(1+I203)</f>
        <v>8434.0431485000008</v>
      </c>
    </row>
    <row r="205" spans="1:20" x14ac:dyDescent="0.15">
      <c r="A205" s="3" t="s">
        <v>9</v>
      </c>
      <c r="B205" s="3" t="s">
        <v>10</v>
      </c>
      <c r="C205" s="3" t="s">
        <v>11</v>
      </c>
      <c r="D205" s="3" t="s">
        <v>12</v>
      </c>
      <c r="E205" s="4" t="s">
        <v>13</v>
      </c>
      <c r="F205" s="11" t="s">
        <v>14</v>
      </c>
      <c r="G205" s="11" t="s">
        <v>15</v>
      </c>
      <c r="H205" s="6" t="s">
        <v>16</v>
      </c>
      <c r="I205" s="7" t="s">
        <v>97</v>
      </c>
      <c r="J205" s="13"/>
      <c r="K205" s="12" t="s">
        <v>19</v>
      </c>
      <c r="L205" s="12" t="s">
        <v>20</v>
      </c>
      <c r="M205" s="10" t="s">
        <v>21</v>
      </c>
      <c r="N205" s="10" t="s">
        <v>22</v>
      </c>
      <c r="O205" s="12" t="s">
        <v>23</v>
      </c>
      <c r="P205" s="11" t="s">
        <v>24</v>
      </c>
      <c r="Q205" s="11" t="s">
        <v>25</v>
      </c>
      <c r="R205" s="12" t="s">
        <v>26</v>
      </c>
      <c r="S205" s="3" t="s">
        <v>27</v>
      </c>
      <c r="T205" s="6" t="s">
        <v>28</v>
      </c>
    </row>
    <row r="206" spans="1:20" x14ac:dyDescent="0.15">
      <c r="A206" s="3" t="s">
        <v>226</v>
      </c>
      <c r="B206" s="3" t="s">
        <v>172</v>
      </c>
      <c r="C206" s="3" t="s">
        <v>227</v>
      </c>
      <c r="D206" s="3" t="s">
        <v>228</v>
      </c>
      <c r="E206" s="4" t="s">
        <v>170</v>
      </c>
      <c r="F206" s="5">
        <v>212</v>
      </c>
      <c r="G206" s="5">
        <v>565</v>
      </c>
      <c r="H206" s="6">
        <f>(F206+G206)*(1+0.2)+311</f>
        <v>1243.4000000000001</v>
      </c>
      <c r="I206" s="7">
        <f>9570*(1+0.466*3+0.048*14+0.2)</f>
        <v>31293.900000000005</v>
      </c>
      <c r="K206" s="9">
        <v>0</v>
      </c>
      <c r="L206" s="9">
        <v>0</v>
      </c>
      <c r="M206" s="10" t="s">
        <v>44</v>
      </c>
      <c r="N206" s="10" t="s">
        <v>44</v>
      </c>
      <c r="O206" s="9">
        <v>0</v>
      </c>
      <c r="P206" s="5">
        <f>0.5</f>
        <v>0.5</v>
      </c>
      <c r="Q206" s="5">
        <f>0.9</f>
        <v>0.9</v>
      </c>
      <c r="R206" s="9">
        <v>0.153</v>
      </c>
      <c r="S206" s="3" t="s">
        <v>229</v>
      </c>
      <c r="T206" s="6">
        <f>(R206*I206+1905)*1.9</f>
        <v>12716.63673</v>
      </c>
    </row>
    <row r="209" spans="1:20" x14ac:dyDescent="0.15">
      <c r="A209" s="3" t="s">
        <v>9</v>
      </c>
      <c r="B209" s="3" t="s">
        <v>10</v>
      </c>
      <c r="C209" s="3" t="s">
        <v>11</v>
      </c>
      <c r="D209" s="3" t="s">
        <v>12</v>
      </c>
      <c r="E209" s="4" t="s">
        <v>13</v>
      </c>
      <c r="F209" s="11" t="s">
        <v>14</v>
      </c>
      <c r="G209" s="11" t="s">
        <v>15</v>
      </c>
      <c r="H209" s="6" t="s">
        <v>16</v>
      </c>
      <c r="J209" s="13"/>
      <c r="K209" s="12" t="s">
        <v>19</v>
      </c>
      <c r="L209" s="12" t="s">
        <v>20</v>
      </c>
      <c r="M209" s="10" t="s">
        <v>21</v>
      </c>
      <c r="N209" s="10" t="s">
        <v>22</v>
      </c>
      <c r="O209" s="12" t="s">
        <v>23</v>
      </c>
      <c r="P209" s="11" t="s">
        <v>24</v>
      </c>
      <c r="Q209" s="11" t="s">
        <v>25</v>
      </c>
      <c r="R209" s="12" t="s">
        <v>26</v>
      </c>
      <c r="S209" s="3" t="s">
        <v>27</v>
      </c>
      <c r="T209" s="6" t="s">
        <v>28</v>
      </c>
    </row>
    <row r="210" spans="1:20" x14ac:dyDescent="0.15">
      <c r="A210" s="3" t="s">
        <v>230</v>
      </c>
      <c r="B210" s="3" t="s">
        <v>40</v>
      </c>
      <c r="C210" s="3" t="s">
        <v>82</v>
      </c>
      <c r="D210" s="3" t="s">
        <v>205</v>
      </c>
      <c r="E210" s="4" t="s">
        <v>131</v>
      </c>
      <c r="F210" s="5">
        <v>240</v>
      </c>
      <c r="G210" s="5">
        <v>565</v>
      </c>
      <c r="H210" s="6">
        <f>(F210+G210)*(1+0.3+0.466+0.24)+311</f>
        <v>1925.8300000000002</v>
      </c>
      <c r="K210" s="9">
        <v>0.15</v>
      </c>
      <c r="L210" s="9">
        <v>0</v>
      </c>
      <c r="M210" s="10">
        <v>0.7</v>
      </c>
      <c r="N210" s="10">
        <f>63.55%*2+K210+L210/2-13.95%*2-6.6%*2</f>
        <v>1.0099999999999998</v>
      </c>
      <c r="O210" s="9">
        <f>0.466+0.2</f>
        <v>0.66600000000000004</v>
      </c>
      <c r="P210" s="5">
        <f>0.5</f>
        <v>0.5</v>
      </c>
      <c r="Q210" s="5">
        <f>0.9</f>
        <v>0.9</v>
      </c>
      <c r="R210" s="9">
        <v>2.64</v>
      </c>
      <c r="S210" s="3" t="s">
        <v>190</v>
      </c>
      <c r="T210" s="6">
        <f>H210*R210*(1+O210)*(1+N210)*P210*Q210</f>
        <v>7661.3524667063984</v>
      </c>
    </row>
    <row r="212" spans="1:20" x14ac:dyDescent="0.15">
      <c r="A212" s="3" t="s">
        <v>9</v>
      </c>
      <c r="B212" s="3" t="s">
        <v>10</v>
      </c>
      <c r="C212" s="3" t="s">
        <v>11</v>
      </c>
      <c r="D212" s="3" t="s">
        <v>12</v>
      </c>
      <c r="E212" s="4" t="s">
        <v>13</v>
      </c>
      <c r="F212" s="11" t="s">
        <v>14</v>
      </c>
      <c r="G212" s="11" t="s">
        <v>15</v>
      </c>
      <c r="H212" s="6" t="s">
        <v>16</v>
      </c>
      <c r="J212" s="13"/>
      <c r="K212" s="12" t="s">
        <v>19</v>
      </c>
      <c r="L212" s="12" t="s">
        <v>20</v>
      </c>
      <c r="M212" s="10" t="s">
        <v>21</v>
      </c>
      <c r="N212" s="10" t="s">
        <v>22</v>
      </c>
      <c r="O212" s="12" t="s">
        <v>23</v>
      </c>
      <c r="P212" s="11" t="s">
        <v>24</v>
      </c>
      <c r="Q212" s="11" t="s">
        <v>25</v>
      </c>
      <c r="R212" s="12" t="s">
        <v>26</v>
      </c>
      <c r="S212" s="3" t="s">
        <v>27</v>
      </c>
      <c r="T212" s="6" t="s">
        <v>28</v>
      </c>
    </row>
    <row r="213" spans="1:20" x14ac:dyDescent="0.15">
      <c r="A213" s="3" t="s">
        <v>231</v>
      </c>
      <c r="B213" s="3" t="s">
        <v>152</v>
      </c>
      <c r="C213" s="3" t="s">
        <v>232</v>
      </c>
      <c r="D213" s="3" t="s">
        <v>205</v>
      </c>
      <c r="E213" s="4" t="s">
        <v>33</v>
      </c>
      <c r="F213" s="5">
        <v>234</v>
      </c>
      <c r="G213" s="5">
        <v>454</v>
      </c>
      <c r="H213" s="6">
        <f>(F213+G213)*(1+0.3+0.466+0.18)+311</f>
        <v>1649.848</v>
      </c>
      <c r="K213" s="9">
        <v>0.15</v>
      </c>
      <c r="L213" s="9">
        <v>0</v>
      </c>
      <c r="M213" s="10">
        <f>60.25%+K213/2+L213/4-15%</f>
        <v>0.52749999999999997</v>
      </c>
      <c r="N213" s="10">
        <f>60.25%*2+K213+L213/2</f>
        <v>1.355</v>
      </c>
      <c r="O213" s="9">
        <f>0.466+0.288+0.15+0.35</f>
        <v>1.254</v>
      </c>
      <c r="P213" s="5">
        <f t="shared" ref="P213:P219" si="35">0.5</f>
        <v>0.5</v>
      </c>
      <c r="Q213" s="5">
        <f t="shared" ref="Q213:Q219" si="36">0.9</f>
        <v>0.9</v>
      </c>
      <c r="R213" s="9">
        <v>5.4272</v>
      </c>
      <c r="S213" s="3" t="s">
        <v>233</v>
      </c>
      <c r="T213" s="6">
        <f>H213*R213*(1+O213)*(1+N213)*P213*Q213</f>
        <v>21388.340914904678</v>
      </c>
    </row>
    <row r="215" spans="1:20" x14ac:dyDescent="0.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spans="1:20" x14ac:dyDescent="0.15">
      <c r="A216" s="3" t="s">
        <v>9</v>
      </c>
      <c r="B216" s="3" t="s">
        <v>10</v>
      </c>
      <c r="C216" s="3" t="s">
        <v>11</v>
      </c>
      <c r="D216" s="3" t="s">
        <v>12</v>
      </c>
      <c r="E216" s="4" t="s">
        <v>13</v>
      </c>
      <c r="F216" s="11" t="s">
        <v>14</v>
      </c>
      <c r="G216" s="11" t="s">
        <v>15</v>
      </c>
      <c r="H216" s="6" t="s">
        <v>16</v>
      </c>
      <c r="I216" s="7" t="s">
        <v>67</v>
      </c>
      <c r="J216" s="13"/>
      <c r="K216" s="12" t="s">
        <v>19</v>
      </c>
      <c r="L216" s="12" t="s">
        <v>20</v>
      </c>
      <c r="M216" s="10" t="s">
        <v>21</v>
      </c>
      <c r="N216" s="10" t="s">
        <v>22</v>
      </c>
      <c r="O216" s="12" t="s">
        <v>23</v>
      </c>
      <c r="P216" s="11" t="s">
        <v>24</v>
      </c>
      <c r="Q216" s="11" t="s">
        <v>25</v>
      </c>
      <c r="R216" s="12" t="s">
        <v>26</v>
      </c>
      <c r="S216" s="3" t="s">
        <v>27</v>
      </c>
      <c r="T216" s="6" t="s">
        <v>28</v>
      </c>
    </row>
    <row r="217" spans="1:20" x14ac:dyDescent="0.15">
      <c r="A217" s="3" t="s">
        <v>234</v>
      </c>
      <c r="B217" s="3" t="s">
        <v>235</v>
      </c>
      <c r="C217" s="3" t="s">
        <v>236</v>
      </c>
      <c r="D217" s="3" t="s">
        <v>237</v>
      </c>
      <c r="E217" s="4" t="s">
        <v>148</v>
      </c>
      <c r="F217" s="11">
        <v>227</v>
      </c>
      <c r="G217" s="11">
        <v>542</v>
      </c>
      <c r="H217" s="6">
        <f>(F217+G217)*(1+0.2)+311</f>
        <v>1233.8</v>
      </c>
      <c r="I217" s="30">
        <f>959*(1+0.583+0.062*6+0.3+0.28)</f>
        <v>2431.0650000000001</v>
      </c>
      <c r="K217" s="9">
        <v>0.192</v>
      </c>
      <c r="L217" s="9">
        <v>0.88200000000000001</v>
      </c>
      <c r="M217" s="10">
        <v>0.8</v>
      </c>
      <c r="N217" s="10">
        <f>60.25%*2+K217+L217/2+11.9%*2</f>
        <v>2.0760000000000001</v>
      </c>
      <c r="O217" s="9">
        <f>0.466+0.24</f>
        <v>0.70599999999999996</v>
      </c>
      <c r="P217" s="5">
        <f t="shared" si="35"/>
        <v>0.5</v>
      </c>
      <c r="Q217" s="5">
        <f t="shared" si="36"/>
        <v>0.9</v>
      </c>
      <c r="R217" s="9">
        <v>1.8019999999999998</v>
      </c>
      <c r="S217" s="3" t="s">
        <v>238</v>
      </c>
      <c r="T217" s="6">
        <f>((H217+97.92%*2662)*R217+0.75*2662)*(1+O217)*(1+N217)*P217*Q217</f>
        <v>21056.901954893372</v>
      </c>
    </row>
    <row r="218" spans="1:20" x14ac:dyDescent="0.15">
      <c r="A218" s="3" t="s">
        <v>234</v>
      </c>
      <c r="B218" s="3" t="s">
        <v>66</v>
      </c>
      <c r="C218" s="3" t="s">
        <v>236</v>
      </c>
      <c r="D218" s="3" t="s">
        <v>237</v>
      </c>
      <c r="E218" s="4" t="s">
        <v>148</v>
      </c>
      <c r="F218" s="11">
        <v>227</v>
      </c>
      <c r="G218" s="11">
        <v>510</v>
      </c>
      <c r="H218" s="6">
        <f>(F218+G218)*(1+0.2)+311</f>
        <v>1195.4000000000001</v>
      </c>
      <c r="I218" s="30">
        <f>959*(1+0.583+0.062*6+0.3)</f>
        <v>2162.5450000000001</v>
      </c>
      <c r="K218" s="9">
        <f>27.6%+19.2%</f>
        <v>0.46800000000000003</v>
      </c>
      <c r="L218" s="9">
        <v>0</v>
      </c>
      <c r="M218" s="10">
        <v>0.8</v>
      </c>
      <c r="N218" s="10">
        <f>60.25%*2+K218+L218/2+3.65%*2</f>
        <v>1.746</v>
      </c>
      <c r="O218" s="9">
        <f>0.466+0.4+0.24</f>
        <v>1.1060000000000001</v>
      </c>
      <c r="P218" s="5">
        <f t="shared" si="35"/>
        <v>0.5</v>
      </c>
      <c r="Q218" s="5">
        <f t="shared" si="36"/>
        <v>0.9</v>
      </c>
      <c r="R218" s="9">
        <v>1.8019999999999998</v>
      </c>
      <c r="S218" s="3" t="s">
        <v>238</v>
      </c>
      <c r="T218" s="6">
        <f>((H218+97.92%*2394)*R218+0.35*2394)*(1+O218)*(1+N218)*P218*Q218</f>
        <v>18779.501434767011</v>
      </c>
    </row>
    <row r="219" spans="1:20" x14ac:dyDescent="0.15">
      <c r="A219" s="3" t="s">
        <v>234</v>
      </c>
      <c r="B219" s="3" t="s">
        <v>74</v>
      </c>
      <c r="C219" s="3" t="s">
        <v>236</v>
      </c>
      <c r="D219" s="3" t="s">
        <v>237</v>
      </c>
      <c r="E219" s="4" t="s">
        <v>148</v>
      </c>
      <c r="F219" s="11">
        <v>227</v>
      </c>
      <c r="G219" s="11">
        <v>510</v>
      </c>
      <c r="H219" s="6">
        <f>(F219+G219)*(1+0.2)+311</f>
        <v>1195.4000000000001</v>
      </c>
      <c r="I219" s="30">
        <f>959*(1+0.583+0.062*6+0.3+0.517)</f>
        <v>2658.348</v>
      </c>
      <c r="K219" s="9">
        <f>19.2%</f>
        <v>0.192</v>
      </c>
      <c r="L219" s="9">
        <v>0</v>
      </c>
      <c r="M219" s="10">
        <f>60.25%+K219/2+L219/4</f>
        <v>0.69850000000000001</v>
      </c>
      <c r="N219" s="10">
        <f>60.25%*2+K219+L219/2</f>
        <v>1.397</v>
      </c>
      <c r="O219" s="9">
        <f>0.466+0.24</f>
        <v>0.70599999999999996</v>
      </c>
      <c r="P219" s="5">
        <f t="shared" si="35"/>
        <v>0.5</v>
      </c>
      <c r="Q219" s="5">
        <f t="shared" si="36"/>
        <v>0.9</v>
      </c>
      <c r="R219" s="9">
        <v>1.8019999999999998</v>
      </c>
      <c r="S219" s="3" t="s">
        <v>238</v>
      </c>
      <c r="T219" s="6">
        <f>((1461+97.92%*3234)*R219+0.35*3234)*(1+O219)*(1+N219)*P219*Q219</f>
        <v>17428.45252338404</v>
      </c>
    </row>
    <row r="221" spans="1:20" x14ac:dyDescent="0.15">
      <c r="A221" s="3" t="s">
        <v>9</v>
      </c>
      <c r="B221" s="3" t="s">
        <v>10</v>
      </c>
      <c r="C221" s="3" t="s">
        <v>11</v>
      </c>
      <c r="D221" s="3" t="s">
        <v>12</v>
      </c>
      <c r="E221" s="4" t="s">
        <v>13</v>
      </c>
      <c r="F221" s="11" t="s">
        <v>14</v>
      </c>
      <c r="G221" s="11" t="s">
        <v>15</v>
      </c>
      <c r="H221" s="6" t="s">
        <v>16</v>
      </c>
      <c r="I221" s="7" t="s">
        <v>67</v>
      </c>
      <c r="J221" s="13" t="s">
        <v>38</v>
      </c>
      <c r="K221" s="12" t="s">
        <v>19</v>
      </c>
      <c r="L221" s="12" t="s">
        <v>20</v>
      </c>
      <c r="M221" s="10" t="s">
        <v>21</v>
      </c>
      <c r="N221" s="10" t="s">
        <v>22</v>
      </c>
      <c r="O221" s="12" t="s">
        <v>23</v>
      </c>
      <c r="P221" s="11" t="s">
        <v>24</v>
      </c>
      <c r="Q221" s="11" t="s">
        <v>25</v>
      </c>
      <c r="R221" s="12" t="s">
        <v>26</v>
      </c>
      <c r="S221" s="3" t="s">
        <v>27</v>
      </c>
      <c r="T221" s="6" t="s">
        <v>28</v>
      </c>
    </row>
    <row r="222" spans="1:20" x14ac:dyDescent="0.15">
      <c r="A222" s="3" t="s">
        <v>239</v>
      </c>
      <c r="B222" s="3" t="s">
        <v>152</v>
      </c>
      <c r="C222" s="3" t="s">
        <v>240</v>
      </c>
      <c r="D222" s="3" t="s">
        <v>241</v>
      </c>
      <c r="E222" s="4" t="s">
        <v>183</v>
      </c>
      <c r="F222" s="11">
        <v>183</v>
      </c>
      <c r="G222" s="11">
        <v>454</v>
      </c>
      <c r="H222" s="6">
        <f>(F222+G222)*(1+0.2)+311</f>
        <v>1075.4000000000001</v>
      </c>
      <c r="I222" s="30">
        <f>648*(1+0.062*6+0.3)</f>
        <v>1083.4559999999999</v>
      </c>
      <c r="J222" s="13">
        <f>1+0.518+0.2+0.2+0.613</f>
        <v>2.5309999999999997</v>
      </c>
      <c r="K222" s="9">
        <v>0</v>
      </c>
      <c r="L222" s="9">
        <v>0</v>
      </c>
      <c r="M222" s="10">
        <f>60.25%+K222/2+L222/4</f>
        <v>0.60250000000000004</v>
      </c>
      <c r="N222" s="10" t="s">
        <v>44</v>
      </c>
      <c r="O222" s="9" t="s">
        <v>45</v>
      </c>
      <c r="P222" s="5">
        <f>0.5</f>
        <v>0.5</v>
      </c>
      <c r="Q222" s="5">
        <f>0.9</f>
        <v>0.9</v>
      </c>
      <c r="R222" s="9" t="s">
        <v>45</v>
      </c>
      <c r="S222" s="3" t="s">
        <v>242</v>
      </c>
      <c r="T222" s="6" t="s">
        <v>44</v>
      </c>
    </row>
    <row r="224" spans="1:20" x14ac:dyDescent="0.15">
      <c r="A224" s="3" t="s">
        <v>9</v>
      </c>
      <c r="B224" s="3" t="s">
        <v>10</v>
      </c>
      <c r="C224" s="3" t="s">
        <v>11</v>
      </c>
      <c r="D224" s="3" t="s">
        <v>12</v>
      </c>
      <c r="E224" s="4" t="s">
        <v>13</v>
      </c>
      <c r="F224" s="11" t="s">
        <v>14</v>
      </c>
      <c r="G224" s="11" t="s">
        <v>15</v>
      </c>
      <c r="H224" s="6" t="s">
        <v>16</v>
      </c>
      <c r="I224" s="7" t="s">
        <v>67</v>
      </c>
      <c r="J224" s="13"/>
      <c r="K224" s="12" t="s">
        <v>19</v>
      </c>
      <c r="L224" s="12" t="s">
        <v>20</v>
      </c>
      <c r="M224" s="10" t="s">
        <v>21</v>
      </c>
      <c r="N224" s="10" t="s">
        <v>22</v>
      </c>
      <c r="O224" s="12" t="s">
        <v>23</v>
      </c>
      <c r="P224" s="11" t="s">
        <v>24</v>
      </c>
      <c r="Q224" s="11" t="s">
        <v>25</v>
      </c>
      <c r="R224" s="12" t="s">
        <v>243</v>
      </c>
      <c r="S224" s="3" t="s">
        <v>27</v>
      </c>
      <c r="T224" s="6" t="s">
        <v>28</v>
      </c>
    </row>
    <row r="225" spans="1:20" x14ac:dyDescent="0.15">
      <c r="A225" s="3" t="s">
        <v>244</v>
      </c>
      <c r="B225" s="3" t="s">
        <v>245</v>
      </c>
      <c r="C225" s="3" t="s">
        <v>236</v>
      </c>
      <c r="D225" s="3" t="s">
        <v>237</v>
      </c>
      <c r="E225" s="4" t="s">
        <v>246</v>
      </c>
      <c r="F225" s="11">
        <v>251</v>
      </c>
      <c r="G225" s="11">
        <v>454</v>
      </c>
      <c r="H225" s="6">
        <f>(F225+G225)*(1+0.2)+311</f>
        <v>1157</v>
      </c>
      <c r="I225" s="30">
        <f>876*(1+0.583+0.062*6+0.3+0.69)</f>
        <v>2579.8199999999997</v>
      </c>
      <c r="K225" s="9">
        <v>0</v>
      </c>
      <c r="L225" s="9">
        <v>0</v>
      </c>
      <c r="M225" s="10">
        <f>60.25%+K225/2+L225/4</f>
        <v>0.60250000000000004</v>
      </c>
      <c r="N225" s="10">
        <f>60.25%*2+K225+L225/2</f>
        <v>1.2050000000000001</v>
      </c>
      <c r="O225" s="9">
        <f>0.466+0.288+0.24</f>
        <v>0.99399999999999999</v>
      </c>
      <c r="P225" s="5">
        <f>0.5</f>
        <v>0.5</v>
      </c>
      <c r="Q225" s="5">
        <f>0.9</f>
        <v>0.9</v>
      </c>
      <c r="R225" s="9">
        <v>3.2048000000000001</v>
      </c>
      <c r="S225" s="3" t="s">
        <v>247</v>
      </c>
      <c r="T225" s="6">
        <f>(I225+876*0.24)*R225*(1+O225)*(1+N225)*P225*Q225</f>
        <v>17691.340297477389</v>
      </c>
    </row>
    <row r="226" spans="1:20" x14ac:dyDescent="0.15">
      <c r="A226" s="3" t="s">
        <v>244</v>
      </c>
      <c r="B226" s="3" t="s">
        <v>245</v>
      </c>
      <c r="C226" s="3" t="s">
        <v>248</v>
      </c>
      <c r="D226" s="3" t="s">
        <v>237</v>
      </c>
      <c r="E226" s="4" t="s">
        <v>246</v>
      </c>
      <c r="F226" s="11">
        <v>251</v>
      </c>
      <c r="G226" s="11">
        <v>454</v>
      </c>
      <c r="H226" s="6">
        <f>(F226+G226)*(1+0.2)+311</f>
        <v>1157</v>
      </c>
      <c r="I226" s="30">
        <f>876*(1+0.583+0.062*6+0.69)</f>
        <v>2317.02</v>
      </c>
      <c r="K226" s="9">
        <v>0</v>
      </c>
      <c r="L226" s="9">
        <v>0</v>
      </c>
      <c r="M226" s="10">
        <f>60.25%+K226/2+L226/4</f>
        <v>0.60250000000000004</v>
      </c>
      <c r="N226" s="10">
        <f>60.25%*2+K226+L226/2</f>
        <v>1.2050000000000001</v>
      </c>
      <c r="O226" s="9">
        <f>0.466+0.288+0.15</f>
        <v>0.90400000000000003</v>
      </c>
      <c r="P226" s="5">
        <f>0.5</f>
        <v>0.5</v>
      </c>
      <c r="Q226" s="5">
        <f>0.9</f>
        <v>0.9</v>
      </c>
      <c r="R226" s="9">
        <v>3.2048000000000001</v>
      </c>
      <c r="S226" s="3" t="s">
        <v>247</v>
      </c>
      <c r="T226" s="6">
        <f>I226*R226*(1+O226)*(1+N226)*P226*Q226</f>
        <v>14028.743222653826</v>
      </c>
    </row>
    <row r="227" spans="1:20" x14ac:dyDescent="0.15">
      <c r="A227" s="3" t="s">
        <v>244</v>
      </c>
      <c r="B227" s="3" t="s">
        <v>245</v>
      </c>
      <c r="C227" s="3" t="s">
        <v>76</v>
      </c>
      <c r="D227" s="3" t="s">
        <v>237</v>
      </c>
      <c r="E227" s="4" t="s">
        <v>246</v>
      </c>
      <c r="F227" s="11">
        <v>251</v>
      </c>
      <c r="G227" s="11">
        <v>454</v>
      </c>
      <c r="H227" s="6">
        <f>(F227+G227)*(1+0.2)+311</f>
        <v>1157</v>
      </c>
      <c r="I227" s="30">
        <f>876*(1+0.583+0.062*6+0.69)</f>
        <v>2317.02</v>
      </c>
      <c r="K227" s="9">
        <v>0</v>
      </c>
      <c r="L227" s="9">
        <v>0</v>
      </c>
      <c r="M227" s="10">
        <f>60.25%+K227/2+L227/4</f>
        <v>0.60250000000000004</v>
      </c>
      <c r="N227" s="10">
        <f>60.25%*2+K227+L227/2</f>
        <v>1.2050000000000001</v>
      </c>
      <c r="O227" s="9">
        <f>0.466+0.288</f>
        <v>0.754</v>
      </c>
      <c r="P227" s="5">
        <f>0.5</f>
        <v>0.5</v>
      </c>
      <c r="Q227" s="5">
        <f>0.9</f>
        <v>0.9</v>
      </c>
      <c r="R227" s="9">
        <v>3.2048000000000001</v>
      </c>
      <c r="S227" s="3" t="s">
        <v>247</v>
      </c>
      <c r="T227" s="6">
        <f>I227*R227*(1+O227)*(1+N227)*P227*Q227</f>
        <v>12923.537611625427</v>
      </c>
    </row>
    <row r="229" spans="1:20" x14ac:dyDescent="0.15">
      <c r="A229" s="3" t="s">
        <v>9</v>
      </c>
      <c r="B229" s="3" t="s">
        <v>10</v>
      </c>
      <c r="C229" s="3" t="s">
        <v>11</v>
      </c>
      <c r="D229" s="3" t="s">
        <v>12</v>
      </c>
      <c r="E229" s="4" t="s">
        <v>13</v>
      </c>
      <c r="F229" s="11" t="s">
        <v>14</v>
      </c>
      <c r="G229" s="11" t="s">
        <v>15</v>
      </c>
      <c r="H229" s="6" t="s">
        <v>16</v>
      </c>
      <c r="I229" s="7" t="s">
        <v>97</v>
      </c>
      <c r="J229" s="13"/>
      <c r="K229" s="12" t="s">
        <v>19</v>
      </c>
      <c r="L229" s="12" t="s">
        <v>20</v>
      </c>
      <c r="M229" s="10" t="s">
        <v>21</v>
      </c>
      <c r="N229" s="10" t="s">
        <v>22</v>
      </c>
      <c r="O229" s="12" t="s">
        <v>23</v>
      </c>
      <c r="P229" s="11" t="s">
        <v>24</v>
      </c>
      <c r="Q229" s="11" t="s">
        <v>25</v>
      </c>
      <c r="R229" s="12" t="s">
        <v>26</v>
      </c>
      <c r="S229" s="3" t="s">
        <v>27</v>
      </c>
      <c r="T229" s="6" t="s">
        <v>28</v>
      </c>
    </row>
    <row r="230" spans="1:20" x14ac:dyDescent="0.15">
      <c r="A230" s="3" t="s">
        <v>249</v>
      </c>
      <c r="B230" s="3" t="s">
        <v>47</v>
      </c>
      <c r="C230" s="3" t="s">
        <v>76</v>
      </c>
      <c r="D230" s="3" t="s">
        <v>228</v>
      </c>
      <c r="E230" s="4" t="s">
        <v>250</v>
      </c>
      <c r="F230" s="11">
        <v>251</v>
      </c>
      <c r="G230" s="11">
        <v>354</v>
      </c>
      <c r="H230" s="6">
        <f>(F230+G230)*(1+0.2)+311</f>
        <v>1037</v>
      </c>
      <c r="I230" s="30">
        <f>14695*(1+0.466*3+0.469+0.4+0.2)+4780</f>
        <v>55727.565000000002</v>
      </c>
      <c r="K230" s="9">
        <v>0</v>
      </c>
      <c r="L230" s="9">
        <v>0</v>
      </c>
      <c r="M230" s="10" t="s">
        <v>44</v>
      </c>
      <c r="N230" s="10" t="s">
        <v>44</v>
      </c>
      <c r="O230" s="9">
        <v>0.28800000000000003</v>
      </c>
      <c r="P230" s="5">
        <f>0.5</f>
        <v>0.5</v>
      </c>
      <c r="Q230" s="5">
        <v>1.05</v>
      </c>
      <c r="R230" s="9">
        <v>0.21760000000000002</v>
      </c>
      <c r="S230" s="3" t="s">
        <v>251</v>
      </c>
      <c r="T230" s="6">
        <f>(2506+R230*I230)*1.5*1.3</f>
        <v>28533.020380800001</v>
      </c>
    </row>
    <row r="231" spans="1:20" x14ac:dyDescent="0.15">
      <c r="A231" s="3" t="s">
        <v>249</v>
      </c>
      <c r="B231" s="3" t="s">
        <v>30</v>
      </c>
      <c r="C231" s="3" t="s">
        <v>76</v>
      </c>
      <c r="D231" s="3" t="s">
        <v>228</v>
      </c>
      <c r="E231" s="4" t="s">
        <v>250</v>
      </c>
      <c r="F231" s="11">
        <v>251</v>
      </c>
      <c r="G231" s="11">
        <v>608</v>
      </c>
      <c r="H231" s="6">
        <f>(F231+G231)*(1+0.2)+311+0.8%*I231</f>
        <v>1755.9968800000001</v>
      </c>
      <c r="I231" s="30">
        <f>14695*(1+0.466*3+0.4+0.2+0.2)+4780</f>
        <v>51774.610000000008</v>
      </c>
      <c r="K231" s="9">
        <v>-0.311</v>
      </c>
      <c r="L231" s="9">
        <v>0.66200000000000003</v>
      </c>
      <c r="M231" s="10">
        <f t="shared" ref="M231:M237" si="37">60.25%+K231/2+L231/4</f>
        <v>0.61250000000000004</v>
      </c>
      <c r="N231" s="10">
        <f t="shared" ref="N231:N237" si="38">60.25%*2+K231+L231/2</f>
        <v>1.2250000000000001</v>
      </c>
      <c r="O231" s="9">
        <v>0.28800000000000003</v>
      </c>
      <c r="P231" s="5">
        <f>0.5</f>
        <v>0.5</v>
      </c>
      <c r="Q231" s="5">
        <v>1.05</v>
      </c>
      <c r="R231" s="9">
        <v>8.3468</v>
      </c>
      <c r="S231" s="3" t="s">
        <v>252</v>
      </c>
      <c r="T231" s="6">
        <f>(H231*R231+0.33*I231)*(1+O231)*(1+N231)*P231*Q231</f>
        <v>47758.134095159548</v>
      </c>
    </row>
    <row r="232" spans="1:20" x14ac:dyDescent="0.15">
      <c r="A232" s="3" t="s">
        <v>249</v>
      </c>
      <c r="B232" s="3" t="s">
        <v>30</v>
      </c>
      <c r="C232" s="3" t="s">
        <v>253</v>
      </c>
      <c r="D232" s="3" t="s">
        <v>254</v>
      </c>
      <c r="E232" s="4" t="s">
        <v>158</v>
      </c>
      <c r="F232" s="11">
        <v>251</v>
      </c>
      <c r="G232" s="11">
        <v>608</v>
      </c>
      <c r="H232" s="6">
        <f>(F232+G232)*(1+0.2)+311+0.8%*I232</f>
        <v>1611.1629599999999</v>
      </c>
      <c r="I232" s="30">
        <f>14695*(1+0.466*1+0.3+0.2)+4780</f>
        <v>33670.369999999995</v>
      </c>
      <c r="K232" s="9">
        <v>0</v>
      </c>
      <c r="L232" s="9">
        <v>0.66200000000000003</v>
      </c>
      <c r="M232" s="10">
        <f t="shared" si="37"/>
        <v>0.76800000000000002</v>
      </c>
      <c r="N232" s="10">
        <f t="shared" si="38"/>
        <v>1.536</v>
      </c>
      <c r="O232" s="9">
        <f>0.466+0.288+0.15+0.2</f>
        <v>1.1040000000000001</v>
      </c>
      <c r="P232" s="5">
        <f>0.5</f>
        <v>0.5</v>
      </c>
      <c r="Q232" s="5">
        <v>1.05</v>
      </c>
      <c r="R232" s="9">
        <v>8.9971999999999994</v>
      </c>
      <c r="S232" s="3" t="s">
        <v>252</v>
      </c>
      <c r="T232" s="6">
        <f>(H232*R232+0.33*I232)*(1+O232)*(1+N232)*P232*Q232</f>
        <v>71732.505398216977</v>
      </c>
    </row>
    <row r="234" spans="1:20" x14ac:dyDescent="0.15">
      <c r="A234" s="3" t="s">
        <v>9</v>
      </c>
      <c r="B234" s="3" t="s">
        <v>10</v>
      </c>
      <c r="C234" s="3" t="s">
        <v>11</v>
      </c>
      <c r="D234" s="3" t="s">
        <v>12</v>
      </c>
      <c r="E234" s="4" t="s">
        <v>13</v>
      </c>
      <c r="F234" s="11" t="s">
        <v>14</v>
      </c>
      <c r="G234" s="11" t="s">
        <v>15</v>
      </c>
      <c r="H234" s="6" t="s">
        <v>16</v>
      </c>
      <c r="I234" s="7" t="s">
        <v>67</v>
      </c>
      <c r="J234" s="13"/>
      <c r="K234" s="12" t="s">
        <v>19</v>
      </c>
      <c r="L234" s="12" t="s">
        <v>20</v>
      </c>
      <c r="M234" s="10" t="s">
        <v>21</v>
      </c>
      <c r="N234" s="10" t="s">
        <v>22</v>
      </c>
      <c r="O234" s="12" t="s">
        <v>23</v>
      </c>
      <c r="P234" s="11" t="s">
        <v>24</v>
      </c>
      <c r="Q234" s="11" t="s">
        <v>25</v>
      </c>
      <c r="R234" s="12" t="s">
        <v>26</v>
      </c>
      <c r="S234" s="3" t="s">
        <v>27</v>
      </c>
      <c r="T234" s="6" t="s">
        <v>28</v>
      </c>
    </row>
    <row r="235" spans="1:20" x14ac:dyDescent="0.15">
      <c r="A235" s="3" t="s">
        <v>255</v>
      </c>
      <c r="B235" s="3" t="s">
        <v>235</v>
      </c>
      <c r="C235" s="3" t="s">
        <v>236</v>
      </c>
      <c r="D235" s="3" t="s">
        <v>237</v>
      </c>
      <c r="E235" s="4" t="s">
        <v>83</v>
      </c>
      <c r="F235" s="11">
        <v>191</v>
      </c>
      <c r="G235" s="11">
        <v>542</v>
      </c>
      <c r="H235" s="6">
        <f>(F235+G235)*(1+0.2)+311</f>
        <v>1190.5999999999999</v>
      </c>
      <c r="I235" s="30">
        <f>799*(1+0.583+0.248+0.3+0.28+0.3)</f>
        <v>2166.0889999999995</v>
      </c>
      <c r="K235" s="9">
        <v>0</v>
      </c>
      <c r="L235" s="9">
        <v>0.88200000000000001</v>
      </c>
      <c r="M235" s="10">
        <v>0.7</v>
      </c>
      <c r="N235" s="10">
        <f>60.25%*2+K235+L235/2+12.3%*2</f>
        <v>1.8920000000000001</v>
      </c>
      <c r="O235" s="9">
        <f>0.466+0.24</f>
        <v>0.70599999999999996</v>
      </c>
      <c r="P235" s="5">
        <f>0.5</f>
        <v>0.5</v>
      </c>
      <c r="Q235" s="5">
        <f>0.9</f>
        <v>0.9</v>
      </c>
      <c r="R235" s="9">
        <v>1.5640000000000001</v>
      </c>
      <c r="S235" s="3" t="s">
        <v>256</v>
      </c>
      <c r="T235" s="6">
        <f>((H235+1.3*2358)*R235+0.4*2358)*(1+O235)*(1+N235)*P235*Q235</f>
        <v>16872.508241625601</v>
      </c>
    </row>
    <row r="236" spans="1:20" x14ac:dyDescent="0.15">
      <c r="A236" s="3" t="s">
        <v>255</v>
      </c>
      <c r="B236" s="3" t="s">
        <v>66</v>
      </c>
      <c r="C236" s="3" t="s">
        <v>236</v>
      </c>
      <c r="D236" s="3" t="s">
        <v>237</v>
      </c>
      <c r="E236" s="4" t="s">
        <v>83</v>
      </c>
      <c r="F236" s="11">
        <v>191</v>
      </c>
      <c r="G236" s="11">
        <v>510</v>
      </c>
      <c r="H236" s="6">
        <f>(F236+G236)*(1+0.2)+311</f>
        <v>1152.1999999999998</v>
      </c>
      <c r="I236" s="30">
        <f>799*(1+0.583+0.062*6+0.3+0.3)</f>
        <v>2041.4449999999997</v>
      </c>
      <c r="K236" s="9">
        <v>0.27600000000000002</v>
      </c>
      <c r="L236" s="9">
        <v>0</v>
      </c>
      <c r="M236" s="10">
        <f t="shared" si="37"/>
        <v>0.74050000000000005</v>
      </c>
      <c r="N236" s="10">
        <f t="shared" si="38"/>
        <v>1.4810000000000001</v>
      </c>
      <c r="O236" s="9">
        <f>0.466+0.4+0.24</f>
        <v>1.1060000000000001</v>
      </c>
      <c r="P236" s="5">
        <f>0.5</f>
        <v>0.5</v>
      </c>
      <c r="Q236" s="5">
        <f>0.9</f>
        <v>0.9</v>
      </c>
      <c r="R236" s="9">
        <v>1.5640000000000001</v>
      </c>
      <c r="S236" s="3" t="s">
        <v>256</v>
      </c>
      <c r="T236" s="6">
        <f>(H236+1.3*2223)*R236*(1+O236)*(1+N236)*P236*Q236</f>
        <v>14864.19681788028</v>
      </c>
    </row>
    <row r="237" spans="1:20" x14ac:dyDescent="0.15">
      <c r="A237" s="3" t="s">
        <v>255</v>
      </c>
      <c r="B237" s="3" t="s">
        <v>74</v>
      </c>
      <c r="C237" s="3" t="s">
        <v>236</v>
      </c>
      <c r="D237" s="3" t="s">
        <v>237</v>
      </c>
      <c r="E237" s="4" t="s">
        <v>83</v>
      </c>
      <c r="F237" s="11">
        <v>191</v>
      </c>
      <c r="G237" s="11">
        <v>510</v>
      </c>
      <c r="H237" s="6">
        <f>(F237+G237)*(1+0.2)+311</f>
        <v>1152.1999999999998</v>
      </c>
      <c r="I237" s="30">
        <f>799*(1+0.583+0.062*6+0.3+0.517+0.3)</f>
        <v>2454.5279999999998</v>
      </c>
      <c r="K237" s="9">
        <v>0</v>
      </c>
      <c r="L237" s="9">
        <v>0</v>
      </c>
      <c r="M237" s="10">
        <f t="shared" si="37"/>
        <v>0.60250000000000004</v>
      </c>
      <c r="N237" s="10">
        <f t="shared" si="38"/>
        <v>1.2050000000000001</v>
      </c>
      <c r="O237" s="9">
        <f>0.466+0.24</f>
        <v>0.70599999999999996</v>
      </c>
      <c r="P237" s="5">
        <f>0.5</f>
        <v>0.5</v>
      </c>
      <c r="Q237" s="5">
        <f>0.9</f>
        <v>0.9</v>
      </c>
      <c r="R237" s="9">
        <v>1.5640000000000001</v>
      </c>
      <c r="S237" s="3" t="s">
        <v>256</v>
      </c>
      <c r="T237" s="6">
        <f>(1320+1.3*2934)*R237*(1+O237)*(1+N237)*P237*Q237</f>
        <v>13592.823118030803</v>
      </c>
    </row>
    <row r="239" spans="1:20" x14ac:dyDescent="0.15">
      <c r="A239" s="3" t="s">
        <v>9</v>
      </c>
      <c r="B239" s="3" t="s">
        <v>10</v>
      </c>
      <c r="C239" s="3" t="s">
        <v>11</v>
      </c>
      <c r="D239" s="3" t="s">
        <v>12</v>
      </c>
      <c r="E239" s="4" t="s">
        <v>13</v>
      </c>
      <c r="F239" s="11" t="s">
        <v>14</v>
      </c>
      <c r="G239" s="11" t="s">
        <v>15</v>
      </c>
      <c r="H239" s="6" t="s">
        <v>16</v>
      </c>
      <c r="J239" s="13"/>
      <c r="K239" s="12" t="s">
        <v>19</v>
      </c>
      <c r="L239" s="12" t="s">
        <v>20</v>
      </c>
      <c r="M239" s="10" t="s">
        <v>21</v>
      </c>
      <c r="N239" s="10" t="s">
        <v>22</v>
      </c>
      <c r="O239" s="12" t="s">
        <v>23</v>
      </c>
      <c r="P239" s="11" t="s">
        <v>24</v>
      </c>
      <c r="Q239" s="11" t="s">
        <v>25</v>
      </c>
      <c r="R239" s="12" t="s">
        <v>26</v>
      </c>
      <c r="S239" s="3" t="s">
        <v>27</v>
      </c>
      <c r="T239" s="6" t="s">
        <v>28</v>
      </c>
    </row>
    <row r="240" spans="1:20" x14ac:dyDescent="0.15">
      <c r="A240" s="3" t="s">
        <v>257</v>
      </c>
      <c r="B240" s="3" t="s">
        <v>56</v>
      </c>
      <c r="C240" s="3" t="s">
        <v>258</v>
      </c>
      <c r="D240" s="3" t="s">
        <v>259</v>
      </c>
      <c r="E240" s="4" t="s">
        <v>260</v>
      </c>
      <c r="F240" s="5">
        <v>212</v>
      </c>
      <c r="G240" s="5">
        <v>608</v>
      </c>
      <c r="H240" s="6">
        <f>(F240+G240)*(1+0.3+0.466+0.18)+311</f>
        <v>1906.72</v>
      </c>
      <c r="K240" s="9">
        <v>0.33100000000000002</v>
      </c>
      <c r="L240" s="9">
        <v>0</v>
      </c>
      <c r="M240" s="10">
        <f>60.25%+K240/2+L240/4</f>
        <v>0.76800000000000002</v>
      </c>
      <c r="N240" s="10">
        <f>60.25%*2+K240+L240/2</f>
        <v>1.536</v>
      </c>
      <c r="O240" s="9">
        <f>0.466+0.15+0.24+0.12</f>
        <v>0.97599999999999998</v>
      </c>
      <c r="P240" s="5">
        <f>190/(190*(1)+190)</f>
        <v>0.5</v>
      </c>
      <c r="Q240" s="5">
        <v>0.9</v>
      </c>
      <c r="R240" s="9">
        <f>184.79%</f>
        <v>1.8478999999999999</v>
      </c>
      <c r="S240" s="3" t="s">
        <v>261</v>
      </c>
      <c r="T240" s="6">
        <f>H240*R240*(1+O240)*(1+N240*M240)*P240*Q240</f>
        <v>6828.9071027694681</v>
      </c>
    </row>
    <row r="241" spans="1:20" x14ac:dyDescent="0.15">
      <c r="A241" s="3" t="s">
        <v>257</v>
      </c>
      <c r="B241" s="3" t="s">
        <v>262</v>
      </c>
      <c r="C241" s="3" t="s">
        <v>258</v>
      </c>
      <c r="D241" s="3" t="s">
        <v>259</v>
      </c>
      <c r="E241" s="4" t="s">
        <v>260</v>
      </c>
      <c r="F241" s="5">
        <v>212</v>
      </c>
      <c r="G241" s="5">
        <v>608</v>
      </c>
      <c r="H241" s="6">
        <f>(F241+G241)*(1+0.3+0.466+0.18+0.496)+311</f>
        <v>2313.44</v>
      </c>
      <c r="K241" s="9">
        <v>0</v>
      </c>
      <c r="L241" s="9">
        <v>0</v>
      </c>
      <c r="M241" s="10">
        <f>60.25%+K241/2+L241/4</f>
        <v>0.60250000000000004</v>
      </c>
      <c r="N241" s="10">
        <f>60.25%*2+K241+L241/2</f>
        <v>1.2050000000000001</v>
      </c>
      <c r="O241" s="9">
        <f>0.466+0.15+0.24+0.12</f>
        <v>0.97599999999999998</v>
      </c>
      <c r="P241" s="5">
        <f>190/(190*(1)+190)</f>
        <v>0.5</v>
      </c>
      <c r="Q241" s="5">
        <v>0.9</v>
      </c>
      <c r="R241" s="9">
        <f>184.79%</f>
        <v>1.8478999999999999</v>
      </c>
      <c r="S241" s="3" t="s">
        <v>261</v>
      </c>
      <c r="T241" s="6">
        <f>2559*R241*(1+O241)*(1+N241*M241)*P241*Q241</f>
        <v>7257.5851845614716</v>
      </c>
    </row>
    <row r="242" spans="1:20" x14ac:dyDescent="0.15">
      <c r="A242" s="3" t="s">
        <v>257</v>
      </c>
      <c r="B242" s="3" t="s">
        <v>60</v>
      </c>
      <c r="C242" s="3" t="s">
        <v>258</v>
      </c>
      <c r="D242" s="3" t="s">
        <v>259</v>
      </c>
      <c r="E242" s="4" t="s">
        <v>260</v>
      </c>
      <c r="F242" s="5">
        <v>212</v>
      </c>
      <c r="G242" s="5">
        <v>510</v>
      </c>
      <c r="H242" s="6">
        <f>(F242+G242)*(1+0.3+0.466+0.18)+311</f>
        <v>1716.0119999999999</v>
      </c>
      <c r="K242" s="9">
        <v>0</v>
      </c>
      <c r="L242" s="9">
        <v>0.55100000000000005</v>
      </c>
      <c r="M242" s="10">
        <v>0.7</v>
      </c>
      <c r="N242" s="10">
        <f>60.25%*2+K242+L242/2+4.03%*2</f>
        <v>1.5611000000000002</v>
      </c>
      <c r="O242" s="9">
        <f>0.466+0.15+0.24+0.12+0.96</f>
        <v>1.9359999999999999</v>
      </c>
      <c r="P242" s="5">
        <f>190/(190*(1)+190)</f>
        <v>0.5</v>
      </c>
      <c r="Q242" s="5">
        <v>0.9</v>
      </c>
      <c r="R242" s="9">
        <f>184.79%</f>
        <v>1.8478999999999999</v>
      </c>
      <c r="S242" s="3" t="s">
        <v>261</v>
      </c>
      <c r="T242" s="6">
        <f>H242*R242*(1+O242)*(1+N242*M242)*P242*Q242</f>
        <v>8767.7640115264785</v>
      </c>
    </row>
    <row r="244" spans="1:20" x14ac:dyDescent="0.15">
      <c r="A244" s="3" t="s">
        <v>9</v>
      </c>
      <c r="B244" s="3" t="s">
        <v>10</v>
      </c>
      <c r="C244" s="3" t="s">
        <v>11</v>
      </c>
      <c r="D244" s="3" t="s">
        <v>12</v>
      </c>
      <c r="E244" s="4" t="s">
        <v>13</v>
      </c>
      <c r="F244" s="11" t="s">
        <v>14</v>
      </c>
      <c r="G244" s="11" t="s">
        <v>15</v>
      </c>
      <c r="H244" s="6" t="s">
        <v>16</v>
      </c>
      <c r="J244" s="13"/>
      <c r="K244" s="12" t="s">
        <v>19</v>
      </c>
      <c r="L244" s="12" t="s">
        <v>20</v>
      </c>
      <c r="M244" s="10" t="s">
        <v>21</v>
      </c>
      <c r="N244" s="10" t="s">
        <v>22</v>
      </c>
      <c r="O244" s="12" t="s">
        <v>23</v>
      </c>
      <c r="P244" s="11" t="s">
        <v>24</v>
      </c>
      <c r="Q244" s="11" t="s">
        <v>25</v>
      </c>
      <c r="R244" s="12" t="s">
        <v>26</v>
      </c>
      <c r="S244" s="3" t="s">
        <v>27</v>
      </c>
      <c r="T244" s="6" t="s">
        <v>28</v>
      </c>
    </row>
    <row r="245" spans="1:20" x14ac:dyDescent="0.15">
      <c r="A245" s="3" t="s">
        <v>263</v>
      </c>
      <c r="B245" s="3" t="s">
        <v>174</v>
      </c>
      <c r="C245" s="3" t="s">
        <v>258</v>
      </c>
      <c r="D245" s="3" t="s">
        <v>259</v>
      </c>
      <c r="E245" s="4" t="s">
        <v>192</v>
      </c>
      <c r="F245" s="5">
        <v>212</v>
      </c>
      <c r="G245" s="5">
        <v>674</v>
      </c>
      <c r="H245" s="6">
        <f>(F245+G245)*(1+0.3+0.466+0.18+0.24)+311</f>
        <v>2247.7960000000003</v>
      </c>
      <c r="K245" s="9">
        <v>0</v>
      </c>
      <c r="L245" s="9">
        <v>0.441</v>
      </c>
      <c r="M245" s="10">
        <f>60.25%+K245/2+L245/4</f>
        <v>0.71274999999999999</v>
      </c>
      <c r="N245" s="10">
        <f>60.25%*2+K245+L245/2</f>
        <v>1.4255</v>
      </c>
      <c r="O245" s="9">
        <f>0.466+0.15+0.4</f>
        <v>1.016</v>
      </c>
      <c r="P245" s="5">
        <f>190/(190*(1)+190)</f>
        <v>0.5</v>
      </c>
      <c r="Q245" s="5">
        <v>0.9</v>
      </c>
      <c r="R245" s="9">
        <v>3.145</v>
      </c>
      <c r="S245" s="3" t="s">
        <v>264</v>
      </c>
      <c r="T245" s="6">
        <f>H245*R245*(1+O245)*(1+N245)*P245*Q245</f>
        <v>15555.424394098514</v>
      </c>
    </row>
    <row r="246" spans="1:20" x14ac:dyDescent="0.15">
      <c r="A246" s="3" t="s">
        <v>263</v>
      </c>
      <c r="B246" s="3" t="s">
        <v>125</v>
      </c>
      <c r="C246" s="3" t="s">
        <v>258</v>
      </c>
      <c r="D246" s="3" t="s">
        <v>259</v>
      </c>
      <c r="E246" s="4" t="s">
        <v>192</v>
      </c>
      <c r="F246" s="5">
        <v>212</v>
      </c>
      <c r="G246" s="5">
        <v>542</v>
      </c>
      <c r="H246" s="6">
        <f>(F246+G246)*(1+0.3+0.466+0.18+0.24)+311+1.2%*(10875*(1+0.2+0.2)+4780)</f>
        <v>2199.3040000000001</v>
      </c>
      <c r="K246" s="9">
        <v>0.441</v>
      </c>
      <c r="L246" s="9">
        <v>0</v>
      </c>
      <c r="M246" s="10">
        <v>0.8</v>
      </c>
      <c r="N246" s="10">
        <f>60.25%*2+K246+L246/2+2.3%*2</f>
        <v>1.6920000000000002</v>
      </c>
      <c r="O246" s="9">
        <f>0.466+0.15</f>
        <v>0.61599999999999999</v>
      </c>
      <c r="P246" s="5">
        <f>190/(190*(1)+190)</f>
        <v>0.5</v>
      </c>
      <c r="Q246" s="5">
        <v>0.9</v>
      </c>
      <c r="R246" s="9">
        <v>3.145</v>
      </c>
      <c r="S246" s="3" t="s">
        <v>264</v>
      </c>
      <c r="T246" s="6">
        <f>H246*R246*(1+O246)*(1+N246)*P246*Q246</f>
        <v>13540.504306776194</v>
      </c>
    </row>
    <row r="247" spans="1:20" x14ac:dyDescent="0.15">
      <c r="A247" s="3" t="s">
        <v>263</v>
      </c>
      <c r="B247" s="3" t="s">
        <v>265</v>
      </c>
      <c r="C247" s="3" t="s">
        <v>258</v>
      </c>
      <c r="D247" s="3" t="s">
        <v>259</v>
      </c>
      <c r="E247" s="4" t="s">
        <v>192</v>
      </c>
      <c r="F247" s="5">
        <v>212</v>
      </c>
      <c r="G247" s="5">
        <v>510</v>
      </c>
      <c r="H247" s="6">
        <f>(F247+G247)*(1+0.3+0.466+0.18+0.24)+311</f>
        <v>1889.2919999999999</v>
      </c>
      <c r="K247" s="9">
        <v>0.27600000000000002</v>
      </c>
      <c r="L247" s="9">
        <v>0</v>
      </c>
      <c r="M247" s="10">
        <f>60.25%+K247/2+L247/4</f>
        <v>0.74050000000000005</v>
      </c>
      <c r="N247" s="10">
        <f>60.25%*2+K247+L247/2</f>
        <v>1.4810000000000001</v>
      </c>
      <c r="O247" s="9">
        <f>0.466+0.15</f>
        <v>0.61599999999999999</v>
      </c>
      <c r="P247" s="5">
        <f>190/(190*(1)+190)</f>
        <v>0.5</v>
      </c>
      <c r="Q247" s="5">
        <v>0.9</v>
      </c>
      <c r="R247" s="9">
        <v>3.145</v>
      </c>
      <c r="S247" s="3" t="s">
        <v>264</v>
      </c>
      <c r="T247" s="6">
        <f>H247*R247*(1+O247)*(1+N247)*P247*Q247</f>
        <v>10720.137847395887</v>
      </c>
    </row>
    <row r="249" spans="1:20" x14ac:dyDescent="0.15">
      <c r="A249" s="3" t="s">
        <v>9</v>
      </c>
      <c r="B249" s="3" t="s">
        <v>10</v>
      </c>
      <c r="C249" s="3" t="s">
        <v>11</v>
      </c>
      <c r="D249" s="3" t="s">
        <v>12</v>
      </c>
      <c r="E249" s="4" t="s">
        <v>13</v>
      </c>
      <c r="F249" s="29" t="s">
        <v>14</v>
      </c>
      <c r="G249" s="29" t="s">
        <v>15</v>
      </c>
      <c r="H249" s="6" t="s">
        <v>16</v>
      </c>
      <c r="I249" s="7" t="s">
        <v>38</v>
      </c>
      <c r="J249" s="13" t="s">
        <v>266</v>
      </c>
      <c r="K249" s="31" t="s">
        <v>19</v>
      </c>
      <c r="L249" s="31" t="s">
        <v>20</v>
      </c>
      <c r="M249" s="10" t="s">
        <v>21</v>
      </c>
      <c r="N249" s="10" t="s">
        <v>22</v>
      </c>
      <c r="O249" s="31" t="s">
        <v>23</v>
      </c>
      <c r="P249" s="29" t="s">
        <v>24</v>
      </c>
      <c r="Q249" s="29" t="s">
        <v>25</v>
      </c>
      <c r="R249" s="31" t="s">
        <v>26</v>
      </c>
      <c r="S249" s="3" t="s">
        <v>27</v>
      </c>
      <c r="T249" s="6" t="s">
        <v>28</v>
      </c>
    </row>
    <row r="250" spans="1:20" x14ac:dyDescent="0.15">
      <c r="A250" s="3" t="s">
        <v>267</v>
      </c>
      <c r="B250" s="3" t="s">
        <v>165</v>
      </c>
      <c r="C250" s="3" t="s">
        <v>236</v>
      </c>
      <c r="D250" s="3" t="s">
        <v>77</v>
      </c>
      <c r="E250" s="4" t="s">
        <v>91</v>
      </c>
      <c r="F250" s="29">
        <v>191</v>
      </c>
      <c r="G250" s="29">
        <v>608</v>
      </c>
      <c r="H250" s="6">
        <f>(F250+G250)*(1+0.2+0.28*(I250-1))+311</f>
        <v>1631.7789599999999</v>
      </c>
      <c r="I250" s="17">
        <f>1+0.551+0.8+0.267</f>
        <v>2.6179999999999999</v>
      </c>
      <c r="J250" s="7">
        <f>734*(1+0.062*6+0.3+0.583*3)</f>
        <v>2511.0139999999997</v>
      </c>
      <c r="K250" s="31">
        <v>0</v>
      </c>
      <c r="L250" s="31">
        <v>0</v>
      </c>
      <c r="M250" s="10" t="s">
        <v>44</v>
      </c>
      <c r="N250" s="10" t="s">
        <v>44</v>
      </c>
      <c r="O250" s="31" t="s">
        <v>45</v>
      </c>
      <c r="P250" s="29">
        <f>190/(190*(1)+190)</f>
        <v>0.5</v>
      </c>
      <c r="Q250" s="29">
        <v>0.9</v>
      </c>
      <c r="R250" s="31" t="s">
        <v>45</v>
      </c>
      <c r="S250" s="3" t="s">
        <v>45</v>
      </c>
      <c r="T250" s="6" t="s">
        <v>44</v>
      </c>
    </row>
    <row r="251" spans="1:20" x14ac:dyDescent="0.15">
      <c r="A251" s="3" t="s">
        <v>267</v>
      </c>
      <c r="B251" s="3" t="s">
        <v>88</v>
      </c>
      <c r="C251" s="3" t="s">
        <v>236</v>
      </c>
      <c r="D251" s="3" t="s">
        <v>77</v>
      </c>
      <c r="E251" s="4" t="s">
        <v>91</v>
      </c>
      <c r="F251" s="29">
        <v>191</v>
      </c>
      <c r="G251" s="29">
        <v>674</v>
      </c>
      <c r="H251" s="6">
        <f>(F251+G251)*(1+0.2)+311</f>
        <v>1349</v>
      </c>
      <c r="I251" s="17">
        <f>1+0.368+0.8+0.267</f>
        <v>2.4350000000000001</v>
      </c>
      <c r="J251" s="7">
        <f>734*(1+0.062*6+0.3+0.583*3)</f>
        <v>2511.0139999999997</v>
      </c>
      <c r="K251" s="31">
        <v>0</v>
      </c>
      <c r="L251" s="31">
        <v>0</v>
      </c>
      <c r="M251" s="10" t="s">
        <v>44</v>
      </c>
      <c r="N251" s="10" t="s">
        <v>44</v>
      </c>
      <c r="O251" s="31" t="s">
        <v>45</v>
      </c>
      <c r="P251" s="29">
        <f>190/(190*(1)+190)</f>
        <v>0.5</v>
      </c>
      <c r="Q251" s="29">
        <v>0.9</v>
      </c>
      <c r="R251" s="31" t="s">
        <v>45</v>
      </c>
      <c r="S251" s="3" t="s">
        <v>45</v>
      </c>
      <c r="T251" s="6" t="s">
        <v>44</v>
      </c>
    </row>
    <row r="252" spans="1:20" x14ac:dyDescent="0.15">
      <c r="A252" s="3" t="s">
        <v>267</v>
      </c>
      <c r="B252" s="3" t="s">
        <v>40</v>
      </c>
      <c r="C252" s="3" t="s">
        <v>236</v>
      </c>
      <c r="D252" s="3" t="s">
        <v>268</v>
      </c>
      <c r="E252" s="4" t="s">
        <v>91</v>
      </c>
      <c r="F252" s="29">
        <v>191</v>
      </c>
      <c r="G252" s="29">
        <v>565</v>
      </c>
      <c r="H252" s="6">
        <f>(F252+G252)*(1+0.2)+311</f>
        <v>1218.1999999999998</v>
      </c>
      <c r="I252" s="17">
        <f>1+0.306+0.6+0.267</f>
        <v>2.173</v>
      </c>
      <c r="J252" s="7">
        <f>734*(1+0.062*6+0.3+0.583*2)</f>
        <v>2083.0920000000001</v>
      </c>
      <c r="K252" s="31">
        <v>0</v>
      </c>
      <c r="L252" s="31">
        <v>0</v>
      </c>
      <c r="M252" s="10">
        <v>0.6</v>
      </c>
      <c r="N252" s="10" t="s">
        <v>44</v>
      </c>
      <c r="O252" s="31" t="s">
        <v>45</v>
      </c>
      <c r="P252" s="29">
        <f>190/(190*(1)+190)</f>
        <v>0.5</v>
      </c>
      <c r="Q252" s="29">
        <v>0.9</v>
      </c>
      <c r="R252" s="31" t="s">
        <v>45</v>
      </c>
      <c r="S252" s="3" t="s">
        <v>45</v>
      </c>
      <c r="T252" s="6" t="s">
        <v>44</v>
      </c>
    </row>
  </sheetData>
  <mergeCells count="14">
    <mergeCell ref="A1:T1"/>
    <mergeCell ref="A10:T10"/>
    <mergeCell ref="A66:T66"/>
    <mergeCell ref="A96:T96"/>
    <mergeCell ref="A128:T128"/>
    <mergeCell ref="A215:T215"/>
    <mergeCell ref="A2:E6"/>
    <mergeCell ref="F2:I6"/>
    <mergeCell ref="J2:N6"/>
    <mergeCell ref="O2:T6"/>
    <mergeCell ref="A7:E9"/>
    <mergeCell ref="F7:I9"/>
    <mergeCell ref="J7:N9"/>
    <mergeCell ref="O7:T9"/>
  </mergeCells>
  <phoneticPr fontId="3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tabSelected="1" topLeftCell="A25" zoomScaleSheetLayoutView="100" workbookViewId="0">
      <selection activeCell="A36" sqref="A36:A42"/>
    </sheetView>
  </sheetViews>
  <sheetFormatPr defaultRowHeight="14.25" x14ac:dyDescent="0.15"/>
  <sheetData>
    <row r="1" spans="1:1" x14ac:dyDescent="0.15">
      <c r="A1" t="s">
        <v>269</v>
      </c>
    </row>
    <row r="2" spans="1:1" x14ac:dyDescent="0.15">
      <c r="A2" t="s">
        <v>270</v>
      </c>
    </row>
    <row r="3" spans="1:1" x14ac:dyDescent="0.15">
      <c r="A3" t="s">
        <v>271</v>
      </c>
    </row>
    <row r="4" spans="1:1" x14ac:dyDescent="0.15">
      <c r="A4" t="s">
        <v>272</v>
      </c>
    </row>
    <row r="5" spans="1:1" x14ac:dyDescent="0.15">
      <c r="A5" t="s">
        <v>273</v>
      </c>
    </row>
    <row r="6" spans="1:1" x14ac:dyDescent="0.15">
      <c r="A6" t="s">
        <v>274</v>
      </c>
    </row>
    <row r="7" spans="1:1" x14ac:dyDescent="0.15">
      <c r="A7" t="s">
        <v>275</v>
      </c>
    </row>
    <row r="9" spans="1:1" x14ac:dyDescent="0.15">
      <c r="A9" t="s">
        <v>276</v>
      </c>
    </row>
    <row r="10" spans="1:1" x14ac:dyDescent="0.15">
      <c r="A10" s="1" t="s">
        <v>277</v>
      </c>
    </row>
    <row r="11" spans="1:1" x14ac:dyDescent="0.15">
      <c r="A11" s="1" t="s">
        <v>278</v>
      </c>
    </row>
    <row r="12" spans="1:1" x14ac:dyDescent="0.15">
      <c r="A12" s="2" t="s">
        <v>279</v>
      </c>
    </row>
    <row r="13" spans="1:1" x14ac:dyDescent="0.15">
      <c r="A13" s="2" t="s">
        <v>280</v>
      </c>
    </row>
    <row r="14" spans="1:1" x14ac:dyDescent="0.15">
      <c r="A14" s="2" t="s">
        <v>281</v>
      </c>
    </row>
    <row r="15" spans="1:1" x14ac:dyDescent="0.15">
      <c r="A15" s="2" t="s">
        <v>282</v>
      </c>
    </row>
    <row r="16" spans="1:1" x14ac:dyDescent="0.15">
      <c r="A16" s="2" t="s">
        <v>283</v>
      </c>
    </row>
    <row r="17" spans="1:1" x14ac:dyDescent="0.15">
      <c r="A17" s="2" t="s">
        <v>284</v>
      </c>
    </row>
    <row r="19" spans="1:1" x14ac:dyDescent="0.15">
      <c r="A19" t="s">
        <v>285</v>
      </c>
    </row>
    <row r="20" spans="1:1" x14ac:dyDescent="0.15">
      <c r="A20" t="s">
        <v>286</v>
      </c>
    </row>
    <row r="23" spans="1:1" x14ac:dyDescent="0.15">
      <c r="A23" s="35" t="s">
        <v>288</v>
      </c>
    </row>
    <row r="24" spans="1:1" x14ac:dyDescent="0.15">
      <c r="A24" s="35" t="s">
        <v>289</v>
      </c>
    </row>
    <row r="25" spans="1:1" x14ac:dyDescent="0.15">
      <c r="A25" s="35" t="s">
        <v>290</v>
      </c>
    </row>
    <row r="26" spans="1:1" x14ac:dyDescent="0.15">
      <c r="A26" s="40" t="s">
        <v>301</v>
      </c>
    </row>
    <row r="28" spans="1:1" x14ac:dyDescent="0.15">
      <c r="A28" s="42" t="s">
        <v>302</v>
      </c>
    </row>
    <row r="29" spans="1:1" x14ac:dyDescent="0.15">
      <c r="A29" s="42" t="s">
        <v>303</v>
      </c>
    </row>
    <row r="30" spans="1:1" x14ac:dyDescent="0.15">
      <c r="A30" s="42" t="s">
        <v>304</v>
      </c>
    </row>
    <row r="31" spans="1:1" x14ac:dyDescent="0.15">
      <c r="A31" s="42" t="s">
        <v>305</v>
      </c>
    </row>
    <row r="32" spans="1:1" x14ac:dyDescent="0.15">
      <c r="A32" s="42" t="s">
        <v>306</v>
      </c>
    </row>
    <row r="33" spans="1:1" x14ac:dyDescent="0.15">
      <c r="A33" s="42" t="s">
        <v>307</v>
      </c>
    </row>
    <row r="36" spans="1:1" x14ac:dyDescent="0.15">
      <c r="A36" t="s">
        <v>320</v>
      </c>
    </row>
    <row r="37" spans="1:1" x14ac:dyDescent="0.15">
      <c r="A37" t="s">
        <v>321</v>
      </c>
    </row>
    <row r="38" spans="1:1" x14ac:dyDescent="0.15">
      <c r="A38" t="s">
        <v>322</v>
      </c>
    </row>
    <row r="39" spans="1:1" x14ac:dyDescent="0.15">
      <c r="A39" t="s">
        <v>323</v>
      </c>
    </row>
    <row r="40" spans="1:1" x14ac:dyDescent="0.15">
      <c r="A40" t="s">
        <v>324</v>
      </c>
    </row>
    <row r="41" spans="1:1" x14ac:dyDescent="0.15">
      <c r="A41" t="s">
        <v>325</v>
      </c>
    </row>
    <row r="42" spans="1:1" x14ac:dyDescent="0.15">
      <c r="A42" t="s">
        <v>326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正表</vt:lpstr>
      <vt:lpstr>更新and修正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ChongZhou Liu</cp:lastModifiedBy>
  <dcterms:created xsi:type="dcterms:W3CDTF">2016-12-02T08:54:00Z</dcterms:created>
  <dcterms:modified xsi:type="dcterms:W3CDTF">2022-04-25T08:27:50Z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F407ECE881A546CD98760BC1B2D32BB7</vt:lpwstr>
  </property>
</Properties>
</file>