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https://oregonstateuniversity.sharepoint.com/sites/DallasLab/Shared Documents/Projects/Dallas Lab Services Offers/"/>
    </mc:Choice>
  </mc:AlternateContent>
  <xr:revisionPtr revIDLastSave="1439" documentId="8_{DB9D74F2-6692-4545-A0F1-1223D8CD4FC8}" xr6:coauthVersionLast="47" xr6:coauthVersionMax="47" xr10:uidLastSave="{963E62B8-DD3A-44CF-BF5E-671DA41DB2D6}"/>
  <bookViews>
    <workbookView xWindow="-120" yWindow="-120" windowWidth="29040" windowHeight="15720" activeTab="1" xr2:uid="{00000000-000D-0000-FFFF-FFFF00000000}"/>
  </bookViews>
  <sheets>
    <sheet name="all analysis" sheetId="1" r:id="rId1"/>
    <sheet name="final prices" sheetId="3" r:id="rId2"/>
    <sheet name="FAA" sheetId="6" r:id="rId3"/>
    <sheet name="peptides" sheetId="8" r:id="rId4"/>
    <sheet name="di tri peptides" sheetId="7" r:id="rId5"/>
    <sheet name="sdg" sheetId="2" r:id="rId6"/>
    <sheet name="old" sheetId="4" r:id="rId7"/>
    <sheet name="ms_data_proc_batch_cost" sheetId="5" r:id="rId8"/>
    <sheet name="Personnel" sheetId="9"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9" l="1"/>
  <c r="F5" i="9"/>
  <c r="D4" i="9"/>
  <c r="D5" i="9" s="1"/>
  <c r="E3" i="9"/>
  <c r="G3" i="9"/>
  <c r="E4" i="9"/>
  <c r="D6" i="9"/>
  <c r="E6" i="9" s="1"/>
  <c r="D7" i="9"/>
  <c r="E7" i="9" s="1"/>
  <c r="D8" i="9"/>
  <c r="E8" i="9" s="1"/>
  <c r="D9" i="9"/>
  <c r="E9" i="9" s="1"/>
  <c r="G6" i="9"/>
  <c r="H6" i="9" s="1"/>
  <c r="G7" i="9"/>
  <c r="H7" i="9" s="1"/>
  <c r="G1048569" i="9"/>
  <c r="G9" i="9"/>
  <c r="H9" i="9" s="1"/>
  <c r="F18" i="8"/>
  <c r="E7" i="8"/>
  <c r="D7" i="8"/>
  <c r="D6" i="8"/>
  <c r="C5" i="8"/>
  <c r="D4" i="8"/>
  <c r="D11" i="6"/>
  <c r="D9" i="6"/>
  <c r="D7" i="6"/>
  <c r="D8" i="7"/>
  <c r="D7" i="7"/>
  <c r="C6" i="7"/>
  <c r="D5" i="7"/>
  <c r="D7" i="4"/>
  <c r="C7" i="4"/>
  <c r="B7" i="4"/>
  <c r="D6" i="4"/>
  <c r="C6" i="4"/>
  <c r="B6" i="4"/>
  <c r="AT27" i="3"/>
  <c r="AT29" i="3"/>
  <c r="AT30" i="3"/>
  <c r="G4" i="9" l="1"/>
  <c r="H4" i="9" s="1"/>
  <c r="E5" i="9"/>
  <c r="G5" i="9" s="1"/>
  <c r="H5" i="9" s="1"/>
  <c r="G8" i="9"/>
  <c r="H8" i="9" s="1"/>
  <c r="AT28" i="3"/>
  <c r="H3" i="9" l="1"/>
  <c r="AB27" i="3"/>
  <c r="AC27" i="3"/>
  <c r="AD27" i="3"/>
  <c r="AE27" i="3"/>
  <c r="AF27" i="3"/>
  <c r="AG27" i="3"/>
  <c r="AG28" i="3" s="1"/>
  <c r="AH27" i="3"/>
  <c r="AI27" i="3"/>
  <c r="AJ27" i="3"/>
  <c r="AK27" i="3"/>
  <c r="AL27" i="3"/>
  <c r="AM27" i="3"/>
  <c r="AN27" i="3"/>
  <c r="AO27" i="3"/>
  <c r="AO28" i="3" s="1"/>
  <c r="AP27" i="3"/>
  <c r="AQ27" i="3"/>
  <c r="AR27" i="3"/>
  <c r="AS27" i="3"/>
  <c r="AB29" i="3"/>
  <c r="AC29" i="3"/>
  <c r="AD29" i="3"/>
  <c r="AE29" i="3"/>
  <c r="AF29" i="3"/>
  <c r="AG29" i="3"/>
  <c r="AH29" i="3"/>
  <c r="AI29" i="3"/>
  <c r="AJ29" i="3"/>
  <c r="AK29" i="3"/>
  <c r="AL29" i="3"/>
  <c r="AM29" i="3"/>
  <c r="AN29" i="3"/>
  <c r="AO29" i="3"/>
  <c r="AP29" i="3"/>
  <c r="AQ29" i="3"/>
  <c r="AR29" i="3"/>
  <c r="AS29" i="3"/>
  <c r="AB30" i="3"/>
  <c r="AC30" i="3"/>
  <c r="AD30" i="3"/>
  <c r="AE30" i="3"/>
  <c r="AF30" i="3"/>
  <c r="AG30" i="3"/>
  <c r="AH30" i="3"/>
  <c r="AI30" i="3"/>
  <c r="AJ30" i="3"/>
  <c r="AK30" i="3"/>
  <c r="AL30" i="3"/>
  <c r="AM30" i="3"/>
  <c r="AN30" i="3"/>
  <c r="AO30" i="3"/>
  <c r="AP30" i="3"/>
  <c r="AQ30" i="3"/>
  <c r="AR30" i="3"/>
  <c r="AS30" i="3"/>
  <c r="AA30" i="3"/>
  <c r="AA29" i="3"/>
  <c r="AA27" i="3"/>
  <c r="AB41" i="3"/>
  <c r="AA41" i="3"/>
  <c r="Z41" i="3"/>
  <c r="AB40" i="3"/>
  <c r="AA40" i="3"/>
  <c r="Z40" i="3"/>
  <c r="D15" i="3"/>
  <c r="E15" i="3"/>
  <c r="F15" i="3"/>
  <c r="G15" i="3"/>
  <c r="H15" i="3"/>
  <c r="I15" i="3"/>
  <c r="K15" i="3"/>
  <c r="L15" i="3"/>
  <c r="M15" i="3"/>
  <c r="N15" i="3"/>
  <c r="O15" i="3"/>
  <c r="P15" i="3"/>
  <c r="Q15" i="3"/>
  <c r="R15" i="3"/>
  <c r="S15" i="3"/>
  <c r="T15" i="3"/>
  <c r="C12" i="3"/>
  <c r="B12" i="3"/>
  <c r="C11" i="3"/>
  <c r="B11" i="3"/>
  <c r="J8" i="3"/>
  <c r="J15" i="3" s="1"/>
  <c r="AP28" i="3" l="1"/>
  <c r="AH28" i="3"/>
  <c r="AM28" i="3"/>
  <c r="AE28" i="3"/>
  <c r="AR28" i="3"/>
  <c r="AJ28" i="3"/>
  <c r="AN28" i="3"/>
  <c r="AF28" i="3"/>
  <c r="AL28" i="3"/>
  <c r="AD28" i="3"/>
  <c r="AS28" i="3"/>
  <c r="AK28" i="3"/>
  <c r="AC28" i="3"/>
  <c r="AA28" i="3"/>
  <c r="AB28" i="3"/>
  <c r="AQ28" i="3"/>
  <c r="AI28" i="3"/>
  <c r="B15" i="3"/>
  <c r="J16" i="3"/>
  <c r="J17" i="3" s="1"/>
  <c r="C15" i="3"/>
  <c r="S16" i="3"/>
  <c r="S17" i="3" s="1"/>
  <c r="Q16" i="3"/>
  <c r="Q17" i="3" s="1"/>
  <c r="O16" i="3"/>
  <c r="O17" i="3" s="1"/>
  <c r="M16" i="3"/>
  <c r="M17" i="3" s="1"/>
  <c r="H16" i="3"/>
  <c r="H17" i="3" s="1"/>
  <c r="F16" i="3"/>
  <c r="F17" i="3" s="1"/>
  <c r="D16" i="3"/>
  <c r="D17" i="3" s="1"/>
  <c r="B16" i="3" l="1"/>
  <c r="B17"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tc={CFDFA21E-0A04-4513-AE89-45665594577D}</author>
    <author>Branson, Jennifer</author>
  </authors>
  <commentList>
    <comment ref="F11" authorId="0" shapeId="0" xr:uid="{CFDFA21E-0A04-4513-AE89-45665594577D}">
      <text>
        <t>[Threaded comment]
Your version of Excel allows you to read this threaded comment; however, any edits to it will get removed if the file is opened in a newer version of Excel. Learn more: https://go.microsoft.com/fwlink/?linkid=870924
Comment:
    for high throughput
Reply:
    separate cost for Proteome Discoverer: $77, $124</t>
      </text>
    </comment>
    <comment ref="C14" authorId="1" shapeId="0" xr:uid="{0E43CD07-45C6-4313-83D2-4F7E34F4E6E0}">
      <text>
        <r>
          <rPr>
            <sz val="11"/>
            <color theme="1"/>
            <rFont val="Calibri"/>
            <family val="2"/>
            <scheme val="minor"/>
          </rPr>
          <t>Branson, Jennifer:
Just a guess</t>
        </r>
      </text>
    </comment>
    <comment ref="G14" authorId="1" shapeId="0" xr:uid="{5CF4CBA7-C681-4A21-A401-046BE6275EC3}">
      <text>
        <r>
          <rPr>
            <sz val="11"/>
            <color theme="1"/>
            <rFont val="Calibri"/>
            <family val="2"/>
            <scheme val="minor"/>
          </rPr>
          <t>Branson, Jennifer:
original cost $450 
includes sample prep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Branson, Jennifer</author>
    <author>tc={B3437F7A-41D7-473B-AC23-D710E30BC02C}</author>
  </authors>
  <commentList>
    <comment ref="D3" authorId="0" shapeId="0" xr:uid="{2108B064-F4D2-4F7E-B384-20972CAD2C46}">
      <text>
        <r>
          <rPr>
            <sz val="11"/>
            <color theme="1"/>
            <rFont val="Calibri"/>
            <family val="2"/>
            <scheme val="minor"/>
          </rPr>
          <t>Branson, Jennifer:
9 month appt.</t>
        </r>
      </text>
    </comment>
    <comment ref="A12" authorId="1" shapeId="0" xr:uid="{B3437F7A-41D7-473B-AC23-D710E30BC02C}">
      <text>
        <t>[Threaded comment]
Your version of Excel allows you to read this threaded comment; however, any edits to it will get removed if the file is opened in a newer version of Excel. Learn more: https://go.microsoft.com/fwlink/?linkid=870924
Comment:
    Values are person-dependent; #s here are ballpark</t>
      </text>
    </comment>
    <comment ref="D20" authorId="0" shapeId="0" xr:uid="{377B4B35-2D34-458F-9A34-B0B9EF63B0DD}">
      <text>
        <r>
          <rPr>
            <sz val="11"/>
            <color theme="1"/>
            <rFont val="Calibri"/>
            <family val="2"/>
            <scheme val="minor"/>
          </rPr>
          <t>Branson, Jennifer:
Will be $15.50 effective July 1st, 2025</t>
        </r>
      </text>
    </comment>
  </commentList>
</comments>
</file>

<file path=xl/sharedStrings.xml><?xml version="1.0" encoding="utf-8"?>
<sst xmlns="http://schemas.openxmlformats.org/spreadsheetml/2006/main" count="412" uniqueCount="241">
  <si>
    <t>Service</t>
  </si>
  <si>
    <t>Can be completed in the next 6 months?</t>
  </si>
  <si>
    <t>Contributed By</t>
  </si>
  <si>
    <t>Estimated Cost</t>
  </si>
  <si>
    <t>Suggested Price</t>
  </si>
  <si>
    <t>Team member with experience</t>
  </si>
  <si>
    <t>Value offered to Customer</t>
  </si>
  <si>
    <t>Is this a unique Service (y/n, explain)</t>
  </si>
  <si>
    <t>Potential Customers (dairy, formula, other researchers)</t>
  </si>
  <si>
    <t>Competitors offering this type of service</t>
  </si>
  <si>
    <t>Peptidomic Analysis -</t>
  </si>
  <si>
    <t>Peptidomic + Functional Annotation</t>
  </si>
  <si>
    <t>Rusty</t>
  </si>
  <si>
    <t>Bum Jin</t>
  </si>
  <si>
    <t>marketing claims, product development</t>
  </si>
  <si>
    <t>yes, few other labs offer functional specific analysis</t>
  </si>
  <si>
    <t>Formula companies, supplement manufactures. Dairy based nutrition start-ups</t>
  </si>
  <si>
    <t>unknown</t>
  </si>
  <si>
    <t>Full Peptidomic</t>
  </si>
  <si>
    <t>lack of internal capabilities</t>
  </si>
  <si>
    <t>No, many labes off broad peptdomic/proteomic anaysis</t>
  </si>
  <si>
    <t>researchers, formula producers, supplement companies, start ups</t>
  </si>
  <si>
    <t>All prices by resource name | Cornell Institute of Biotechnology | Cornell University</t>
  </si>
  <si>
    <t>https://www.proteomics.com/services/speciality-proteomics/peptidomics?utm_source=chatgpt.com</t>
  </si>
  <si>
    <t>https://www.inomixo.com/services/peptidomics/?utm_source=chatgpt.com</t>
  </si>
  <si>
    <t>https://www.creative-proteomics.com/proteinseq/peptidomic-analysis-services.htm?utm_source=chatgpt.com</t>
  </si>
  <si>
    <t>Absorptomics</t>
  </si>
  <si>
    <t>Marie</t>
  </si>
  <si>
    <t>Free Amino Acid</t>
  </si>
  <si>
    <t>Clay</t>
  </si>
  <si>
    <t>https://www.perplexity.ai/search/how-much-do-univeristy-labs-ch-1U_FADC8Sbe_VSPw.Wlxqw</t>
  </si>
  <si>
    <t>Proteomic Analysis -</t>
  </si>
  <si>
    <t xml:space="preserve"> ELISA</t>
  </si>
  <si>
    <t>MS</t>
  </si>
  <si>
    <t>HPLC-DAD</t>
  </si>
  <si>
    <t>Functional Analysis -</t>
  </si>
  <si>
    <t>Cell Adhesion</t>
  </si>
  <si>
    <t>THP-1-derived macrophage immonmodulatory assays</t>
  </si>
  <si>
    <t>Jillien</t>
  </si>
  <si>
    <t>fecal fat analysis</t>
  </si>
  <si>
    <t>Maybe</t>
  </si>
  <si>
    <t>Clay, Caleb, Richard</t>
  </si>
  <si>
    <t>Use microscopy to count lipid droplets in stool. Might require staining. Not sure if light microscopy or CLSM is better. Could use image analysis to make it semi-quantitative (I have done a lot of quantiative image analysis similar to this, but have no experience with microscopy on stool samples). Could also use folch extraction + quantification on GC-FID to qunatify individual fatty acids (Caleb) as a parallel method.</t>
  </si>
  <si>
    <t xml:space="preserve">Writing Services - </t>
  </si>
  <si>
    <t>Technical reports</t>
  </si>
  <si>
    <t>Scintific Publications</t>
  </si>
  <si>
    <t>Editing</t>
  </si>
  <si>
    <t>Systematic review conduct</t>
  </si>
  <si>
    <t>hourly rate</t>
  </si>
  <si>
    <t>$24.04/h</t>
  </si>
  <si>
    <t xml:space="preserve">Data Analysis - </t>
  </si>
  <si>
    <t>Functional Petide Annotaion</t>
  </si>
  <si>
    <t>Figure Generation</t>
  </si>
  <si>
    <t>16s bioinformatics</t>
  </si>
  <si>
    <t>Figure out which microbes are in a mixed sample (taxonomy), and estimate their relative abundance based on number of 16s amplicons. There are a lot of limitations with 16s surveys, but they are widely used. Would want to consult with the buyer in advance of running sequencing to help them decide on which region of 16s gene to sequence (primer selection) and other detaisl that factor into the bioinformatics.</t>
  </si>
  <si>
    <t>No</t>
  </si>
  <si>
    <t>Academic groups or industry</t>
  </si>
  <si>
    <t>tbd</t>
  </si>
  <si>
    <t>In Vitro Digestion-</t>
  </si>
  <si>
    <t>Static in vitro digestion with INFOGEST protocol</t>
  </si>
  <si>
    <t>Yes</t>
  </si>
  <si>
    <t>Clay, Richard, (but this is not too hard, anyone could do it with a few days of training and good access to materials)</t>
  </si>
  <si>
    <t>Fast, cheap gastric or gastric + intestinal digestion with an internationally standardized consensus protocol. Suitable for foods without large or recalcitrant physical particles. Probably suitable for milk (but there is still debate on this)</t>
  </si>
  <si>
    <t>No (probably). I think  other labs offer this but to be quite honest I would have to see</t>
  </si>
  <si>
    <t>Industry, other academic groups</t>
  </si>
  <si>
    <t>SHIME digestion w/o microbiome analysis</t>
  </si>
  <si>
    <t>Clay, Jillien, (maybe in 2 months, still working on this)</t>
  </si>
  <si>
    <t>More physiologically representative digestion process than static protocol, with the trade-off of much higher cost and lower throughput. More suitable for complex matrices that do not experience breakdown during static in vitro gastric digestion (at least in my opinion)</t>
  </si>
  <si>
    <t>Yes, at least in the USA</t>
  </si>
  <si>
    <t>Probably more focused to academic groups</t>
  </si>
  <si>
    <t>SHIME corporation, TNO corporation</t>
  </si>
  <si>
    <t>SHIME with microbiome analysis</t>
  </si>
  <si>
    <t>Clay, Jillien, (maybe in 3-4 months, might need IRB for fecal sample collection, need to double check DNA extraction, sequencing, and bioinformatics pipeline)</t>
  </si>
  <si>
    <t>Determine impact on gut micobiome of foods or food components. There are still limitations (lacks mucosal surfaces, host/microbiome immune connection, etc) but nevertheless this is the most advanced model of gut microbiome effects that can be used in the context of food digestion studies, at least to my knowledge</t>
  </si>
  <si>
    <t>SHIME corporation</t>
  </si>
  <si>
    <t xml:space="preserve">Consultation - </t>
  </si>
  <si>
    <t>Project design</t>
  </si>
  <si>
    <t>Jen</t>
  </si>
  <si>
    <t xml:space="preserve">130/hr </t>
  </si>
  <si>
    <t>200/hr</t>
  </si>
  <si>
    <t>Dave/post docs</t>
  </si>
  <si>
    <t>Confidence in a project design (performed in-house by a customer) through the expertise of experienced PhD researchers in the field</t>
  </si>
  <si>
    <t>N, but I don't think many labs offer this</t>
  </si>
  <si>
    <t>Any doing research</t>
  </si>
  <si>
    <t>?</t>
  </si>
  <si>
    <t>Project troubleshooting</t>
  </si>
  <si>
    <t>130/hr</t>
  </si>
  <si>
    <t>Benefit of experienced PhD researchers giving an outside perspective</t>
  </si>
  <si>
    <t>Hosting a panel</t>
  </si>
  <si>
    <t>No?</t>
  </si>
  <si>
    <t>University</t>
  </si>
  <si>
    <t>Sample Prep (Digestion + Cleanup)</t>
  </si>
  <si>
    <t>Peptidomic Analysis</t>
  </si>
  <si>
    <t>Proteomic Analysis</t>
  </si>
  <si>
    <t>Data Analysis (per hr)</t>
  </si>
  <si>
    <t>Free Amino Acid analysis (no digestion)</t>
  </si>
  <si>
    <t>Technician Time</t>
  </si>
  <si>
    <t>Consulting</t>
  </si>
  <si>
    <t>Amicon MW Cutoff Filtration</t>
  </si>
  <si>
    <t>Method Development for (1) day</t>
  </si>
  <si>
    <t>internal</t>
  </si>
  <si>
    <t>external</t>
  </si>
  <si>
    <t>Utah</t>
  </si>
  <si>
    <t>UNC</t>
  </si>
  <si>
    <t>UMass Boston</t>
  </si>
  <si>
    <t>Michigan</t>
  </si>
  <si>
    <t>tamu.edu</t>
  </si>
  <si>
    <t>Proteome International</t>
  </si>
  <si>
    <t>University of Washington</t>
  </si>
  <si>
    <t>University of Chicago</t>
  </si>
  <si>
    <t>Duke</t>
  </si>
  <si>
    <t>UC Riverside</t>
  </si>
  <si>
    <t>Yale</t>
  </si>
  <si>
    <t>OHSU</t>
  </si>
  <si>
    <t>competitors Average</t>
  </si>
  <si>
    <t>average</t>
  </si>
  <si>
    <t>Our price (20% mark up)</t>
  </si>
  <si>
    <t>Final price</t>
  </si>
  <si>
    <t>Number of Samples</t>
  </si>
  <si>
    <t>Core packages</t>
  </si>
  <si>
    <t>whats included</t>
  </si>
  <si>
    <t xml:space="preserve">functional peptidomics </t>
  </si>
  <si>
    <r>
      <rPr>
        <u/>
        <sz val="11"/>
        <color theme="1"/>
        <rFont val="Calibri"/>
        <family val="2"/>
        <scheme val="minor"/>
      </rPr>
      <t>Sample Prep:</t>
    </r>
    <r>
      <rPr>
        <sz val="11"/>
        <color theme="1"/>
        <rFont val="Calibri"/>
        <family val="2"/>
        <scheme val="minor"/>
      </rPr>
      <t xml:space="preserve">
           - Simple matrix, no digestion
</t>
    </r>
    <r>
      <rPr>
        <u/>
        <sz val="11"/>
        <color theme="1"/>
        <rFont val="Calibri"/>
        <family val="2"/>
        <scheme val="minor"/>
      </rPr>
      <t>Peptidomic Analysis:</t>
    </r>
    <r>
      <rPr>
        <sz val="11"/>
        <color theme="1"/>
        <rFont val="Calibri"/>
        <family val="2"/>
        <scheme val="minor"/>
      </rPr>
      <t xml:space="preserve"> 
           - Standard (&gt;3 AA peptides)
</t>
    </r>
    <r>
      <rPr>
        <u/>
        <sz val="11"/>
        <color theme="1"/>
        <rFont val="Calibri"/>
        <family val="2"/>
        <scheme val="minor"/>
      </rPr>
      <t>Batch Data Analysis:</t>
    </r>
    <r>
      <rPr>
        <sz val="11"/>
        <color theme="1"/>
        <rFont val="Calibri"/>
        <family val="2"/>
        <scheme val="minor"/>
      </rPr>
      <t xml:space="preserve"> 
           - One species library search
           - Search &amp; annotation agasints a database</t>
    </r>
  </si>
  <si>
    <t>Full panel</t>
  </si>
  <si>
    <r>
      <rPr>
        <u/>
        <sz val="11"/>
        <color theme="1"/>
        <rFont val="Calibri"/>
        <family val="2"/>
        <scheme val="minor"/>
      </rPr>
      <t>Sample Prep:</t>
    </r>
    <r>
      <rPr>
        <sz val="11"/>
        <color theme="1"/>
        <rFont val="Calibri"/>
        <family val="2"/>
        <scheme val="minor"/>
      </rPr>
      <t xml:space="preserve">
           - Simple matrix, no digestion
           - Simple matrix, w/ digestion
</t>
    </r>
    <r>
      <rPr>
        <u/>
        <sz val="11"/>
        <color theme="1"/>
        <rFont val="Calibri"/>
        <family val="2"/>
        <scheme val="minor"/>
      </rPr>
      <t>Peptidomic Analysis:</t>
    </r>
    <r>
      <rPr>
        <sz val="11"/>
        <color theme="1"/>
        <rFont val="Calibri"/>
        <family val="2"/>
        <scheme val="minor"/>
      </rPr>
      <t xml:space="preserve"> 
           - Standard (&gt;3 AA peptides)
           - Di- and Tri- Peptides
           - Free Amino Acids
</t>
    </r>
    <r>
      <rPr>
        <u/>
        <sz val="11"/>
        <color theme="1"/>
        <rFont val="Calibri"/>
        <family val="2"/>
        <scheme val="minor"/>
      </rPr>
      <t>Batch Data Analysis:</t>
    </r>
    <r>
      <rPr>
        <sz val="11"/>
        <color theme="1"/>
        <rFont val="Calibri"/>
        <family val="2"/>
        <scheme val="minor"/>
      </rPr>
      <t xml:space="preserve"> 
           - One species library search
           - Search &amp; annotation agasints a database</t>
    </r>
  </si>
  <si>
    <t>peptidomic profiling</t>
  </si>
  <si>
    <r>
      <rPr>
        <u/>
        <sz val="11"/>
        <color theme="1"/>
        <rFont val="Calibri"/>
        <family val="2"/>
        <scheme val="minor"/>
      </rPr>
      <t xml:space="preserve">Sample Prep:
</t>
    </r>
    <r>
      <rPr>
        <sz val="11"/>
        <color theme="1"/>
        <rFont val="Calibri"/>
        <family val="2"/>
        <scheme val="minor"/>
      </rPr>
      <t xml:space="preserve">           - Simple matrix, no digestion
</t>
    </r>
    <r>
      <rPr>
        <u/>
        <sz val="11"/>
        <color theme="1"/>
        <rFont val="Calibri"/>
        <family val="2"/>
        <scheme val="minor"/>
      </rPr>
      <t xml:space="preserve">Peptidomic Analysis: 
</t>
    </r>
    <r>
      <rPr>
        <sz val="11"/>
        <color theme="1"/>
        <rFont val="Calibri"/>
        <family val="2"/>
        <scheme val="minor"/>
      </rPr>
      <t xml:space="preserve">           - Standard
</t>
    </r>
    <r>
      <rPr>
        <u/>
        <sz val="11"/>
        <color theme="1"/>
        <rFont val="Calibri"/>
        <family val="2"/>
        <scheme val="minor"/>
      </rPr>
      <t xml:space="preserve">Batch Data Analysis: 
</t>
    </r>
    <r>
      <rPr>
        <sz val="11"/>
        <color theme="1"/>
        <rFont val="Calibri"/>
        <family val="2"/>
        <scheme val="minor"/>
      </rPr>
      <t xml:space="preserve">           - One species library search</t>
    </r>
  </si>
  <si>
    <t>proteomics</t>
  </si>
  <si>
    <t>Techinical Report</t>
  </si>
  <si>
    <t>Publication</t>
  </si>
  <si>
    <t>Individual Analaysis and Add-Ons</t>
  </si>
  <si>
    <t>turn around is 4 weeks</t>
  </si>
  <si>
    <t>Cost per Sample</t>
  </si>
  <si>
    <t>Serivce</t>
  </si>
  <si>
    <t>1-5</t>
  </si>
  <si>
    <t>6-20</t>
  </si>
  <si>
    <t>20+</t>
  </si>
  <si>
    <t>Sample prep</t>
  </si>
  <si>
    <t>simple matrix, digestion</t>
  </si>
  <si>
    <t>complex matrix, digestion</t>
  </si>
  <si>
    <r>
      <rPr>
        <sz val="11"/>
        <rFont val="Calibri"/>
        <family val="2"/>
        <scheme val="minor"/>
      </rPr>
      <t xml:space="preserve">simple matrix, </t>
    </r>
    <r>
      <rPr>
        <strike/>
        <sz val="11"/>
        <rFont val="Calibri"/>
        <family val="2"/>
        <scheme val="minor"/>
      </rPr>
      <t>digestion</t>
    </r>
  </si>
  <si>
    <r>
      <t xml:space="preserve">complex matrix, </t>
    </r>
    <r>
      <rPr>
        <strike/>
        <sz val="11"/>
        <rFont val="Calibri"/>
        <family val="2"/>
        <scheme val="minor"/>
      </rPr>
      <t>digestion</t>
    </r>
  </si>
  <si>
    <t>Peptidomic analysis</t>
  </si>
  <si>
    <t>Standard (oligiopeptide + ploypeptides)</t>
  </si>
  <si>
    <t>di- &amp; tri-peptides</t>
  </si>
  <si>
    <t>https://pmc.ncbi.nlm.nih.gov/articles/PMC8465603/#sec4-ijms-22-09979</t>
  </si>
  <si>
    <t>Free amino acids</t>
  </si>
  <si>
    <t>https://pubmed.ncbi.nlm.nih.gov/27099181/</t>
  </si>
  <si>
    <t>method development</t>
  </si>
  <si>
    <t>$150 an hours</t>
  </si>
  <si>
    <t>Proteomic analysis</t>
  </si>
  <si>
    <t>Data Processing Services</t>
  </si>
  <si>
    <t>Hourly rates:</t>
  </si>
  <si>
    <t>Data Analysis</t>
  </si>
  <si>
    <t>Batch Processing Rates</t>
  </si>
  <si>
    <t>species library search</t>
  </si>
  <si>
    <t>$250/species</t>
  </si>
  <si>
    <t>funcational search &amp; annotation</t>
  </si>
  <si>
    <t>$150/database</t>
  </si>
  <si>
    <t>Profesional Writing Services</t>
  </si>
  <si>
    <t>Number of Variables</t>
  </si>
  <si>
    <t>standard not included</t>
  </si>
  <si>
    <t>Product form : Mixture Product name : METABOLOMICS AMINO ACID MIX STANDARD Product code : MSK-A2-S</t>
  </si>
  <si>
    <t>Description</t>
  </si>
  <si>
    <t>Quantity (Hour)</t>
  </si>
  <si>
    <t>Unit Price</t>
  </si>
  <si>
    <t>Amount</t>
  </si>
  <si>
    <t>Instrument time</t>
  </si>
  <si>
    <t>Technician time *</t>
  </si>
  <si>
    <t>Standards</t>
  </si>
  <si>
    <t>Sample Prep</t>
  </si>
  <si>
    <t>Quote Total</t>
  </si>
  <si>
    <t>hours/samples</t>
  </si>
  <si>
    <t>rate</t>
  </si>
  <si>
    <t>Sample preparation:</t>
  </si>
  <si>
    <t>LC-MS analysis:</t>
  </si>
  <si>
    <t>Data processing</t>
  </si>
  <si>
    <t>total</t>
  </si>
  <si>
    <t>Here is the estimated cost of di- and tri- peptide analysis for 12 samples.</t>
  </si>
  <si>
    <t xml:space="preserve">Suggested Price </t>
  </si>
  <si>
    <t>Free Amino Acids</t>
  </si>
  <si>
    <t>Gel Elctrophorsis</t>
  </si>
  <si>
    <t>POR</t>
  </si>
  <si>
    <t>100/hr</t>
  </si>
  <si>
    <t>In the table,  labor hours of peptide analysis included the running time of Proteome Discoverer. If the program running time is not included in labor hours, peptidomic profiling hours can be the same as proteomics profiling.  </t>
  </si>
  <si>
    <t>Labor hours don't include data interpretation, figure/table generation and report writing.</t>
  </si>
  <si>
    <t>small batch ~(1-5) reps</t>
  </si>
  <si>
    <t>med. batch ~ (6-10) reps</t>
  </si>
  <si>
    <t>large batch  ~(20+) reps</t>
  </si>
  <si>
    <t>Proteomic Profiling</t>
  </si>
  <si>
    <t>4 hours (0.5 work day)</t>
  </si>
  <si>
    <t>8 hours (1 work day)</t>
  </si>
  <si>
    <t>12 hours (1.5 work days)</t>
  </si>
  <si>
    <t>(DDA, Proteome Discoverer, Label-free quantitation)</t>
  </si>
  <si>
    <t>(DDA, Proteome Discoverer, TMT-labeled quantitation)</t>
  </si>
  <si>
    <t>Targeted Protein Analysis</t>
  </si>
  <si>
    <t>16 hours (2 work days)</t>
  </si>
  <si>
    <t>24 hours (3 work days)</t>
  </si>
  <si>
    <t>(MRM or PRM, Skyline, Absolute quantitation)</t>
  </si>
  <si>
    <t>Peptidomic Profiling</t>
  </si>
  <si>
    <t>40 hours (5 work days)</t>
  </si>
  <si>
    <t>(DDA, Proteome Discoverer, One Species Library, Label-free quantitation)</t>
  </si>
  <si>
    <t>(DDA, Proteome Discoverer, One Species Library, TMT-labeled quantitation)</t>
  </si>
  <si>
    <t>Analysis of Di- &amp; Tri- Peptides</t>
  </si>
  <si>
    <t>Data Acquisition</t>
  </si>
  <si>
    <t>2 hours</t>
  </si>
  <si>
    <t>4 hours</t>
  </si>
  <si>
    <t>8 hours</t>
  </si>
  <si>
    <t>(DDA, Xcaliber, chromotographic processing)</t>
  </si>
  <si>
    <t>Staff Position</t>
  </si>
  <si>
    <t>Salary Rate</t>
  </si>
  <si>
    <t>OPE Rate</t>
  </si>
  <si>
    <t>Monthly Salary</t>
  </si>
  <si>
    <t>Monthly Salary+OPE Total</t>
  </si>
  <si>
    <t>FTE</t>
  </si>
  <si>
    <t>Hourly cost</t>
  </si>
  <si>
    <t>20% Profit</t>
  </si>
  <si>
    <t>Dave Dallas - Associate Professor</t>
  </si>
  <si>
    <t>Dave Dallas - MFC Administrator</t>
  </si>
  <si>
    <t>TOTAL DAVE</t>
  </si>
  <si>
    <t>Research Associate</t>
  </si>
  <si>
    <t>Post Doctoral Scholar</t>
  </si>
  <si>
    <t>Lab Manager</t>
  </si>
  <si>
    <t>Faculty Research Associate</t>
  </si>
  <si>
    <t>Sponsor a Grad Student</t>
  </si>
  <si>
    <t xml:space="preserve"> </t>
  </si>
  <si>
    <t>academic year</t>
  </si>
  <si>
    <t>0.49?</t>
  </si>
  <si>
    <t>summer</t>
  </si>
  <si>
    <t>8.3%?</t>
  </si>
  <si>
    <t>Salary
Base</t>
  </si>
  <si>
    <t>Monthly
Salary</t>
  </si>
  <si>
    <t>Months
Salary</t>
  </si>
  <si>
    <t>Fringe</t>
  </si>
  <si>
    <t>Grad. Student (AY)</t>
  </si>
  <si>
    <t>x</t>
  </si>
  <si>
    <t>TBN, Grad. Student (Sum)</t>
  </si>
  <si>
    <t>Sponsor an Undergrad Student</t>
  </si>
  <si>
    <t>Hourly Salary</t>
  </si>
  <si>
    <t>depends on hours worked</t>
  </si>
  <si>
    <t>.025?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</si>
</sst>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4" formatCode="_(&quot;$&quot;* #,##0.00_);_(&quot;$&quot;* \(#,##0.00\);_(&quot;$&quot;* &quot;-&quot;??_);_(@_)"/>
    <numFmt numFmtId="164" formatCode="&quot;$&quot;#,##0"/>
    <numFmt numFmtId="165" formatCode="_(&quot;$&quot;* #,##0_);_(&quot;$&quot;* \(#,##0\);_(&quot;$&quot;* &quot;-&quot;??_);_(@_)"/>
    <numFmt numFmtId="166" formatCode="_([$$-409]* #,##0.00_);_([$$-409]* \(#,##0.00\);_([$$-409]* &quot;-&quot;??_);_(@_)"/>
    <numFmt numFmtId="167" formatCode="_([$$-409]* #,##0_);_([$$-409]* \(#,##0\);_([$$-409]* &quot;-&quot;??_);_(@_)"/>
    <numFmt numFmtId="168" formatCode="&quot;$&quot;#,##0.00"/>
  </numFmts>
  <fonts count="17">
    <font>
      <sz val="11"/>
      <color theme="1"/>
      <name val="Calibri"/>
      <family val="2"/>
      <scheme val="minor"/>
    </font>
    <font>
      <u/>
      <sz val="11"/>
      <color theme="10"/>
      <name val="Calibri"/>
      <family val="2"/>
      <scheme val="minor"/>
    </font>
    <font>
      <sz val="12"/>
      <color rgb="FF000000"/>
      <name val="Aptos"/>
      <family val="2"/>
    </font>
    <font>
      <sz val="14"/>
      <color theme="1"/>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sz val="11"/>
      <name val="Calibri"/>
      <family val="2"/>
      <scheme val="minor"/>
    </font>
    <font>
      <strike/>
      <sz val="11"/>
      <name val="Calibri"/>
      <family val="2"/>
      <scheme val="minor"/>
    </font>
    <font>
      <u/>
      <sz val="11"/>
      <color theme="1"/>
      <name val="Calibri"/>
      <family val="2"/>
      <scheme val="minor"/>
    </font>
    <font>
      <b/>
      <u/>
      <sz val="11"/>
      <color theme="10"/>
      <name val="Calibri"/>
      <family val="2"/>
      <scheme val="minor"/>
    </font>
    <font>
      <sz val="11"/>
      <color rgb="FF000000"/>
      <name val="Calibri"/>
      <family val="2"/>
    </font>
    <font>
      <sz val="11"/>
      <color rgb="FF242424"/>
      <name val="Segoe UI"/>
      <family val="2"/>
    </font>
    <font>
      <sz val="11"/>
      <color rgb="FF000000"/>
      <name val="맑은 고딕"/>
      <family val="3"/>
      <charset val="1"/>
    </font>
    <font>
      <b/>
      <sz val="11"/>
      <color rgb="FFFF0000"/>
      <name val="Arial"/>
      <family val="2"/>
    </font>
    <font>
      <b/>
      <sz val="11"/>
      <name val="Arial"/>
      <family val="2"/>
    </font>
    <font>
      <sz val="11"/>
      <name val="Arial"/>
      <family val="2"/>
    </font>
  </fonts>
  <fills count="6">
    <fill>
      <patternFill patternType="none"/>
    </fill>
    <fill>
      <patternFill patternType="gray125"/>
    </fill>
    <fill>
      <patternFill patternType="solid">
        <fgColor rgb="FFFFFFFF"/>
        <bgColor indexed="64"/>
      </patternFill>
    </fill>
    <fill>
      <patternFill patternType="solid">
        <fgColor theme="7" tint="0.79998168889431442"/>
        <bgColor indexed="64"/>
      </patternFill>
    </fill>
    <fill>
      <patternFill patternType="solid">
        <fgColor rgb="FFFFFF00"/>
        <bgColor rgb="FF000000"/>
      </patternFill>
    </fill>
    <fill>
      <patternFill patternType="solid">
        <fgColor rgb="FF92D050"/>
        <bgColor rgb="FF000000"/>
      </patternFill>
    </fill>
  </fills>
  <borders count="10">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bottom style="medium">
        <color rgb="FF000000"/>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44" fontId="6" fillId="0" borderId="0" applyFont="0" applyFill="0" applyBorder="0" applyAlignment="0" applyProtection="0"/>
  </cellStyleXfs>
  <cellXfs count="86">
    <xf numFmtId="0" fontId="0" fillId="0" borderId="0" xfId="0"/>
    <xf numFmtId="0" fontId="0" fillId="0" borderId="0" xfId="0" applyAlignment="1">
      <alignment wrapText="1"/>
    </xf>
    <xf numFmtId="6" fontId="0" fillId="0" borderId="0" xfId="0" applyNumberFormat="1" applyAlignment="1">
      <alignment wrapText="1"/>
    </xf>
    <xf numFmtId="0" fontId="1" fillId="0" borderId="0" xfId="1" applyAlignment="1"/>
    <xf numFmtId="0" fontId="1" fillId="0" borderId="0" xfId="1"/>
    <xf numFmtId="0" fontId="0" fillId="0" borderId="0" xfId="0" applyAlignment="1">
      <alignment horizontal="right" wrapText="1"/>
    </xf>
    <xf numFmtId="0" fontId="2" fillId="0" borderId="0" xfId="0" applyFont="1"/>
    <xf numFmtId="0" fontId="0" fillId="0" borderId="0" xfId="0" applyAlignment="1">
      <alignment horizontal="left" wrapText="1"/>
    </xf>
    <xf numFmtId="0" fontId="0" fillId="0" borderId="1" xfId="0" applyBorder="1" applyAlignment="1">
      <alignment wrapText="1"/>
    </xf>
    <xf numFmtId="8" fontId="0" fillId="0" borderId="0" xfId="0" applyNumberFormat="1" applyAlignment="1">
      <alignment wrapText="1"/>
    </xf>
    <xf numFmtId="0" fontId="0" fillId="0" borderId="1" xfId="0" applyBorder="1" applyAlignment="1">
      <alignment horizontal="left" wrapText="1"/>
    </xf>
    <xf numFmtId="0" fontId="3" fillId="0" borderId="0" xfId="0" applyFont="1" applyAlignment="1">
      <alignment wrapText="1"/>
    </xf>
    <xf numFmtId="0" fontId="0" fillId="0" borderId="0" xfId="0" applyAlignment="1">
      <alignment vertical="center" wrapText="1"/>
    </xf>
    <xf numFmtId="6" fontId="0" fillId="0" borderId="0" xfId="0" applyNumberFormat="1"/>
    <xf numFmtId="6" fontId="0" fillId="0" borderId="0" xfId="0" applyNumberFormat="1" applyAlignment="1">
      <alignment vertical="center" wrapText="1"/>
    </xf>
    <xf numFmtId="0" fontId="0" fillId="0" borderId="1" xfId="0" applyBorder="1" applyAlignment="1">
      <alignment vertical="center" wrapText="1"/>
    </xf>
    <xf numFmtId="0" fontId="0" fillId="0" borderId="1" xfId="0" applyBorder="1"/>
    <xf numFmtId="0" fontId="4" fillId="0" borderId="2" xfId="0" applyFont="1" applyBorder="1" applyAlignment="1">
      <alignment vertical="center" wrapText="1"/>
    </xf>
    <xf numFmtId="0" fontId="0" fillId="0" borderId="5" xfId="0" applyBorder="1" applyAlignment="1">
      <alignment vertical="center" wrapText="1"/>
    </xf>
    <xf numFmtId="49" fontId="0" fillId="0" borderId="1" xfId="0" applyNumberFormat="1" applyBorder="1"/>
    <xf numFmtId="0" fontId="0" fillId="0" borderId="0" xfId="0" applyAlignment="1">
      <alignment vertical="center"/>
    </xf>
    <xf numFmtId="6" fontId="1" fillId="0" borderId="0" xfId="1" applyNumberFormat="1" applyBorder="1" applyAlignment="1">
      <alignment vertical="center" wrapText="1"/>
    </xf>
    <xf numFmtId="0" fontId="1" fillId="0" borderId="0" xfId="1" applyBorder="1" applyAlignment="1">
      <alignment vertical="center"/>
    </xf>
    <xf numFmtId="6" fontId="5" fillId="0" borderId="0" xfId="1" applyNumberFormat="1" applyFont="1" applyBorder="1" applyAlignment="1">
      <alignment vertical="center" wrapText="1"/>
    </xf>
    <xf numFmtId="0" fontId="0" fillId="0" borderId="0" xfId="0" applyAlignment="1">
      <alignment horizontal="right"/>
    </xf>
    <xf numFmtId="0" fontId="0" fillId="0" borderId="0" xfId="0" applyAlignment="1">
      <alignment horizontal="center"/>
    </xf>
    <xf numFmtId="0" fontId="7" fillId="0" borderId="0" xfId="0" applyFont="1" applyAlignment="1">
      <alignment horizontal="right"/>
    </xf>
    <xf numFmtId="164" fontId="0" fillId="0" borderId="0" xfId="0" applyNumberFormat="1"/>
    <xf numFmtId="164" fontId="0" fillId="0" borderId="0" xfId="0" quotePrefix="1" applyNumberFormat="1" applyAlignment="1">
      <alignment horizontal="center"/>
    </xf>
    <xf numFmtId="0" fontId="4" fillId="0" borderId="1" xfId="0" applyFont="1" applyBorder="1" applyAlignment="1">
      <alignment horizontal="center"/>
    </xf>
    <xf numFmtId="165" fontId="0" fillId="0" borderId="0" xfId="2" applyNumberFormat="1" applyFont="1"/>
    <xf numFmtId="0" fontId="9" fillId="0" borderId="0" xfId="0" applyFont="1" applyAlignment="1">
      <alignment horizontal="right"/>
    </xf>
    <xf numFmtId="0" fontId="0" fillId="0" borderId="7" xfId="0" applyBorder="1"/>
    <xf numFmtId="0" fontId="0" fillId="0" borderId="0" xfId="0" applyAlignment="1">
      <alignment horizontal="center" vertical="center"/>
    </xf>
    <xf numFmtId="0" fontId="0" fillId="0" borderId="0" xfId="0" applyAlignment="1">
      <alignment horizontal="center" vertical="center" wrapText="1"/>
    </xf>
    <xf numFmtId="0" fontId="4" fillId="0" borderId="0" xfId="0" applyFont="1"/>
    <xf numFmtId="0" fontId="10" fillId="0" borderId="0" xfId="1" applyFont="1"/>
    <xf numFmtId="8" fontId="0" fillId="0" borderId="0" xfId="0" applyNumberFormat="1"/>
    <xf numFmtId="0" fontId="5" fillId="0" borderId="0" xfId="0" applyFont="1" applyAlignment="1">
      <alignment vertical="center" wrapText="1"/>
    </xf>
    <xf numFmtId="0" fontId="5" fillId="0" borderId="0" xfId="0" applyFont="1"/>
    <xf numFmtId="44" fontId="0" fillId="0" borderId="0" xfId="2" applyFont="1"/>
    <xf numFmtId="44" fontId="0" fillId="0" borderId="0" xfId="0" applyNumberFormat="1"/>
    <xf numFmtId="1" fontId="0" fillId="0" borderId="0" xfId="0" applyNumberFormat="1"/>
    <xf numFmtId="10" fontId="4" fillId="0" borderId="0" xfId="0" applyNumberFormat="1" applyFont="1" applyAlignment="1">
      <alignment horizontal="center"/>
    </xf>
    <xf numFmtId="10" fontId="0" fillId="0" borderId="0" xfId="0" applyNumberFormat="1"/>
    <xf numFmtId="166" fontId="4" fillId="0" borderId="0" xfId="0" applyNumberFormat="1" applyFont="1"/>
    <xf numFmtId="166" fontId="0" fillId="0" borderId="0" xfId="0" applyNumberFormat="1"/>
    <xf numFmtId="166" fontId="4" fillId="0" borderId="0" xfId="0" applyNumberFormat="1" applyFont="1" applyAlignment="1">
      <alignment horizontal="center"/>
    </xf>
    <xf numFmtId="0" fontId="4" fillId="0" borderId="0" xfId="0" applyFont="1" applyAlignment="1">
      <alignment horizontal="center"/>
    </xf>
    <xf numFmtId="167" fontId="0" fillId="0" borderId="0" xfId="0" applyNumberFormat="1"/>
    <xf numFmtId="0" fontId="11" fillId="2" borderId="0" xfId="0" applyFont="1" applyFill="1" applyAlignment="1">
      <alignment wrapText="1"/>
    </xf>
    <xf numFmtId="0" fontId="12" fillId="2" borderId="0" xfId="0" applyFont="1" applyFill="1"/>
    <xf numFmtId="0" fontId="13" fillId="2" borderId="0" xfId="0" applyFont="1" applyFill="1"/>
    <xf numFmtId="166" fontId="4" fillId="0" borderId="0" xfId="0" applyNumberFormat="1" applyFont="1" applyAlignment="1">
      <alignment horizontal="center" wrapText="1"/>
    </xf>
    <xf numFmtId="0" fontId="0" fillId="3" borderId="0" xfId="0" applyFill="1"/>
    <xf numFmtId="166" fontId="0" fillId="3" borderId="0" xfId="0" applyNumberFormat="1" applyFill="1"/>
    <xf numFmtId="10" fontId="0" fillId="3" borderId="0" xfId="0" applyNumberFormat="1" applyFill="1"/>
    <xf numFmtId="167" fontId="0" fillId="3" borderId="0" xfId="0" applyNumberFormat="1" applyFill="1"/>
    <xf numFmtId="0" fontId="0" fillId="3" borderId="0" xfId="0" applyFill="1" applyAlignment="1">
      <alignment horizontal="right"/>
    </xf>
    <xf numFmtId="168" fontId="4" fillId="0" borderId="0" xfId="0" applyNumberFormat="1" applyFont="1"/>
    <xf numFmtId="168" fontId="4" fillId="3" borderId="0" xfId="0" applyNumberFormat="1" applyFont="1" applyFill="1"/>
    <xf numFmtId="0" fontId="14" fillId="0" borderId="0" xfId="0" applyFont="1" applyAlignment="1">
      <alignment wrapText="1"/>
    </xf>
    <xf numFmtId="0" fontId="15" fillId="4" borderId="0" xfId="0" applyFont="1" applyFill="1"/>
    <xf numFmtId="0" fontId="15" fillId="4" borderId="0" xfId="0" applyFont="1" applyFill="1" applyAlignment="1">
      <alignment wrapText="1"/>
    </xf>
    <xf numFmtId="0" fontId="15" fillId="0" borderId="0" xfId="0" applyFont="1"/>
    <xf numFmtId="0" fontId="16" fillId="5" borderId="8" xfId="0" applyFont="1" applyFill="1" applyBorder="1"/>
    <xf numFmtId="0" fontId="16" fillId="4" borderId="9" xfId="0" applyFont="1" applyFill="1" applyBorder="1"/>
    <xf numFmtId="9" fontId="16" fillId="4" borderId="9" xfId="0" applyNumberFormat="1" applyFont="1" applyFill="1" applyBorder="1"/>
    <xf numFmtId="8" fontId="11" fillId="4" borderId="0" xfId="0" applyNumberFormat="1" applyFont="1" applyFill="1"/>
    <xf numFmtId="8" fontId="16" fillId="0" borderId="0" xfId="0" applyNumberFormat="1" applyFont="1"/>
    <xf numFmtId="10" fontId="11" fillId="0" borderId="0" xfId="0" applyNumberFormat="1" applyFont="1"/>
    <xf numFmtId="0" fontId="16" fillId="5" borderId="9" xfId="0" applyFont="1" applyFill="1" applyBorder="1"/>
    <xf numFmtId="0" fontId="0" fillId="0" borderId="1" xfId="0" applyBorder="1" applyAlignment="1">
      <alignment horizontal="left" wrapText="1"/>
    </xf>
    <xf numFmtId="0" fontId="0" fillId="0" borderId="6" xfId="0" applyBorder="1" applyAlignment="1">
      <alignment horizontal="center"/>
    </xf>
    <xf numFmtId="0" fontId="0" fillId="0" borderId="6" xfId="0" applyBorder="1" applyAlignment="1">
      <alignment horizontal="center" wrapText="1"/>
    </xf>
    <xf numFmtId="6" fontId="0" fillId="0" borderId="1" xfId="0" applyNumberFormat="1" applyBorder="1" applyAlignment="1">
      <alignment horizontal="center" vertical="center" wrapText="1"/>
    </xf>
    <xf numFmtId="0" fontId="0" fillId="0" borderId="5" xfId="0" applyBorder="1" applyAlignment="1">
      <alignment horizontal="center" wrapText="1"/>
    </xf>
    <xf numFmtId="6" fontId="4" fillId="0" borderId="3" xfId="0" applyNumberFormat="1" applyFont="1" applyBorder="1" applyAlignment="1">
      <alignment horizontal="center"/>
    </xf>
    <xf numFmtId="6" fontId="4" fillId="0" borderId="4" xfId="0" applyNumberFormat="1" applyFont="1" applyBorder="1" applyAlignment="1">
      <alignment horizontal="center"/>
    </xf>
    <xf numFmtId="0" fontId="0" fillId="0" borderId="5" xfId="0" applyBorder="1" applyAlignment="1">
      <alignment horizontal="center" vertical="center" wrapText="1"/>
    </xf>
    <xf numFmtId="6" fontId="0" fillId="0" borderId="0" xfId="0" applyNumberFormat="1" applyAlignment="1">
      <alignment horizontal="center" vertical="center" wrapText="1"/>
    </xf>
    <xf numFmtId="0" fontId="0" fillId="0" borderId="1" xfId="0" applyBorder="1" applyAlignment="1">
      <alignment horizontal="center"/>
    </xf>
    <xf numFmtId="0" fontId="4" fillId="0" borderId="0" xfId="0" applyFont="1" applyAlignment="1">
      <alignment horizontal="center"/>
    </xf>
    <xf numFmtId="0" fontId="0" fillId="0" borderId="5" xfId="0" applyBorder="1" applyAlignment="1">
      <alignment horizontal="center" vertical="center"/>
    </xf>
    <xf numFmtId="0" fontId="0" fillId="0" borderId="0" xfId="0" applyAlignment="1">
      <alignment vertical="center" wrapText="1"/>
    </xf>
    <xf numFmtId="0" fontId="11" fillId="2" borderId="0" xfId="0" applyFont="1" applyFill="1" applyAlignment="1">
      <alignment horizontal="center" wrapText="1"/>
    </xf>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Branson, Jennifer" id="{A7ED6D53-E85C-4B1E-8DE3-01452D632C14}" userId="S::bransonj@oregonstate.edu::dd1d8af7-1496-4b23-a777-3a99f16a835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1" dT="2025-05-14T22:30:29.72" personId="{A7ED6D53-E85C-4B1E-8DE3-01452D632C14}" id="{CFDFA21E-0A04-4513-AE89-45665594577D}">
    <text>for high throughput</text>
  </threadedComment>
  <threadedComment ref="F11" dT="2025-05-14T22:31:31.89" personId="{A7ED6D53-E85C-4B1E-8DE3-01452D632C14}" id="{34F5F7A7-58CF-460C-962C-918D90854589}" parentId="{CFDFA21E-0A04-4513-AE89-45665594577D}">
    <text>separate cost for Proteome Discoverer: $77, $124</text>
  </threadedComment>
</ThreadedComments>
</file>

<file path=xl/threadedComments/threadedComment2.xml><?xml version="1.0" encoding="utf-8"?>
<ThreadedComments xmlns="http://schemas.microsoft.com/office/spreadsheetml/2018/threadedcomments" xmlns:x="http://schemas.openxmlformats.org/spreadsheetml/2006/main">
  <threadedComment ref="A12" dT="2025-05-19T22:27:30.45" personId="{A7ED6D53-E85C-4B1E-8DE3-01452D632C14}" id="{B3437F7A-41D7-473B-AC23-D710E30BC02C}">
    <text>Values are person-dependent; #s here are ballpark</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www.biotech.cornell.edu/core-facilities-brc/price-list/30" TargetMode="External"/><Relationship Id="rId1" Type="http://schemas.openxmlformats.org/officeDocument/2006/relationships/hyperlink" Target="https://www.proteomics.com/services/speciality-proteomics/peptidomics?utm_source=chatgpt.com"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edicine.yale.edu/keck/proteomics/servicesfees/" TargetMode="External"/><Relationship Id="rId7" Type="http://schemas.openxmlformats.org/officeDocument/2006/relationships/vmlDrawing" Target="../drawings/vmlDrawing1.vml"/><Relationship Id="rId2" Type="http://schemas.openxmlformats.org/officeDocument/2006/relationships/hyperlink" Target="https://proteomics.iigb.ucr.edu/services-pricing" TargetMode="External"/><Relationship Id="rId1" Type="http://schemas.openxmlformats.org/officeDocument/2006/relationships/hyperlink" Target="https://medschool.duke.edu/research/research-support/core-facilities-service-centers/find-service-center/proteomics-and-0" TargetMode="External"/><Relationship Id="rId6" Type="http://schemas.openxmlformats.org/officeDocument/2006/relationships/hyperlink" Target="https://pubmed.ncbi.nlm.nih.gov/27099181/" TargetMode="External"/><Relationship Id="rId5" Type="http://schemas.openxmlformats.org/officeDocument/2006/relationships/hyperlink" Target="https://pmc.ncbi.nlm.nih.gov/articles/PMC8465603/" TargetMode="External"/><Relationship Id="rId4" Type="http://schemas.openxmlformats.org/officeDocument/2006/relationships/hyperlink" Target="https://www.ohsu.edu/proteomics-shared-resource/rates" TargetMode="External"/><Relationship Id="rId9"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4"/>
  <sheetViews>
    <sheetView workbookViewId="0">
      <pane ySplit="1" topLeftCell="A29" activePane="bottomLeft" state="frozen"/>
      <selection pane="bottomLeft" activeCell="C39" sqref="C39"/>
    </sheetView>
  </sheetViews>
  <sheetFormatPr defaultRowHeight="15"/>
  <cols>
    <col min="1" max="1" width="32" customWidth="1"/>
    <col min="2" max="2" width="24.85546875" customWidth="1"/>
    <col min="3" max="3" width="16.140625" bestFit="1" customWidth="1"/>
    <col min="4" max="4" width="11.42578125" customWidth="1"/>
    <col min="5" max="5" width="12.28515625" customWidth="1"/>
    <col min="6" max="6" width="27.42578125" customWidth="1"/>
    <col min="7" max="7" width="55.7109375" customWidth="1"/>
    <col min="8" max="8" width="24" customWidth="1"/>
    <col min="9" max="9" width="34.140625" customWidth="1"/>
    <col min="10" max="11" width="17" customWidth="1"/>
  </cols>
  <sheetData>
    <row r="1" spans="1:22" s="1" customFormat="1" ht="54.75" customHeight="1">
      <c r="A1" s="1" t="s">
        <v>0</v>
      </c>
      <c r="B1" s="11" t="s">
        <v>1</v>
      </c>
      <c r="C1" s="6" t="s">
        <v>2</v>
      </c>
      <c r="D1" s="1" t="s">
        <v>3</v>
      </c>
      <c r="E1" s="1" t="s">
        <v>4</v>
      </c>
      <c r="F1" s="1" t="s">
        <v>5</v>
      </c>
      <c r="G1" s="1" t="s">
        <v>6</v>
      </c>
      <c r="H1" s="1" t="s">
        <v>7</v>
      </c>
      <c r="I1" s="1" t="s">
        <v>8</v>
      </c>
      <c r="J1" s="72" t="s">
        <v>9</v>
      </c>
      <c r="K1" s="72"/>
      <c r="L1" s="72"/>
      <c r="M1" s="72"/>
      <c r="N1" s="72"/>
      <c r="O1" s="72"/>
    </row>
    <row r="2" spans="1:22" s="1" customFormat="1" ht="54.75" customHeight="1">
      <c r="A2" s="8" t="s">
        <v>10</v>
      </c>
      <c r="C2" s="6"/>
      <c r="J2" s="7"/>
      <c r="K2" s="7"/>
      <c r="L2" s="7"/>
      <c r="M2" s="7"/>
      <c r="N2" s="7"/>
      <c r="O2" s="7"/>
    </row>
    <row r="3" spans="1:22" s="1" customFormat="1" ht="45">
      <c r="A3" s="5" t="s">
        <v>11</v>
      </c>
      <c r="B3" s="5"/>
      <c r="C3" s="1" t="s">
        <v>12</v>
      </c>
      <c r="D3" s="2">
        <v>100</v>
      </c>
      <c r="E3" s="2">
        <v>150</v>
      </c>
      <c r="F3" s="1" t="s">
        <v>13</v>
      </c>
      <c r="G3" s="1" t="s">
        <v>14</v>
      </c>
      <c r="H3" s="1" t="s">
        <v>15</v>
      </c>
      <c r="I3" s="1" t="s">
        <v>16</v>
      </c>
      <c r="J3" t="s">
        <v>17</v>
      </c>
      <c r="K3"/>
      <c r="L3"/>
      <c r="M3"/>
      <c r="N3"/>
      <c r="O3"/>
      <c r="P3"/>
      <c r="Q3"/>
      <c r="R3"/>
      <c r="S3"/>
      <c r="T3"/>
      <c r="U3"/>
      <c r="V3"/>
    </row>
    <row r="4" spans="1:22" s="1" customFormat="1" ht="45">
      <c r="A4" s="5" t="s">
        <v>18</v>
      </c>
      <c r="B4" s="5"/>
      <c r="C4" s="1" t="s">
        <v>12</v>
      </c>
      <c r="D4" s="2">
        <v>100</v>
      </c>
      <c r="E4" s="2">
        <v>150</v>
      </c>
      <c r="F4" s="1" t="s">
        <v>13</v>
      </c>
      <c r="G4" s="1" t="s">
        <v>19</v>
      </c>
      <c r="H4" s="1" t="s">
        <v>20</v>
      </c>
      <c r="I4" s="1" t="s">
        <v>21</v>
      </c>
      <c r="J4" s="4" t="s">
        <v>22</v>
      </c>
      <c r="K4" s="3" t="s">
        <v>23</v>
      </c>
      <c r="L4" t="s">
        <v>24</v>
      </c>
      <c r="M4" t="s">
        <v>25</v>
      </c>
      <c r="N4"/>
      <c r="O4"/>
      <c r="P4"/>
      <c r="Q4"/>
      <c r="R4"/>
      <c r="S4"/>
      <c r="T4"/>
      <c r="U4"/>
      <c r="V4"/>
    </row>
    <row r="5" spans="1:22" s="1" customFormat="1" ht="30">
      <c r="A5" s="5" t="s">
        <v>26</v>
      </c>
      <c r="B5" s="5"/>
      <c r="C5" s="1" t="s">
        <v>27</v>
      </c>
      <c r="D5" s="2"/>
      <c r="E5" s="2"/>
      <c r="F5" s="1" t="s">
        <v>27</v>
      </c>
      <c r="I5" s="1" t="s">
        <v>21</v>
      </c>
      <c r="J5" s="4" t="s">
        <v>17</v>
      </c>
      <c r="K5" s="3"/>
      <c r="L5"/>
      <c r="M5"/>
      <c r="N5"/>
      <c r="O5"/>
      <c r="P5"/>
      <c r="Q5"/>
      <c r="R5"/>
      <c r="S5"/>
      <c r="T5"/>
      <c r="U5"/>
      <c r="V5"/>
    </row>
    <row r="6" spans="1:22" s="1" customFormat="1" ht="45">
      <c r="A6" s="5" t="s">
        <v>28</v>
      </c>
      <c r="B6" s="5"/>
      <c r="C6" s="1" t="s">
        <v>12</v>
      </c>
      <c r="D6" s="2"/>
      <c r="E6" s="2">
        <v>250</v>
      </c>
      <c r="F6" s="1" t="s">
        <v>29</v>
      </c>
      <c r="G6" s="1" t="s">
        <v>19</v>
      </c>
      <c r="H6" s="1" t="s">
        <v>20</v>
      </c>
      <c r="I6" s="1" t="s">
        <v>21</v>
      </c>
      <c r="J6" s="4" t="s">
        <v>30</v>
      </c>
      <c r="K6" s="3"/>
      <c r="L6"/>
      <c r="M6"/>
      <c r="N6"/>
      <c r="O6"/>
      <c r="P6"/>
      <c r="Q6"/>
      <c r="R6"/>
      <c r="S6"/>
      <c r="T6"/>
      <c r="U6"/>
      <c r="V6"/>
    </row>
    <row r="7" spans="1:22" s="1" customFormat="1">
      <c r="A7" s="8" t="s">
        <v>31</v>
      </c>
    </row>
    <row r="8" spans="1:22" s="1" customFormat="1">
      <c r="A8" s="5" t="s">
        <v>32</v>
      </c>
      <c r="B8" s="5"/>
      <c r="C8" s="5"/>
    </row>
    <row r="9" spans="1:22" s="1" customFormat="1">
      <c r="A9" s="5" t="s">
        <v>33</v>
      </c>
      <c r="B9" s="5"/>
      <c r="C9" s="5" t="s">
        <v>13</v>
      </c>
    </row>
    <row r="10" spans="1:22" s="1" customFormat="1">
      <c r="A10" s="5" t="s">
        <v>34</v>
      </c>
      <c r="B10" s="5"/>
      <c r="C10" s="5"/>
    </row>
    <row r="11" spans="1:22" s="1" customFormat="1"/>
    <row r="12" spans="1:22" s="1" customFormat="1">
      <c r="A12" s="8" t="s">
        <v>35</v>
      </c>
    </row>
    <row r="13" spans="1:22" s="1" customFormat="1">
      <c r="A13" s="5" t="s">
        <v>36</v>
      </c>
      <c r="B13" s="5"/>
      <c r="C13" s="5"/>
    </row>
    <row r="14" spans="1:22" s="1" customFormat="1" ht="30">
      <c r="A14" s="5" t="s">
        <v>37</v>
      </c>
      <c r="B14" s="5"/>
      <c r="C14" s="5" t="s">
        <v>38</v>
      </c>
      <c r="F14" s="1" t="s">
        <v>38</v>
      </c>
    </row>
    <row r="15" spans="1:22" s="1" customFormat="1" ht="120">
      <c r="A15" s="5" t="s">
        <v>39</v>
      </c>
      <c r="B15" s="5" t="s">
        <v>40</v>
      </c>
      <c r="C15" s="5" t="s">
        <v>29</v>
      </c>
      <c r="F15" s="1" t="s">
        <v>41</v>
      </c>
      <c r="G15" s="1" t="s">
        <v>42</v>
      </c>
    </row>
    <row r="16" spans="1:22" s="1" customFormat="1">
      <c r="A16" s="5"/>
      <c r="B16" s="5"/>
      <c r="C16" s="5"/>
    </row>
    <row r="17" spans="1:10" s="1" customFormat="1">
      <c r="A17" s="5"/>
      <c r="B17" s="5"/>
      <c r="C17" s="5"/>
    </row>
    <row r="18" spans="1:10" s="1" customFormat="1">
      <c r="A18" s="8" t="s">
        <v>43</v>
      </c>
      <c r="C18" s="5"/>
    </row>
    <row r="19" spans="1:10" s="1" customFormat="1">
      <c r="A19" s="5" t="s">
        <v>44</v>
      </c>
      <c r="B19" s="5"/>
      <c r="D19" s="9"/>
      <c r="F19" s="1" t="s">
        <v>27</v>
      </c>
    </row>
    <row r="20" spans="1:10" s="1" customFormat="1">
      <c r="A20" s="5" t="s">
        <v>45</v>
      </c>
      <c r="B20" s="5"/>
      <c r="C20" s="5"/>
      <c r="D20" s="9"/>
      <c r="E20" s="2">
        <v>100</v>
      </c>
      <c r="F20" s="1" t="s">
        <v>27</v>
      </c>
    </row>
    <row r="21" spans="1:10" s="1" customFormat="1">
      <c r="A21" s="5" t="s">
        <v>46</v>
      </c>
      <c r="B21" s="5"/>
      <c r="C21" s="1" t="s">
        <v>27</v>
      </c>
      <c r="D21" s="9"/>
      <c r="F21" s="1" t="s">
        <v>27</v>
      </c>
    </row>
    <row r="22" spans="1:10" s="1" customFormat="1">
      <c r="A22" s="5" t="s">
        <v>47</v>
      </c>
      <c r="B22" s="5"/>
      <c r="C22" s="1" t="s">
        <v>27</v>
      </c>
      <c r="D22" s="9"/>
      <c r="F22" s="1" t="s">
        <v>27</v>
      </c>
    </row>
    <row r="23" spans="1:10" s="1" customFormat="1">
      <c r="A23" s="5" t="s">
        <v>48</v>
      </c>
      <c r="B23" s="5"/>
      <c r="C23" s="5"/>
      <c r="D23" s="9" t="s">
        <v>49</v>
      </c>
    </row>
    <row r="24" spans="1:10" s="1" customFormat="1">
      <c r="A24" s="5"/>
      <c r="B24" s="5"/>
      <c r="C24" s="5"/>
    </row>
    <row r="25" spans="1:10" s="1" customFormat="1">
      <c r="A25" s="8" t="s">
        <v>50</v>
      </c>
      <c r="C25" s="5"/>
    </row>
    <row r="26" spans="1:10" s="1" customFormat="1">
      <c r="A26" s="5" t="s">
        <v>51</v>
      </c>
      <c r="B26" s="5"/>
    </row>
    <row r="27" spans="1:10" s="1" customFormat="1">
      <c r="A27" s="5" t="s">
        <v>48</v>
      </c>
      <c r="B27" s="5"/>
      <c r="C27" s="5"/>
      <c r="E27" s="2">
        <v>100</v>
      </c>
    </row>
    <row r="28" spans="1:10" s="1" customFormat="1">
      <c r="A28" s="5" t="s">
        <v>52</v>
      </c>
      <c r="B28" s="5"/>
      <c r="C28" s="5"/>
    </row>
    <row r="29" spans="1:10" s="1" customFormat="1" ht="107.25" customHeight="1">
      <c r="A29" s="5" t="s">
        <v>53</v>
      </c>
      <c r="B29" s="5"/>
      <c r="C29" s="5" t="s">
        <v>29</v>
      </c>
      <c r="F29" s="1" t="s">
        <v>29</v>
      </c>
      <c r="G29" s="1" t="s">
        <v>54</v>
      </c>
      <c r="H29" s="1" t="s">
        <v>55</v>
      </c>
      <c r="I29" s="1" t="s">
        <v>56</v>
      </c>
      <c r="J29" s="1" t="s">
        <v>57</v>
      </c>
    </row>
    <row r="30" spans="1:10" s="1" customFormat="1">
      <c r="C30" s="5"/>
    </row>
    <row r="31" spans="1:10" s="1" customFormat="1">
      <c r="A31" s="10" t="s">
        <v>58</v>
      </c>
      <c r="B31" s="7"/>
      <c r="C31" s="5"/>
    </row>
    <row r="32" spans="1:10" s="1" customFormat="1" ht="66.75" customHeight="1">
      <c r="A32" s="5" t="s">
        <v>59</v>
      </c>
      <c r="B32" s="5" t="s">
        <v>60</v>
      </c>
      <c r="C32" s="1" t="s">
        <v>29</v>
      </c>
      <c r="D32" s="1" t="s">
        <v>57</v>
      </c>
      <c r="F32" s="1" t="s">
        <v>61</v>
      </c>
      <c r="G32" s="1" t="s">
        <v>62</v>
      </c>
      <c r="H32" s="1" t="s">
        <v>63</v>
      </c>
      <c r="I32" s="1" t="s">
        <v>64</v>
      </c>
      <c r="J32" s="1" t="s">
        <v>57</v>
      </c>
    </row>
    <row r="33" spans="1:10" s="1" customFormat="1" ht="75">
      <c r="A33" s="5" t="s">
        <v>65</v>
      </c>
      <c r="B33" s="5" t="s">
        <v>29</v>
      </c>
      <c r="C33" s="1" t="s">
        <v>29</v>
      </c>
      <c r="D33" s="1" t="s">
        <v>57</v>
      </c>
      <c r="F33" s="1" t="s">
        <v>66</v>
      </c>
      <c r="G33" s="1" t="s">
        <v>67</v>
      </c>
      <c r="H33" s="1" t="s">
        <v>68</v>
      </c>
      <c r="I33" s="1" t="s">
        <v>69</v>
      </c>
      <c r="J33" s="1" t="s">
        <v>70</v>
      </c>
    </row>
    <row r="34" spans="1:10" s="1" customFormat="1" ht="90">
      <c r="A34" s="5" t="s">
        <v>71</v>
      </c>
      <c r="B34" s="5" t="s">
        <v>29</v>
      </c>
      <c r="C34" s="1" t="s">
        <v>29</v>
      </c>
      <c r="D34" s="1" t="s">
        <v>57</v>
      </c>
      <c r="F34" s="1" t="s">
        <v>72</v>
      </c>
      <c r="G34" s="1" t="s">
        <v>73</v>
      </c>
      <c r="H34" s="1" t="s">
        <v>68</v>
      </c>
      <c r="I34" s="1" t="s">
        <v>69</v>
      </c>
      <c r="J34" s="1" t="s">
        <v>74</v>
      </c>
    </row>
    <row r="35" spans="1:10" s="1" customFormat="1">
      <c r="A35" s="8" t="s">
        <v>75</v>
      </c>
    </row>
    <row r="36" spans="1:10" s="1" customFormat="1" ht="45">
      <c r="A36" s="5" t="s">
        <v>76</v>
      </c>
      <c r="B36" s="5" t="s">
        <v>60</v>
      </c>
      <c r="C36" s="5" t="s">
        <v>77</v>
      </c>
      <c r="D36" s="1" t="s">
        <v>78</v>
      </c>
      <c r="E36" s="1" t="s">
        <v>79</v>
      </c>
      <c r="F36" s="1" t="s">
        <v>80</v>
      </c>
      <c r="G36" s="1" t="s">
        <v>81</v>
      </c>
      <c r="H36" s="1" t="s">
        <v>82</v>
      </c>
      <c r="I36" s="1" t="s">
        <v>83</v>
      </c>
      <c r="J36" s="1" t="s">
        <v>84</v>
      </c>
    </row>
    <row r="37" spans="1:10" s="1" customFormat="1" ht="30">
      <c r="A37" s="5" t="s">
        <v>85</v>
      </c>
      <c r="B37" s="5" t="s">
        <v>60</v>
      </c>
      <c r="C37" s="5" t="s">
        <v>77</v>
      </c>
      <c r="D37" s="1" t="s">
        <v>86</v>
      </c>
      <c r="E37" s="1" t="s">
        <v>79</v>
      </c>
      <c r="F37" s="1" t="s">
        <v>80</v>
      </c>
      <c r="G37" s="1" t="s">
        <v>87</v>
      </c>
      <c r="H37" s="1" t="s">
        <v>82</v>
      </c>
      <c r="I37" s="1" t="s">
        <v>83</v>
      </c>
      <c r="J37" s="1" t="s">
        <v>84</v>
      </c>
    </row>
    <row r="38" spans="1:10" s="1" customFormat="1">
      <c r="A38" s="5" t="s">
        <v>88</v>
      </c>
      <c r="B38" s="5" t="s">
        <v>89</v>
      </c>
      <c r="C38" s="5"/>
    </row>
    <row r="39" spans="1:10" s="1" customFormat="1">
      <c r="A39" s="5"/>
      <c r="B39" s="5"/>
      <c r="C39" s="5"/>
    </row>
    <row r="40" spans="1:10" s="1" customFormat="1">
      <c r="A40" s="5"/>
      <c r="B40" s="5"/>
      <c r="C40" s="5"/>
    </row>
    <row r="41" spans="1:10" s="1" customFormat="1">
      <c r="A41" s="5"/>
      <c r="B41" s="5"/>
      <c r="C41" s="5"/>
    </row>
    <row r="42" spans="1:10" s="1" customFormat="1"/>
    <row r="43" spans="1:10" s="1" customFormat="1"/>
    <row r="44" spans="1:10" s="1" customFormat="1"/>
  </sheetData>
  <mergeCells count="1">
    <mergeCell ref="J1:O1"/>
  </mergeCells>
  <hyperlinks>
    <hyperlink ref="K4" r:id="rId1" xr:uid="{DEDE1ACB-BD91-499F-B465-63E576539968}"/>
    <hyperlink ref="J4" r:id="rId2" display="https://www.biotech.cornell.edu/core-facilities-brc/price-list/30" xr:uid="{BC515485-6E2C-4EB6-8796-F1389397FF2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82D3A-CB20-4AC8-91FF-7A1D4D293BAC}">
  <dimension ref="A1:AT69"/>
  <sheetViews>
    <sheetView tabSelected="1" topLeftCell="X25" zoomScale="175" zoomScaleNormal="175" workbookViewId="0">
      <selection activeCell="Y9" sqref="Y9"/>
    </sheetView>
  </sheetViews>
  <sheetFormatPr defaultRowHeight="15"/>
  <cols>
    <col min="1" max="1" width="18.5703125" customWidth="1"/>
    <col min="2" max="2" width="9.28515625" customWidth="1"/>
    <col min="3" max="3" width="9.140625" customWidth="1"/>
    <col min="9" max="9" width="5.85546875" customWidth="1"/>
    <col min="11" max="11" width="7.140625" customWidth="1"/>
    <col min="12" max="12" width="8.85546875" customWidth="1"/>
    <col min="13" max="13" width="8" bestFit="1" customWidth="1"/>
    <col min="25" max="25" width="62.42578125" customWidth="1"/>
    <col min="26" max="26" width="49.28515625" customWidth="1"/>
    <col min="27" max="45" width="10.28515625" customWidth="1"/>
    <col min="46" max="46" width="14.85546875" customWidth="1"/>
  </cols>
  <sheetData>
    <row r="1" spans="1:20" ht="45" customHeight="1">
      <c r="A1" s="18" t="s">
        <v>90</v>
      </c>
      <c r="B1" s="79" t="s">
        <v>91</v>
      </c>
      <c r="C1" s="79"/>
      <c r="D1" s="79" t="s">
        <v>92</v>
      </c>
      <c r="E1" s="79"/>
      <c r="F1" s="79" t="s">
        <v>93</v>
      </c>
      <c r="G1" s="79"/>
      <c r="H1" s="79" t="s">
        <v>94</v>
      </c>
      <c r="I1" s="79"/>
      <c r="J1" s="76" t="s">
        <v>95</v>
      </c>
      <c r="K1" s="76"/>
      <c r="L1" s="76"/>
      <c r="M1" s="73" t="s">
        <v>96</v>
      </c>
      <c r="N1" s="73"/>
      <c r="O1" s="73" t="s">
        <v>97</v>
      </c>
      <c r="P1" s="73"/>
      <c r="Q1" s="74" t="s">
        <v>98</v>
      </c>
      <c r="R1" s="74"/>
      <c r="S1" s="74" t="s">
        <v>99</v>
      </c>
      <c r="T1" s="74"/>
    </row>
    <row r="2" spans="1:20" ht="30">
      <c r="A2" s="12"/>
      <c r="B2" s="12" t="s">
        <v>100</v>
      </c>
      <c r="C2" s="12" t="s">
        <v>101</v>
      </c>
      <c r="D2" s="12" t="s">
        <v>100</v>
      </c>
      <c r="E2" s="12" t="s">
        <v>101</v>
      </c>
      <c r="F2" s="12" t="s">
        <v>100</v>
      </c>
      <c r="G2" s="12" t="s">
        <v>101</v>
      </c>
      <c r="H2" s="12" t="s">
        <v>100</v>
      </c>
      <c r="I2" s="12" t="s">
        <v>101</v>
      </c>
      <c r="J2" s="12" t="s">
        <v>100</v>
      </c>
      <c r="K2" s="12" t="s">
        <v>101</v>
      </c>
      <c r="M2" t="s">
        <v>100</v>
      </c>
      <c r="N2" t="s">
        <v>101</v>
      </c>
      <c r="O2" t="s">
        <v>100</v>
      </c>
      <c r="P2" t="s">
        <v>101</v>
      </c>
      <c r="Q2" t="s">
        <v>100</v>
      </c>
      <c r="R2" t="s">
        <v>101</v>
      </c>
      <c r="S2" t="s">
        <v>100</v>
      </c>
      <c r="T2" t="s">
        <v>101</v>
      </c>
    </row>
    <row r="3" spans="1:20">
      <c r="A3" s="12" t="s">
        <v>102</v>
      </c>
      <c r="B3" s="14">
        <v>30</v>
      </c>
      <c r="C3" s="14">
        <v>45</v>
      </c>
      <c r="D3" s="14">
        <v>110</v>
      </c>
      <c r="E3" s="14">
        <v>165</v>
      </c>
      <c r="F3" s="14">
        <v>110</v>
      </c>
      <c r="G3" s="14">
        <v>165</v>
      </c>
      <c r="H3" s="14">
        <v>100</v>
      </c>
      <c r="I3" s="14">
        <v>150</v>
      </c>
      <c r="K3" s="14"/>
    </row>
    <row r="4" spans="1:20">
      <c r="A4" s="12" t="s">
        <v>103</v>
      </c>
      <c r="B4" s="14">
        <v>72</v>
      </c>
      <c r="C4" s="12"/>
      <c r="D4" s="14">
        <v>130</v>
      </c>
      <c r="E4" s="12"/>
      <c r="F4" s="14">
        <v>130</v>
      </c>
      <c r="G4" s="12"/>
      <c r="H4" s="14">
        <v>75</v>
      </c>
      <c r="I4" s="12"/>
    </row>
    <row r="5" spans="1:20">
      <c r="A5" s="12" t="s">
        <v>104</v>
      </c>
      <c r="B5" s="14">
        <v>142</v>
      </c>
      <c r="C5" s="14">
        <v>283</v>
      </c>
      <c r="D5" s="14">
        <v>177</v>
      </c>
      <c r="E5" s="14">
        <v>354</v>
      </c>
      <c r="F5" s="14">
        <v>177</v>
      </c>
      <c r="G5" s="14">
        <v>354</v>
      </c>
      <c r="H5" s="12"/>
      <c r="I5" s="12"/>
    </row>
    <row r="6" spans="1:20">
      <c r="A6" s="12" t="s">
        <v>105</v>
      </c>
      <c r="B6" s="12"/>
      <c r="C6" s="12"/>
      <c r="D6" s="14">
        <v>200</v>
      </c>
      <c r="E6" s="12"/>
      <c r="F6" s="14">
        <v>200</v>
      </c>
      <c r="G6" s="12"/>
      <c r="H6" s="12"/>
      <c r="I6" s="12"/>
      <c r="J6">
        <v>157</v>
      </c>
    </row>
    <row r="7" spans="1:20">
      <c r="A7" s="12" t="s">
        <v>106</v>
      </c>
      <c r="B7" s="12"/>
      <c r="C7" s="12"/>
      <c r="D7" s="14"/>
      <c r="E7" s="12"/>
      <c r="F7" s="14"/>
      <c r="G7" s="12"/>
      <c r="H7" s="12"/>
      <c r="I7" s="12"/>
      <c r="J7">
        <v>100</v>
      </c>
      <c r="K7">
        <v>165</v>
      </c>
      <c r="L7">
        <v>250</v>
      </c>
    </row>
    <row r="8" spans="1:20" ht="30">
      <c r="A8" s="12" t="s">
        <v>107</v>
      </c>
      <c r="B8" s="12">
        <v>66</v>
      </c>
      <c r="C8" s="12"/>
      <c r="D8" s="14"/>
      <c r="E8" s="12"/>
      <c r="F8" s="14">
        <v>200</v>
      </c>
      <c r="G8" s="12"/>
      <c r="H8" s="12">
        <v>100</v>
      </c>
      <c r="I8" s="12"/>
      <c r="J8">
        <f>250*0.66</f>
        <v>165</v>
      </c>
    </row>
    <row r="9" spans="1:20">
      <c r="A9" s="20" t="s">
        <v>108</v>
      </c>
      <c r="B9" s="12"/>
      <c r="C9" s="12"/>
      <c r="D9" s="14"/>
      <c r="E9" s="12"/>
      <c r="F9" s="14"/>
      <c r="G9" s="14"/>
      <c r="H9" s="12"/>
      <c r="I9" s="12"/>
      <c r="M9">
        <v>180</v>
      </c>
      <c r="N9">
        <v>350</v>
      </c>
    </row>
    <row r="10" spans="1:20">
      <c r="A10" s="20" t="s">
        <v>109</v>
      </c>
      <c r="B10" s="12"/>
      <c r="C10" s="12"/>
      <c r="D10" s="14"/>
      <c r="E10" s="12"/>
      <c r="F10" s="14"/>
      <c r="G10" s="21"/>
      <c r="H10" s="12">
        <v>87.31</v>
      </c>
      <c r="I10" s="12">
        <v>109.14</v>
      </c>
      <c r="O10">
        <v>110.25</v>
      </c>
      <c r="P10">
        <v>137.81</v>
      </c>
    </row>
    <row r="11" spans="1:20">
      <c r="A11" s="22" t="s">
        <v>110</v>
      </c>
      <c r="B11" s="12">
        <f>63+47</f>
        <v>110</v>
      </c>
      <c r="C11" s="12">
        <f>101+76</f>
        <v>177</v>
      </c>
      <c r="D11" s="14"/>
      <c r="E11" s="12"/>
      <c r="F11" s="14">
        <v>109</v>
      </c>
      <c r="G11" s="23">
        <v>175</v>
      </c>
      <c r="H11" s="12">
        <v>77</v>
      </c>
      <c r="I11" s="12">
        <v>124</v>
      </c>
      <c r="Q11">
        <v>66</v>
      </c>
      <c r="R11">
        <v>106</v>
      </c>
    </row>
    <row r="12" spans="1:20">
      <c r="A12" s="22" t="s">
        <v>111</v>
      </c>
      <c r="B12" s="12">
        <f>60+60</f>
        <v>120</v>
      </c>
      <c r="C12" s="12">
        <f>139.5+139.5</f>
        <v>279</v>
      </c>
      <c r="D12" s="14"/>
      <c r="E12" s="12"/>
      <c r="F12" s="14"/>
      <c r="G12" s="23"/>
      <c r="H12" s="12">
        <v>81</v>
      </c>
      <c r="I12" s="12">
        <v>251.1</v>
      </c>
      <c r="O12">
        <v>60</v>
      </c>
      <c r="P12">
        <v>139.5</v>
      </c>
      <c r="S12">
        <v>240</v>
      </c>
      <c r="T12">
        <v>558</v>
      </c>
    </row>
    <row r="13" spans="1:20">
      <c r="A13" s="22" t="s">
        <v>112</v>
      </c>
      <c r="B13" s="12">
        <v>53</v>
      </c>
      <c r="C13" s="12">
        <v>76</v>
      </c>
      <c r="D13" s="14"/>
      <c r="E13" s="12"/>
      <c r="F13" s="14">
        <v>115</v>
      </c>
      <c r="G13" s="23">
        <v>162</v>
      </c>
      <c r="H13" s="12">
        <v>75</v>
      </c>
      <c r="I13" s="12">
        <v>263</v>
      </c>
      <c r="O13">
        <v>303</v>
      </c>
      <c r="P13">
        <v>439</v>
      </c>
    </row>
    <row r="14" spans="1:20">
      <c r="A14" s="22" t="s">
        <v>113</v>
      </c>
      <c r="B14" s="12"/>
      <c r="C14" s="12">
        <v>150</v>
      </c>
      <c r="D14" s="14"/>
      <c r="E14" s="12"/>
      <c r="F14" s="14"/>
      <c r="G14" s="23">
        <v>300</v>
      </c>
      <c r="H14" s="12"/>
      <c r="I14" s="12">
        <v>80</v>
      </c>
      <c r="N14">
        <v>80</v>
      </c>
    </row>
    <row r="15" spans="1:20" ht="30">
      <c r="A15" s="12" t="s">
        <v>114</v>
      </c>
      <c r="B15" s="14">
        <f>AVERAGE(B3:B14)</f>
        <v>84.714285714285708</v>
      </c>
      <c r="C15" s="14">
        <f t="shared" ref="C15:T15" si="0">AVERAGE(C3:C14)</f>
        <v>168.33333333333334</v>
      </c>
      <c r="D15" s="14">
        <f t="shared" si="0"/>
        <v>154.25</v>
      </c>
      <c r="E15" s="14">
        <f t="shared" si="0"/>
        <v>259.5</v>
      </c>
      <c r="F15" s="14">
        <f t="shared" si="0"/>
        <v>148.71428571428572</v>
      </c>
      <c r="G15" s="14">
        <f t="shared" si="0"/>
        <v>231.2</v>
      </c>
      <c r="H15" s="14">
        <f t="shared" si="0"/>
        <v>85.044285714285706</v>
      </c>
      <c r="I15" s="14">
        <f t="shared" si="0"/>
        <v>162.87333333333333</v>
      </c>
      <c r="J15" s="14">
        <f t="shared" si="0"/>
        <v>140.66666666666666</v>
      </c>
      <c r="K15" s="14">
        <f t="shared" si="0"/>
        <v>165</v>
      </c>
      <c r="L15" s="14">
        <f t="shared" si="0"/>
        <v>250</v>
      </c>
      <c r="M15" s="14">
        <f t="shared" si="0"/>
        <v>180</v>
      </c>
      <c r="N15" s="14">
        <f t="shared" si="0"/>
        <v>215</v>
      </c>
      <c r="O15" s="14">
        <f t="shared" si="0"/>
        <v>157.75</v>
      </c>
      <c r="P15" s="14">
        <f t="shared" si="0"/>
        <v>238.76999999999998</v>
      </c>
      <c r="Q15" s="14">
        <f t="shared" si="0"/>
        <v>66</v>
      </c>
      <c r="R15" s="14">
        <f t="shared" si="0"/>
        <v>106</v>
      </c>
      <c r="S15" s="14">
        <f t="shared" si="0"/>
        <v>240</v>
      </c>
      <c r="T15" s="14">
        <f t="shared" si="0"/>
        <v>558</v>
      </c>
    </row>
    <row r="16" spans="1:20">
      <c r="A16" s="15" t="s">
        <v>115</v>
      </c>
      <c r="B16" s="75">
        <f>AVERAGE(B15:C15)</f>
        <v>126.52380952380952</v>
      </c>
      <c r="C16" s="75"/>
      <c r="D16" s="75">
        <f>AVERAGE(D15:E15)</f>
        <v>206.875</v>
      </c>
      <c r="E16" s="75"/>
      <c r="F16" s="75">
        <f>AVERAGE(F15:G15)</f>
        <v>189.95714285714286</v>
      </c>
      <c r="G16" s="75"/>
      <c r="H16" s="75">
        <f>AVERAGE(H15:I15)</f>
        <v>123.95880952380952</v>
      </c>
      <c r="I16" s="75"/>
      <c r="J16" s="75">
        <f>AVERAGE(J15:L15)</f>
        <v>185.2222222222222</v>
      </c>
      <c r="K16" s="75"/>
      <c r="L16" s="16"/>
      <c r="M16" s="75">
        <f>AVERAGE(M15:N15)</f>
        <v>197.5</v>
      </c>
      <c r="N16" s="75"/>
      <c r="O16" s="75">
        <f t="shared" ref="O16" si="1">AVERAGE(O15:P15)</f>
        <v>198.26</v>
      </c>
      <c r="P16" s="75"/>
      <c r="Q16" s="75">
        <f t="shared" ref="Q16" si="2">AVERAGE(Q15:R15)</f>
        <v>86</v>
      </c>
      <c r="R16" s="75"/>
      <c r="S16" s="75">
        <f t="shared" ref="S16" si="3">AVERAGE(S15:T15)</f>
        <v>399</v>
      </c>
      <c r="T16" s="75"/>
    </row>
    <row r="17" spans="1:46" ht="30">
      <c r="A17" s="12" t="s">
        <v>116</v>
      </c>
      <c r="B17" s="80">
        <f>B16*1.2</f>
        <v>151.82857142857142</v>
      </c>
      <c r="C17" s="80"/>
      <c r="D17" s="80">
        <f t="shared" ref="D17" si="4">D16*1.2</f>
        <v>248.25</v>
      </c>
      <c r="E17" s="80"/>
      <c r="F17" s="80">
        <f t="shared" ref="F17" si="5">F16*1.2</f>
        <v>227.94857142857143</v>
      </c>
      <c r="G17" s="80"/>
      <c r="H17" s="80">
        <f t="shared" ref="H17" si="6">H16*1.2</f>
        <v>148.75057142857142</v>
      </c>
      <c r="I17" s="80"/>
      <c r="J17" s="80">
        <f t="shared" ref="J17" si="7">J16*1.2</f>
        <v>222.26666666666662</v>
      </c>
      <c r="K17" s="80"/>
      <c r="M17" s="80">
        <f t="shared" ref="M17" si="8">M16*1.2</f>
        <v>237</v>
      </c>
      <c r="N17" s="80"/>
      <c r="O17" s="80">
        <f t="shared" ref="O17" si="9">O16*1.2</f>
        <v>237.91199999999998</v>
      </c>
      <c r="P17" s="80"/>
      <c r="Q17" s="80">
        <f t="shared" ref="Q17" si="10">Q16*1.2</f>
        <v>103.2</v>
      </c>
      <c r="R17" s="80"/>
      <c r="S17" s="80">
        <f t="shared" ref="S17" si="11">S16*1.2</f>
        <v>478.79999999999995</v>
      </c>
      <c r="T17" s="80"/>
    </row>
    <row r="18" spans="1:46">
      <c r="A18" s="17" t="s">
        <v>117</v>
      </c>
      <c r="B18" s="77">
        <v>150</v>
      </c>
      <c r="C18" s="77"/>
      <c r="D18" s="77">
        <v>250</v>
      </c>
      <c r="E18" s="77"/>
      <c r="F18" s="77">
        <v>250</v>
      </c>
      <c r="G18" s="77"/>
      <c r="H18" s="77">
        <v>150</v>
      </c>
      <c r="I18" s="77"/>
      <c r="J18" s="77">
        <v>225</v>
      </c>
      <c r="K18" s="77"/>
      <c r="L18" s="78"/>
    </row>
    <row r="21" spans="1:46">
      <c r="F21" s="13"/>
    </row>
    <row r="24" spans="1:46">
      <c r="G24" s="84"/>
      <c r="H24" s="84"/>
      <c r="I24" s="84"/>
      <c r="J24" s="84"/>
      <c r="K24" s="84"/>
      <c r="L24" s="84"/>
      <c r="M24" s="84"/>
      <c r="N24" s="84"/>
    </row>
    <row r="25" spans="1:46">
      <c r="Z25" t="s">
        <v>118</v>
      </c>
      <c r="AA25" s="25">
        <v>1</v>
      </c>
      <c r="AB25" s="25">
        <v>2</v>
      </c>
      <c r="AC25" s="25">
        <v>3</v>
      </c>
      <c r="AD25" s="25">
        <v>4</v>
      </c>
      <c r="AE25" s="25">
        <v>5</v>
      </c>
      <c r="AF25" s="25">
        <v>6</v>
      </c>
      <c r="AG25" s="25">
        <v>7</v>
      </c>
      <c r="AH25" s="25">
        <v>8</v>
      </c>
      <c r="AI25" s="25">
        <v>9</v>
      </c>
      <c r="AJ25" s="25">
        <v>10</v>
      </c>
      <c r="AK25" s="25">
        <v>11</v>
      </c>
      <c r="AL25" s="25">
        <v>12</v>
      </c>
      <c r="AM25" s="25">
        <v>13</v>
      </c>
      <c r="AN25" s="25">
        <v>14</v>
      </c>
      <c r="AO25" s="25">
        <v>15</v>
      </c>
      <c r="AP25" s="25">
        <v>16</v>
      </c>
      <c r="AQ25" s="25">
        <v>17</v>
      </c>
      <c r="AR25" s="25">
        <v>18</v>
      </c>
      <c r="AS25" s="25">
        <v>19</v>
      </c>
      <c r="AT25" s="25">
        <v>20</v>
      </c>
    </row>
    <row r="26" spans="1:46">
      <c r="Y26" s="16" t="s">
        <v>119</v>
      </c>
      <c r="Z26" s="16" t="s">
        <v>120</v>
      </c>
      <c r="AA26" s="19"/>
      <c r="AB26" s="19"/>
      <c r="AC26" s="19"/>
    </row>
    <row r="27" spans="1:46" ht="108.75" customHeight="1">
      <c r="Y27" s="33" t="s">
        <v>121</v>
      </c>
      <c r="Z27" s="1" t="s">
        <v>122</v>
      </c>
      <c r="AA27" s="30">
        <f t="shared" ref="AA27:AT27" si="12">(100+250)*AA25+250+150</f>
        <v>750</v>
      </c>
      <c r="AB27" s="30">
        <f t="shared" si="12"/>
        <v>1100</v>
      </c>
      <c r="AC27" s="30">
        <f t="shared" si="12"/>
        <v>1450</v>
      </c>
      <c r="AD27" s="30">
        <f t="shared" si="12"/>
        <v>1800</v>
      </c>
      <c r="AE27" s="30">
        <f t="shared" si="12"/>
        <v>2150</v>
      </c>
      <c r="AF27" s="30">
        <f t="shared" si="12"/>
        <v>2500</v>
      </c>
      <c r="AG27" s="30">
        <f t="shared" si="12"/>
        <v>2850</v>
      </c>
      <c r="AH27" s="30">
        <f t="shared" si="12"/>
        <v>3200</v>
      </c>
      <c r="AI27" s="30">
        <f t="shared" si="12"/>
        <v>3550</v>
      </c>
      <c r="AJ27" s="30">
        <f t="shared" si="12"/>
        <v>3900</v>
      </c>
      <c r="AK27" s="30">
        <f t="shared" si="12"/>
        <v>4250</v>
      </c>
      <c r="AL27" s="30">
        <f t="shared" si="12"/>
        <v>4600</v>
      </c>
      <c r="AM27" s="30">
        <f t="shared" si="12"/>
        <v>4950</v>
      </c>
      <c r="AN27" s="30">
        <f t="shared" si="12"/>
        <v>5300</v>
      </c>
      <c r="AO27" s="30">
        <f t="shared" si="12"/>
        <v>5650</v>
      </c>
      <c r="AP27" s="30">
        <f t="shared" si="12"/>
        <v>6000</v>
      </c>
      <c r="AQ27" s="30">
        <f t="shared" si="12"/>
        <v>6350</v>
      </c>
      <c r="AR27" s="30">
        <f t="shared" si="12"/>
        <v>6700</v>
      </c>
      <c r="AS27" s="30">
        <f t="shared" si="12"/>
        <v>7050</v>
      </c>
      <c r="AT27" s="30">
        <f t="shared" si="12"/>
        <v>7400</v>
      </c>
    </row>
    <row r="28" spans="1:46" ht="153.75" customHeight="1">
      <c r="Y28" s="34" t="s">
        <v>123</v>
      </c>
      <c r="Z28" s="1" t="s">
        <v>124</v>
      </c>
      <c r="AA28" s="30">
        <f t="shared" ref="AA28:AT28" si="13">AA27+AA30+($Z$46+$Z$47)*$AA25</f>
        <v>1875</v>
      </c>
      <c r="AB28" s="30">
        <f t="shared" si="13"/>
        <v>2625</v>
      </c>
      <c r="AC28" s="30">
        <f t="shared" si="13"/>
        <v>3375</v>
      </c>
      <c r="AD28" s="30">
        <f t="shared" si="13"/>
        <v>4125</v>
      </c>
      <c r="AE28" s="30">
        <f t="shared" si="13"/>
        <v>4875</v>
      </c>
      <c r="AF28" s="30">
        <f t="shared" si="13"/>
        <v>5625</v>
      </c>
      <c r="AG28" s="30">
        <f t="shared" si="13"/>
        <v>6375</v>
      </c>
      <c r="AH28" s="30">
        <f t="shared" si="13"/>
        <v>7125</v>
      </c>
      <c r="AI28" s="30">
        <f t="shared" si="13"/>
        <v>7875</v>
      </c>
      <c r="AJ28" s="30">
        <f t="shared" si="13"/>
        <v>8625</v>
      </c>
      <c r="AK28" s="30">
        <f t="shared" si="13"/>
        <v>9375</v>
      </c>
      <c r="AL28" s="30">
        <f t="shared" si="13"/>
        <v>10125</v>
      </c>
      <c r="AM28" s="30">
        <f t="shared" si="13"/>
        <v>10875</v>
      </c>
      <c r="AN28" s="30">
        <f t="shared" si="13"/>
        <v>11625</v>
      </c>
      <c r="AO28" s="30">
        <f t="shared" si="13"/>
        <v>12375</v>
      </c>
      <c r="AP28" s="30">
        <f t="shared" si="13"/>
        <v>13125</v>
      </c>
      <c r="AQ28" s="30">
        <f t="shared" si="13"/>
        <v>13875</v>
      </c>
      <c r="AR28" s="30">
        <f t="shared" si="13"/>
        <v>14625</v>
      </c>
      <c r="AS28" s="30">
        <f t="shared" si="13"/>
        <v>15375</v>
      </c>
      <c r="AT28" s="30">
        <f t="shared" si="13"/>
        <v>16125</v>
      </c>
    </row>
    <row r="29" spans="1:46" ht="93.75" customHeight="1">
      <c r="Y29" s="33" t="s">
        <v>125</v>
      </c>
      <c r="Z29" s="1" t="s">
        <v>126</v>
      </c>
      <c r="AA29" s="30">
        <f>(100+250)*AA$25+250</f>
        <v>600</v>
      </c>
      <c r="AB29" s="30">
        <f t="shared" ref="AB29:AT29" si="14">(100+250)*AB$25+250</f>
        <v>950</v>
      </c>
      <c r="AC29" s="30">
        <f t="shared" si="14"/>
        <v>1300</v>
      </c>
      <c r="AD29" s="30">
        <f t="shared" si="14"/>
        <v>1650</v>
      </c>
      <c r="AE29" s="30">
        <f t="shared" si="14"/>
        <v>2000</v>
      </c>
      <c r="AF29" s="30">
        <f t="shared" si="14"/>
        <v>2350</v>
      </c>
      <c r="AG29" s="30">
        <f t="shared" si="14"/>
        <v>2700</v>
      </c>
      <c r="AH29" s="30">
        <f t="shared" si="14"/>
        <v>3050</v>
      </c>
      <c r="AI29" s="30">
        <f t="shared" si="14"/>
        <v>3400</v>
      </c>
      <c r="AJ29" s="30">
        <f t="shared" si="14"/>
        <v>3750</v>
      </c>
      <c r="AK29" s="30">
        <f t="shared" si="14"/>
        <v>4100</v>
      </c>
      <c r="AL29" s="30">
        <f t="shared" si="14"/>
        <v>4450</v>
      </c>
      <c r="AM29" s="30">
        <f t="shared" si="14"/>
        <v>4800</v>
      </c>
      <c r="AN29" s="30">
        <f t="shared" si="14"/>
        <v>5150</v>
      </c>
      <c r="AO29" s="30">
        <f t="shared" si="14"/>
        <v>5500</v>
      </c>
      <c r="AP29" s="30">
        <f t="shared" si="14"/>
        <v>5850</v>
      </c>
      <c r="AQ29" s="30">
        <f t="shared" si="14"/>
        <v>6200</v>
      </c>
      <c r="AR29" s="30">
        <f t="shared" si="14"/>
        <v>6550</v>
      </c>
      <c r="AS29" s="30">
        <f t="shared" si="14"/>
        <v>6900</v>
      </c>
      <c r="AT29" s="30">
        <f t="shared" si="14"/>
        <v>7250</v>
      </c>
    </row>
    <row r="30" spans="1:46" ht="90.75" customHeight="1">
      <c r="Y30" s="33" t="s">
        <v>127</v>
      </c>
      <c r="Z30" s="1" t="s">
        <v>126</v>
      </c>
      <c r="AA30" s="30">
        <f>(150+250)*AA$25+250</f>
        <v>650</v>
      </c>
      <c r="AB30" s="30">
        <f t="shared" ref="AB30:AT30" si="15">(150+250)*AB$25+250</f>
        <v>1050</v>
      </c>
      <c r="AC30" s="30">
        <f t="shared" si="15"/>
        <v>1450</v>
      </c>
      <c r="AD30" s="30">
        <f t="shared" si="15"/>
        <v>1850</v>
      </c>
      <c r="AE30" s="30">
        <f t="shared" si="15"/>
        <v>2250</v>
      </c>
      <c r="AF30" s="30">
        <f t="shared" si="15"/>
        <v>2650</v>
      </c>
      <c r="AG30" s="30">
        <f t="shared" si="15"/>
        <v>3050</v>
      </c>
      <c r="AH30" s="30">
        <f t="shared" si="15"/>
        <v>3450</v>
      </c>
      <c r="AI30" s="30">
        <f t="shared" si="15"/>
        <v>3850</v>
      </c>
      <c r="AJ30" s="30">
        <f t="shared" si="15"/>
        <v>4250</v>
      </c>
      <c r="AK30" s="30">
        <f t="shared" si="15"/>
        <v>4650</v>
      </c>
      <c r="AL30" s="30">
        <f t="shared" si="15"/>
        <v>5050</v>
      </c>
      <c r="AM30" s="30">
        <f t="shared" si="15"/>
        <v>5450</v>
      </c>
      <c r="AN30" s="30">
        <f t="shared" si="15"/>
        <v>5850</v>
      </c>
      <c r="AO30" s="30">
        <f t="shared" si="15"/>
        <v>6250</v>
      </c>
      <c r="AP30" s="30">
        <f t="shared" si="15"/>
        <v>6650</v>
      </c>
      <c r="AQ30" s="30">
        <f t="shared" si="15"/>
        <v>7050</v>
      </c>
      <c r="AR30" s="30">
        <f t="shared" si="15"/>
        <v>7450</v>
      </c>
      <c r="AS30" s="30">
        <f t="shared" si="15"/>
        <v>7850</v>
      </c>
      <c r="AT30" s="30">
        <f t="shared" si="15"/>
        <v>8250</v>
      </c>
    </row>
    <row r="31" spans="1:46" ht="90.75" customHeight="1">
      <c r="Y31" s="33" t="s">
        <v>128</v>
      </c>
      <c r="Z31" s="1"/>
      <c r="AA31" s="30"/>
      <c r="AB31" s="30"/>
      <c r="AC31" s="30"/>
      <c r="AD31" s="30"/>
      <c r="AE31" s="30"/>
      <c r="AF31" s="30"/>
      <c r="AG31" s="30"/>
      <c r="AH31" s="30"/>
      <c r="AI31" s="30"/>
      <c r="AJ31" s="30"/>
      <c r="AK31" s="30"/>
      <c r="AL31" s="30"/>
      <c r="AM31" s="30"/>
      <c r="AN31" s="30"/>
      <c r="AO31" s="30"/>
      <c r="AP31" s="30"/>
      <c r="AQ31" s="30"/>
      <c r="AR31" s="30"/>
      <c r="AS31" s="30"/>
      <c r="AT31" s="30"/>
    </row>
    <row r="32" spans="1:46">
      <c r="Y32" s="33" t="s">
        <v>129</v>
      </c>
    </row>
    <row r="34" spans="25:30" ht="15.75" thickBot="1">
      <c r="Y34" s="83" t="s">
        <v>130</v>
      </c>
      <c r="Z34" s="83"/>
      <c r="AA34" s="83"/>
      <c r="AB34" s="83"/>
      <c r="AD34" t="s">
        <v>131</v>
      </c>
    </row>
    <row r="35" spans="25:30">
      <c r="Z35" s="82" t="s">
        <v>132</v>
      </c>
      <c r="AA35" s="82"/>
      <c r="AB35" s="82"/>
    </row>
    <row r="36" spans="25:30">
      <c r="Z36" s="81" t="s">
        <v>118</v>
      </c>
      <c r="AA36" s="81"/>
      <c r="AB36" s="81"/>
    </row>
    <row r="37" spans="25:30">
      <c r="Y37" s="29" t="s">
        <v>133</v>
      </c>
      <c r="Z37" s="19" t="s">
        <v>134</v>
      </c>
      <c r="AA37" s="19" t="s">
        <v>135</v>
      </c>
      <c r="AB37" s="19" t="s">
        <v>136</v>
      </c>
    </row>
    <row r="38" spans="25:30">
      <c r="Y38" s="32" t="s">
        <v>137</v>
      </c>
      <c r="Z38" s="28"/>
      <c r="AA38" s="27"/>
      <c r="AB38" s="27"/>
    </row>
    <row r="39" spans="25:30">
      <c r="Y39" s="24" t="s">
        <v>138</v>
      </c>
      <c r="Z39" s="27">
        <v>150</v>
      </c>
      <c r="AA39" s="27">
        <v>50</v>
      </c>
      <c r="AB39" s="27">
        <v>25</v>
      </c>
    </row>
    <row r="40" spans="25:30">
      <c r="Y40" s="24" t="s">
        <v>139</v>
      </c>
      <c r="Z40" s="27">
        <f>Z39*1.5</f>
        <v>225</v>
      </c>
      <c r="AA40" s="27">
        <f>AA39*1.5</f>
        <v>75</v>
      </c>
      <c r="AB40" s="27">
        <f>AB39*1.5</f>
        <v>37.5</v>
      </c>
    </row>
    <row r="41" spans="25:30">
      <c r="Y41" s="26" t="s">
        <v>140</v>
      </c>
      <c r="Z41" s="27">
        <f>Z39/1.5</f>
        <v>100</v>
      </c>
      <c r="AA41" s="27">
        <f>AA39/1.5</f>
        <v>33.333333333333336</v>
      </c>
      <c r="AB41" s="27">
        <f>AB39/1.5</f>
        <v>16.666666666666668</v>
      </c>
    </row>
    <row r="42" spans="25:30">
      <c r="Y42" s="24" t="s">
        <v>141</v>
      </c>
      <c r="Z42" s="27">
        <v>150</v>
      </c>
      <c r="AA42" s="27">
        <v>50</v>
      </c>
      <c r="AB42" s="27">
        <v>25</v>
      </c>
    </row>
    <row r="43" spans="25:30">
      <c r="Z43" s="27"/>
      <c r="AA43" s="27"/>
      <c r="AB43" s="27"/>
    </row>
    <row r="44" spans="25:30">
      <c r="Y44" s="16" t="s">
        <v>142</v>
      </c>
    </row>
    <row r="45" spans="25:30">
      <c r="Y45" s="24" t="s">
        <v>143</v>
      </c>
      <c r="Z45" s="27">
        <v>250</v>
      </c>
      <c r="AA45" s="27">
        <v>150</v>
      </c>
      <c r="AB45" s="27">
        <v>100</v>
      </c>
    </row>
    <row r="46" spans="25:30">
      <c r="Y46" s="24" t="s">
        <v>144</v>
      </c>
      <c r="Z46" s="27">
        <v>250</v>
      </c>
      <c r="AA46" s="27">
        <v>150</v>
      </c>
      <c r="AB46" s="27">
        <v>100</v>
      </c>
      <c r="AC46" s="36" t="s">
        <v>145</v>
      </c>
    </row>
    <row r="47" spans="25:30">
      <c r="Y47" s="24" t="s">
        <v>146</v>
      </c>
      <c r="Z47" s="27">
        <v>225</v>
      </c>
      <c r="AA47" s="27">
        <v>150</v>
      </c>
      <c r="AB47" s="27">
        <v>100</v>
      </c>
      <c r="AC47" s="4" t="s">
        <v>147</v>
      </c>
    </row>
    <row r="48" spans="25:30">
      <c r="Y48" s="24" t="s">
        <v>148</v>
      </c>
      <c r="Z48" s="27" t="s">
        <v>149</v>
      </c>
      <c r="AA48" s="27"/>
      <c r="AB48" s="27"/>
    </row>
    <row r="49" spans="25:29">
      <c r="Y49" s="16" t="s">
        <v>150</v>
      </c>
      <c r="Z49" s="27">
        <v>250</v>
      </c>
      <c r="AA49" s="27">
        <v>150</v>
      </c>
      <c r="AB49" s="27">
        <v>100</v>
      </c>
    </row>
    <row r="50" spans="25:29">
      <c r="Y50" s="24" t="s">
        <v>148</v>
      </c>
      <c r="Z50" s="27" t="s">
        <v>149</v>
      </c>
      <c r="AA50" s="27"/>
      <c r="AB50" s="27"/>
    </row>
    <row r="52" spans="25:29">
      <c r="Y52" s="16" t="s">
        <v>151</v>
      </c>
      <c r="AA52" s="27"/>
      <c r="AB52" s="27"/>
    </row>
    <row r="53" spans="25:29">
      <c r="Y53" s="31" t="s">
        <v>152</v>
      </c>
      <c r="AA53" s="27"/>
      <c r="AB53" s="27"/>
    </row>
    <row r="54" spans="25:29">
      <c r="Y54" s="24" t="s">
        <v>153</v>
      </c>
      <c r="Z54" s="27" t="s">
        <v>149</v>
      </c>
      <c r="AA54" s="27"/>
      <c r="AB54" s="27"/>
    </row>
    <row r="55" spans="25:29">
      <c r="Y55" s="31" t="s">
        <v>154</v>
      </c>
      <c r="AA55" s="27"/>
      <c r="AB55" s="27"/>
    </row>
    <row r="56" spans="25:29">
      <c r="Y56" s="24" t="s">
        <v>155</v>
      </c>
      <c r="Z56" s="27" t="s">
        <v>156</v>
      </c>
      <c r="AA56" s="27"/>
      <c r="AB56" s="27"/>
    </row>
    <row r="57" spans="25:29">
      <c r="Y57" s="24" t="s">
        <v>157</v>
      </c>
      <c r="Z57" s="27" t="s">
        <v>158</v>
      </c>
      <c r="AA57" s="27"/>
      <c r="AB57" s="27"/>
      <c r="AC57" s="35"/>
    </row>
    <row r="59" spans="25:29">
      <c r="Y59" s="16" t="s">
        <v>159</v>
      </c>
    </row>
    <row r="60" spans="25:29">
      <c r="Y60" s="31" t="s">
        <v>152</v>
      </c>
    </row>
    <row r="61" spans="25:29">
      <c r="Y61" s="24" t="s">
        <v>153</v>
      </c>
      <c r="Z61" s="27" t="s">
        <v>149</v>
      </c>
    </row>
    <row r="62" spans="25:29">
      <c r="Y62" s="31" t="s">
        <v>154</v>
      </c>
      <c r="Z62" t="s">
        <v>160</v>
      </c>
    </row>
    <row r="63" spans="25:29">
      <c r="Y63" s="24" t="s">
        <v>155</v>
      </c>
      <c r="Z63" s="27" t="s">
        <v>156</v>
      </c>
    </row>
    <row r="64" spans="25:29">
      <c r="Y64" s="24" t="s">
        <v>157</v>
      </c>
      <c r="Z64" s="27" t="s">
        <v>158</v>
      </c>
    </row>
    <row r="69" spans="30:30">
      <c r="AD69">
        <v>0</v>
      </c>
    </row>
  </sheetData>
  <mergeCells count="39">
    <mergeCell ref="M17:N17"/>
    <mergeCell ref="J17:K17"/>
    <mergeCell ref="F18:G18"/>
    <mergeCell ref="H18:I18"/>
    <mergeCell ref="Z36:AB36"/>
    <mergeCell ref="F17:G17"/>
    <mergeCell ref="H17:I17"/>
    <mergeCell ref="Z35:AB35"/>
    <mergeCell ref="Y34:AB34"/>
    <mergeCell ref="G24:H24"/>
    <mergeCell ref="I24:J24"/>
    <mergeCell ref="K24:L24"/>
    <mergeCell ref="M24:N24"/>
    <mergeCell ref="O17:P17"/>
    <mergeCell ref="Q17:R17"/>
    <mergeCell ref="S17:T17"/>
    <mergeCell ref="J1:L1"/>
    <mergeCell ref="J18:L18"/>
    <mergeCell ref="B1:C1"/>
    <mergeCell ref="D1:E1"/>
    <mergeCell ref="F1:G1"/>
    <mergeCell ref="H1:I1"/>
    <mergeCell ref="B16:C16"/>
    <mergeCell ref="D16:E16"/>
    <mergeCell ref="F16:G16"/>
    <mergeCell ref="H16:I16"/>
    <mergeCell ref="B18:C18"/>
    <mergeCell ref="D18:E18"/>
    <mergeCell ref="J16:K16"/>
    <mergeCell ref="B17:C17"/>
    <mergeCell ref="D17:E17"/>
    <mergeCell ref="M1:N1"/>
    <mergeCell ref="O1:P1"/>
    <mergeCell ref="Q1:R1"/>
    <mergeCell ref="S1:T1"/>
    <mergeCell ref="M16:N16"/>
    <mergeCell ref="O16:P16"/>
    <mergeCell ref="Q16:R16"/>
    <mergeCell ref="S16:T16"/>
  </mergeCells>
  <hyperlinks>
    <hyperlink ref="A11" r:id="rId1" xr:uid="{0E931A9D-D16A-4A7E-8132-7EE4A0AF0ECC}"/>
    <hyperlink ref="A12" r:id="rId2" xr:uid="{AE07E3D7-47A1-456C-8DF2-A3AE6E7769EA}"/>
    <hyperlink ref="A13" r:id="rId3" xr:uid="{E9A73C91-E67B-4535-B2DE-F1372FD09EB6}"/>
    <hyperlink ref="A14" r:id="rId4" xr:uid="{5048B75B-59BD-4C4F-99C3-5B526704F164}"/>
    <hyperlink ref="AC46" r:id="rId5" location="sec4-ijms-22-09979" tooltip="https://pmc.ncbi.nlm.nih.gov/articles/pmc8465603/#sec4-ijms-22-09979" display="https://pmc.ncbi.nlm.nih.gov/articles/PMC8465603/ - sec4-ijms-22-09979" xr:uid="{8323B84B-3043-488B-892E-CA189481DE5E}"/>
    <hyperlink ref="AC47" r:id="rId6" tooltip="https://pubmed.ncbi.nlm.nih.gov/27099181/" xr:uid="{31C88595-DF02-425E-8549-1F2B0054206C}"/>
  </hyperlinks>
  <pageMargins left="0.7" right="0.7" top="0.75" bottom="0.75" header="0.3" footer="0.3"/>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C3AEE-BC2F-40DA-B632-56698C39E32F}">
  <dimension ref="A2:E11"/>
  <sheetViews>
    <sheetView workbookViewId="0">
      <selection activeCell="A4" sqref="A4:D11"/>
    </sheetView>
  </sheetViews>
  <sheetFormatPr defaultRowHeight="15"/>
  <cols>
    <col min="1" max="1" width="15.28515625" customWidth="1"/>
    <col min="4" max="4" width="10.5703125" bestFit="1" customWidth="1"/>
  </cols>
  <sheetData>
    <row r="2" spans="1:5">
      <c r="A2" t="s">
        <v>161</v>
      </c>
    </row>
    <row r="3" spans="1:5">
      <c r="A3" t="s">
        <v>162</v>
      </c>
    </row>
    <row r="4" spans="1:5">
      <c r="A4" t="s">
        <v>163</v>
      </c>
      <c r="B4" t="s">
        <v>164</v>
      </c>
      <c r="C4" t="s">
        <v>165</v>
      </c>
      <c r="D4" t="s">
        <v>166</v>
      </c>
    </row>
    <row r="5" spans="1:5">
      <c r="A5" t="s">
        <v>167</v>
      </c>
      <c r="B5">
        <v>15.5</v>
      </c>
      <c r="C5" s="13">
        <v>44</v>
      </c>
      <c r="D5" s="37">
        <v>682</v>
      </c>
    </row>
    <row r="6" spans="1:5">
      <c r="A6" t="s">
        <v>168</v>
      </c>
      <c r="B6">
        <v>5</v>
      </c>
      <c r="C6" s="13">
        <v>121</v>
      </c>
      <c r="D6" s="37">
        <v>605</v>
      </c>
    </row>
    <row r="7" spans="1:5">
      <c r="A7" t="s">
        <v>169</v>
      </c>
      <c r="B7">
        <v>1</v>
      </c>
      <c r="C7" s="13">
        <v>900</v>
      </c>
      <c r="D7" s="13">
        <f>C7*B7</f>
        <v>900</v>
      </c>
    </row>
    <row r="9" spans="1:5">
      <c r="A9" t="s">
        <v>170</v>
      </c>
      <c r="B9">
        <v>5</v>
      </c>
      <c r="C9" s="13">
        <v>100</v>
      </c>
      <c r="D9" s="13">
        <f>C9*B9</f>
        <v>500</v>
      </c>
    </row>
    <row r="11" spans="1:5">
      <c r="A11" t="s">
        <v>171</v>
      </c>
      <c r="D11" s="40">
        <f>SUM(D5:D9)</f>
        <v>2687</v>
      </c>
      <c r="E11"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868C5-5F72-4BBD-B091-F5EA9F6234D6}">
  <dimension ref="A3:F18"/>
  <sheetViews>
    <sheetView workbookViewId="0">
      <selection activeCell="F18" sqref="F18"/>
    </sheetView>
  </sheetViews>
  <sheetFormatPr defaultRowHeight="15"/>
  <cols>
    <col min="1" max="1" width="19.28515625" customWidth="1"/>
    <col min="4" max="4" width="10.5703125" customWidth="1"/>
    <col min="5" max="5" width="10.5703125" bestFit="1" customWidth="1"/>
  </cols>
  <sheetData>
    <row r="3" spans="1:5">
      <c r="B3" t="s">
        <v>172</v>
      </c>
      <c r="C3" t="s">
        <v>173</v>
      </c>
    </row>
    <row r="4" spans="1:5">
      <c r="A4" s="38" t="s">
        <v>174</v>
      </c>
      <c r="B4" s="42">
        <v>5</v>
      </c>
      <c r="C4" s="13">
        <v>100</v>
      </c>
      <c r="D4" s="40">
        <f>C4*B4</f>
        <v>500</v>
      </c>
    </row>
    <row r="5" spans="1:5">
      <c r="A5" s="38" t="s">
        <v>175</v>
      </c>
      <c r="B5">
        <v>12</v>
      </c>
      <c r="C5" s="13">
        <f>D5/B5</f>
        <v>132</v>
      </c>
      <c r="D5" s="13">
        <v>1584</v>
      </c>
    </row>
    <row r="6" spans="1:5">
      <c r="A6" s="38" t="s">
        <v>176</v>
      </c>
      <c r="B6">
        <v>8</v>
      </c>
      <c r="C6" s="13">
        <v>100</v>
      </c>
      <c r="D6" s="13">
        <f>C6*B6</f>
        <v>800</v>
      </c>
    </row>
    <row r="7" spans="1:5">
      <c r="A7" s="38" t="s">
        <v>177</v>
      </c>
      <c r="D7" s="41">
        <f>SUM(D4:D6)</f>
        <v>2884</v>
      </c>
      <c r="E7" s="41">
        <f>D7*1.25</f>
        <v>3605</v>
      </c>
    </row>
    <row r="8" spans="1:5">
      <c r="C8" s="13"/>
      <c r="D8" s="13"/>
    </row>
    <row r="10" spans="1:5">
      <c r="D10" s="40"/>
    </row>
    <row r="18" spans="6:6">
      <c r="F18">
        <f>270*150</f>
        <v>40500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5F676-B361-4A9A-A678-A99D6820451C}">
  <dimension ref="A2:D8"/>
  <sheetViews>
    <sheetView workbookViewId="0">
      <selection activeCell="A4" sqref="A4:D8"/>
    </sheetView>
  </sheetViews>
  <sheetFormatPr defaultRowHeight="15"/>
  <cols>
    <col min="1" max="1" width="17.5703125" customWidth="1"/>
    <col min="2" max="2" width="17" customWidth="1"/>
    <col min="4" max="4" width="10.5703125" bestFit="1" customWidth="1"/>
  </cols>
  <sheetData>
    <row r="2" spans="1:4">
      <c r="A2" s="39" t="s">
        <v>178</v>
      </c>
    </row>
    <row r="4" spans="1:4">
      <c r="B4" t="s">
        <v>172</v>
      </c>
      <c r="C4" t="s">
        <v>173</v>
      </c>
    </row>
    <row r="5" spans="1:4" ht="30">
      <c r="A5" s="38" t="s">
        <v>174</v>
      </c>
      <c r="B5" s="42">
        <v>5</v>
      </c>
      <c r="C5" s="13">
        <v>100</v>
      </c>
      <c r="D5" s="40">
        <f>C5*B5</f>
        <v>500</v>
      </c>
    </row>
    <row r="6" spans="1:4">
      <c r="A6" s="38" t="s">
        <v>175</v>
      </c>
      <c r="B6">
        <v>12</v>
      </c>
      <c r="C6" s="13">
        <f>D6/B6</f>
        <v>132</v>
      </c>
      <c r="D6" s="13">
        <v>1584</v>
      </c>
    </row>
    <row r="7" spans="1:4">
      <c r="A7" s="38" t="s">
        <v>176</v>
      </c>
      <c r="B7">
        <v>8</v>
      </c>
      <c r="C7" s="13">
        <v>100</v>
      </c>
      <c r="D7" s="13">
        <f>C7*B7</f>
        <v>800</v>
      </c>
    </row>
    <row r="8" spans="1:4">
      <c r="A8" s="38" t="s">
        <v>177</v>
      </c>
      <c r="D8" s="41">
        <f>SUM(D5:D7)</f>
        <v>2884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F025C-8749-42A3-B895-1ED3CF4D3E9E}">
  <dimension ref="A1:B33"/>
  <sheetViews>
    <sheetView workbookViewId="0">
      <selection activeCell="E49" sqref="E48:E49"/>
    </sheetView>
  </sheetViews>
  <sheetFormatPr defaultRowHeight="15"/>
  <cols>
    <col min="1" max="1" width="35.5703125" customWidth="1"/>
    <col min="2" max="2" width="10.85546875" customWidth="1"/>
    <col min="5" max="5" width="42.28515625" customWidth="1"/>
  </cols>
  <sheetData>
    <row r="1" spans="1:2" ht="30">
      <c r="A1" s="1" t="s">
        <v>0</v>
      </c>
      <c r="B1" s="1" t="s">
        <v>179</v>
      </c>
    </row>
    <row r="2" spans="1:2">
      <c r="A2" s="8" t="s">
        <v>10</v>
      </c>
      <c r="B2" s="1"/>
    </row>
    <row r="3" spans="1:2" ht="48" customHeight="1">
      <c r="A3" s="5" t="s">
        <v>11</v>
      </c>
      <c r="B3" s="2">
        <v>150</v>
      </c>
    </row>
    <row r="4" spans="1:2">
      <c r="A4" s="5" t="s">
        <v>18</v>
      </c>
      <c r="B4" s="2">
        <v>150</v>
      </c>
    </row>
    <row r="5" spans="1:2">
      <c r="A5" s="5" t="s">
        <v>26</v>
      </c>
      <c r="B5" s="2"/>
    </row>
    <row r="6" spans="1:2">
      <c r="A6" s="5" t="s">
        <v>180</v>
      </c>
      <c r="B6" s="2"/>
    </row>
    <row r="7" spans="1:2">
      <c r="A7" s="8" t="s">
        <v>31</v>
      </c>
      <c r="B7" s="1"/>
    </row>
    <row r="8" spans="1:2">
      <c r="A8" s="5" t="s">
        <v>32</v>
      </c>
      <c r="B8" s="2">
        <v>100</v>
      </c>
    </row>
    <row r="9" spans="1:2">
      <c r="A9" s="5" t="s">
        <v>33</v>
      </c>
      <c r="B9" s="2">
        <v>150</v>
      </c>
    </row>
    <row r="10" spans="1:2">
      <c r="A10" s="5" t="s">
        <v>34</v>
      </c>
      <c r="B10" s="2">
        <v>100</v>
      </c>
    </row>
    <row r="11" spans="1:2">
      <c r="A11" s="1" t="s">
        <v>181</v>
      </c>
      <c r="B11" s="1"/>
    </row>
    <row r="12" spans="1:2">
      <c r="A12" s="8" t="s">
        <v>35</v>
      </c>
      <c r="B12" s="1"/>
    </row>
    <row r="13" spans="1:2">
      <c r="A13" s="5" t="s">
        <v>36</v>
      </c>
      <c r="B13" s="2" t="s">
        <v>182</v>
      </c>
    </row>
    <row r="14" spans="1:2" ht="39" customHeight="1">
      <c r="A14" s="5" t="s">
        <v>37</v>
      </c>
      <c r="B14" s="2" t="s">
        <v>182</v>
      </c>
    </row>
    <row r="15" spans="1:2">
      <c r="A15" s="8" t="s">
        <v>43</v>
      </c>
      <c r="B15" s="1"/>
    </row>
    <row r="16" spans="1:2">
      <c r="A16" s="5" t="s">
        <v>44</v>
      </c>
      <c r="B16" s="2" t="s">
        <v>182</v>
      </c>
    </row>
    <row r="17" spans="1:2">
      <c r="A17" s="5" t="s">
        <v>45</v>
      </c>
      <c r="B17" s="2" t="s">
        <v>182</v>
      </c>
    </row>
    <row r="18" spans="1:2">
      <c r="A18" s="5" t="s">
        <v>47</v>
      </c>
      <c r="B18" s="2" t="s">
        <v>182</v>
      </c>
    </row>
    <row r="19" spans="1:2">
      <c r="A19" s="5"/>
      <c r="B19" s="1"/>
    </row>
    <row r="20" spans="1:2">
      <c r="A20" s="8" t="s">
        <v>50</v>
      </c>
      <c r="B20" s="1"/>
    </row>
    <row r="21" spans="1:2">
      <c r="A21" s="5" t="s">
        <v>51</v>
      </c>
      <c r="B21" s="2" t="s">
        <v>182</v>
      </c>
    </row>
    <row r="22" spans="1:2">
      <c r="A22" s="5" t="s">
        <v>48</v>
      </c>
      <c r="B22" s="2" t="s">
        <v>183</v>
      </c>
    </row>
    <row r="23" spans="1:2">
      <c r="A23" s="5" t="s">
        <v>52</v>
      </c>
      <c r="B23" s="2" t="s">
        <v>182</v>
      </c>
    </row>
    <row r="24" spans="1:2">
      <c r="A24" s="5" t="s">
        <v>53</v>
      </c>
      <c r="B24" s="2" t="s">
        <v>182</v>
      </c>
    </row>
    <row r="25" spans="1:2">
      <c r="A25" s="1"/>
      <c r="B25" s="1"/>
    </row>
    <row r="26" spans="1:2">
      <c r="A26" s="10" t="s">
        <v>58</v>
      </c>
      <c r="B26" s="1"/>
    </row>
    <row r="27" spans="1:2" ht="30">
      <c r="A27" s="5" t="s">
        <v>59</v>
      </c>
      <c r="B27" s="2" t="s">
        <v>182</v>
      </c>
    </row>
    <row r="28" spans="1:2" ht="30">
      <c r="A28" s="5" t="s">
        <v>65</v>
      </c>
      <c r="B28" s="2" t="s">
        <v>182</v>
      </c>
    </row>
    <row r="29" spans="1:2">
      <c r="A29" s="5" t="s">
        <v>71</v>
      </c>
      <c r="B29" s="2" t="s">
        <v>182</v>
      </c>
    </row>
    <row r="30" spans="1:2">
      <c r="A30" s="8" t="s">
        <v>75</v>
      </c>
      <c r="B30" s="1"/>
    </row>
    <row r="31" spans="1:2">
      <c r="A31" s="5" t="s">
        <v>76</v>
      </c>
      <c r="B31" s="1" t="s">
        <v>79</v>
      </c>
    </row>
    <row r="32" spans="1:2">
      <c r="A32" s="5" t="s">
        <v>85</v>
      </c>
      <c r="B32" s="1" t="s">
        <v>79</v>
      </c>
    </row>
    <row r="33" spans="1:2">
      <c r="A33" s="5" t="s">
        <v>88</v>
      </c>
      <c r="B33" s="2" t="s">
        <v>182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71F15-EC6A-41B2-8864-541DACFCA4AD}">
  <dimension ref="A1:D21"/>
  <sheetViews>
    <sheetView workbookViewId="0">
      <selection activeCell="I26" sqref="A22:I26"/>
    </sheetView>
  </sheetViews>
  <sheetFormatPr defaultRowHeight="15"/>
  <cols>
    <col min="1" max="1" width="45.28515625" customWidth="1"/>
  </cols>
  <sheetData>
    <row r="1" spans="1:4">
      <c r="B1" s="82" t="s">
        <v>132</v>
      </c>
      <c r="C1" s="82"/>
      <c r="D1" s="82"/>
    </row>
    <row r="2" spans="1:4">
      <c r="B2" s="81" t="s">
        <v>118</v>
      </c>
      <c r="C2" s="81"/>
      <c r="D2" s="81"/>
    </row>
    <row r="3" spans="1:4">
      <c r="A3" s="29" t="s">
        <v>133</v>
      </c>
      <c r="B3" s="19" t="s">
        <v>134</v>
      </c>
      <c r="C3" s="19" t="s">
        <v>135</v>
      </c>
      <c r="D3" s="19" t="s">
        <v>136</v>
      </c>
    </row>
    <row r="4" spans="1:4">
      <c r="A4" s="32" t="s">
        <v>137</v>
      </c>
      <c r="B4" s="28"/>
      <c r="C4" s="27"/>
      <c r="D4" s="27"/>
    </row>
    <row r="5" spans="1:4">
      <c r="A5" s="24" t="s">
        <v>138</v>
      </c>
      <c r="B5" s="27">
        <v>150</v>
      </c>
      <c r="C5" s="27">
        <v>50</v>
      </c>
      <c r="D5" s="27">
        <v>25</v>
      </c>
    </row>
    <row r="6" spans="1:4">
      <c r="A6" s="24" t="s">
        <v>139</v>
      </c>
      <c r="B6" s="27">
        <f>B5*1.5</f>
        <v>225</v>
      </c>
      <c r="C6" s="27">
        <f>C5*1.5</f>
        <v>75</v>
      </c>
      <c r="D6" s="27">
        <f>D5*1.5</f>
        <v>37.5</v>
      </c>
    </row>
    <row r="7" spans="1:4">
      <c r="A7" s="26" t="s">
        <v>140</v>
      </c>
      <c r="B7" s="27">
        <f>B5/1.5</f>
        <v>100</v>
      </c>
      <c r="C7" s="27">
        <f>C5/1.5</f>
        <v>33.333333333333336</v>
      </c>
      <c r="D7" s="27">
        <f>D5/1.5</f>
        <v>16.666666666666668</v>
      </c>
    </row>
    <row r="8" spans="1:4">
      <c r="A8" s="24" t="s">
        <v>141</v>
      </c>
      <c r="B8" s="27">
        <v>150</v>
      </c>
      <c r="C8" s="27">
        <v>50</v>
      </c>
      <c r="D8" s="27">
        <v>25</v>
      </c>
    </row>
    <row r="9" spans="1:4">
      <c r="B9" s="27"/>
      <c r="C9" s="27"/>
      <c r="D9" s="27"/>
    </row>
    <row r="10" spans="1:4">
      <c r="A10" s="16" t="s">
        <v>142</v>
      </c>
    </row>
    <row r="11" spans="1:4">
      <c r="A11" s="24" t="s">
        <v>143</v>
      </c>
      <c r="B11" s="27">
        <v>250</v>
      </c>
      <c r="C11" s="27">
        <v>150</v>
      </c>
      <c r="D11" s="27">
        <v>100</v>
      </c>
    </row>
    <row r="12" spans="1:4">
      <c r="A12" s="24" t="s">
        <v>144</v>
      </c>
      <c r="B12" s="27">
        <v>250</v>
      </c>
      <c r="C12" s="27">
        <v>150</v>
      </c>
      <c r="D12" s="27">
        <v>100</v>
      </c>
    </row>
    <row r="13" spans="1:4">
      <c r="A13" s="24" t="s">
        <v>146</v>
      </c>
      <c r="B13" s="27">
        <v>225</v>
      </c>
      <c r="C13" s="27">
        <v>150</v>
      </c>
      <c r="D13" s="27">
        <v>100</v>
      </c>
    </row>
    <row r="14" spans="1:4">
      <c r="A14" s="16" t="s">
        <v>150</v>
      </c>
      <c r="B14" s="27">
        <v>250</v>
      </c>
      <c r="C14" s="27">
        <v>150</v>
      </c>
      <c r="D14" s="27">
        <v>100</v>
      </c>
    </row>
    <row r="16" spans="1:4">
      <c r="A16" s="16" t="s">
        <v>153</v>
      </c>
      <c r="C16" s="27"/>
      <c r="D16" s="27"/>
    </row>
    <row r="17" spans="1:4">
      <c r="A17" s="31" t="s">
        <v>152</v>
      </c>
      <c r="C17" s="27"/>
      <c r="D17" s="27"/>
    </row>
    <row r="18" spans="1:4">
      <c r="A18" s="24" t="s">
        <v>153</v>
      </c>
      <c r="B18" s="27" t="s">
        <v>149</v>
      </c>
      <c r="C18" s="27"/>
      <c r="D18" s="27"/>
    </row>
    <row r="19" spans="1:4">
      <c r="A19" s="31" t="s">
        <v>154</v>
      </c>
      <c r="C19" s="27"/>
      <c r="D19" s="27"/>
    </row>
    <row r="20" spans="1:4">
      <c r="A20" s="24" t="s">
        <v>155</v>
      </c>
      <c r="B20" s="27" t="s">
        <v>156</v>
      </c>
      <c r="C20" s="27"/>
      <c r="D20" s="27"/>
    </row>
    <row r="21" spans="1:4">
      <c r="A21" s="24" t="s">
        <v>157</v>
      </c>
      <c r="B21" s="27" t="s">
        <v>158</v>
      </c>
      <c r="C21" s="27"/>
      <c r="D21" s="27"/>
    </row>
  </sheetData>
  <mergeCells count="2">
    <mergeCell ref="B1:D1"/>
    <mergeCell ref="B2:D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D4303-A357-468D-BEBF-7BC5FE7583E3}">
  <dimension ref="A1:G21"/>
  <sheetViews>
    <sheetView workbookViewId="0">
      <selection activeCell="B24" sqref="B24"/>
    </sheetView>
  </sheetViews>
  <sheetFormatPr defaultRowHeight="15"/>
  <cols>
    <col min="1" max="1" width="89.42578125" customWidth="1"/>
    <col min="2" max="2" width="33.28515625" customWidth="1"/>
    <col min="3" max="3" width="27.140625" customWidth="1"/>
    <col min="4" max="4" width="27.7109375" customWidth="1"/>
  </cols>
  <sheetData>
    <row r="1" spans="1:7">
      <c r="A1" s="50"/>
    </row>
    <row r="2" spans="1:7" ht="37.5" customHeight="1">
      <c r="A2" s="85" t="s">
        <v>184</v>
      </c>
      <c r="B2" s="85"/>
      <c r="C2" s="85"/>
      <c r="D2" s="85"/>
      <c r="E2" s="85"/>
      <c r="F2" s="85"/>
      <c r="G2" s="85"/>
    </row>
    <row r="3" spans="1:7" ht="25.5" customHeight="1">
      <c r="A3" s="85" t="s">
        <v>185</v>
      </c>
      <c r="B3" s="85"/>
      <c r="C3" s="85"/>
      <c r="D3" s="85"/>
      <c r="E3" s="85"/>
      <c r="F3" s="85"/>
      <c r="G3" s="85"/>
    </row>
    <row r="4" spans="1:7" ht="37.5" customHeight="1"/>
    <row r="5" spans="1:7" ht="36" customHeight="1">
      <c r="A5" s="51"/>
      <c r="B5" s="52" t="s">
        <v>186</v>
      </c>
      <c r="C5" s="52" t="s">
        <v>187</v>
      </c>
      <c r="D5" s="52" t="s">
        <v>188</v>
      </c>
    </row>
    <row r="6" spans="1:7" ht="16.5">
      <c r="A6" s="52" t="s">
        <v>189</v>
      </c>
      <c r="B6" s="52" t="s">
        <v>190</v>
      </c>
      <c r="C6" s="52" t="s">
        <v>191</v>
      </c>
      <c r="D6" s="52" t="s">
        <v>192</v>
      </c>
    </row>
    <row r="7" spans="1:7" ht="16.5">
      <c r="A7" s="52" t="s">
        <v>193</v>
      </c>
      <c r="B7" s="51"/>
      <c r="C7" s="51"/>
      <c r="D7" s="51"/>
    </row>
    <row r="8" spans="1:7" ht="16.5">
      <c r="A8" s="52" t="s">
        <v>189</v>
      </c>
      <c r="B8" s="52" t="s">
        <v>190</v>
      </c>
      <c r="C8" s="52" t="s">
        <v>191</v>
      </c>
      <c r="D8" s="52" t="s">
        <v>192</v>
      </c>
    </row>
    <row r="9" spans="1:7" ht="16.5">
      <c r="A9" s="52" t="s">
        <v>194</v>
      </c>
      <c r="B9" s="51"/>
      <c r="C9" s="51"/>
      <c r="D9" s="51"/>
    </row>
    <row r="10" spans="1:7" ht="16.5">
      <c r="A10" s="52" t="s">
        <v>195</v>
      </c>
      <c r="B10" s="52" t="s">
        <v>191</v>
      </c>
      <c r="C10" s="52" t="s">
        <v>196</v>
      </c>
      <c r="D10" s="52" t="s">
        <v>197</v>
      </c>
    </row>
    <row r="11" spans="1:7" ht="16.5">
      <c r="A11" s="52" t="s">
        <v>198</v>
      </c>
      <c r="B11" s="51"/>
      <c r="C11" s="51"/>
      <c r="D11" s="51"/>
    </row>
    <row r="12" spans="1:7" ht="16.5">
      <c r="A12" s="52" t="s">
        <v>199</v>
      </c>
      <c r="B12" s="52" t="s">
        <v>191</v>
      </c>
      <c r="C12" s="52" t="s">
        <v>196</v>
      </c>
      <c r="D12" s="52" t="s">
        <v>200</v>
      </c>
    </row>
    <row r="13" spans="1:7" ht="16.5">
      <c r="A13" s="52" t="s">
        <v>201</v>
      </c>
      <c r="B13" s="51"/>
      <c r="C13" s="51"/>
      <c r="D13" s="51"/>
    </row>
    <row r="14" spans="1:7" ht="16.5">
      <c r="A14" s="52" t="s">
        <v>199</v>
      </c>
      <c r="B14" s="52" t="s">
        <v>191</v>
      </c>
      <c r="C14" s="52" t="s">
        <v>196</v>
      </c>
      <c r="D14" s="52" t="s">
        <v>200</v>
      </c>
    </row>
    <row r="15" spans="1:7" ht="16.5">
      <c r="A15" s="52" t="s">
        <v>202</v>
      </c>
      <c r="B15" s="51"/>
      <c r="C15" s="51"/>
      <c r="D15" s="51"/>
    </row>
    <row r="16" spans="1:7" ht="16.5">
      <c r="A16" s="52" t="s">
        <v>203</v>
      </c>
      <c r="B16" s="52" t="s">
        <v>190</v>
      </c>
      <c r="C16" s="52" t="s">
        <v>191</v>
      </c>
      <c r="D16" s="52" t="s">
        <v>192</v>
      </c>
    </row>
    <row r="17" spans="1:4" ht="16.5">
      <c r="A17" s="52" t="s">
        <v>193</v>
      </c>
      <c r="B17" s="51"/>
      <c r="C17" s="51"/>
      <c r="D17" s="51"/>
    </row>
    <row r="18" spans="1:4" ht="16.5">
      <c r="A18" s="52" t="s">
        <v>204</v>
      </c>
      <c r="B18" s="52" t="s">
        <v>205</v>
      </c>
      <c r="C18" s="52" t="s">
        <v>206</v>
      </c>
      <c r="D18" s="52" t="s">
        <v>207</v>
      </c>
    </row>
    <row r="19" spans="1:4" ht="16.5">
      <c r="A19" s="52" t="s">
        <v>208</v>
      </c>
      <c r="B19" s="51"/>
      <c r="C19" s="51"/>
      <c r="D19" s="51"/>
    </row>
    <row r="21" spans="1:4">
      <c r="A21" s="50"/>
    </row>
  </sheetData>
  <mergeCells count="2">
    <mergeCell ref="A2:G2"/>
    <mergeCell ref="A3:G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2B9EC-2AD8-4AF0-9806-A6976047D99A}">
  <dimension ref="A2:L1048569"/>
  <sheetViews>
    <sheetView workbookViewId="0">
      <selection activeCell="E18" sqref="E18"/>
    </sheetView>
  </sheetViews>
  <sheetFormatPr defaultRowHeight="15"/>
  <cols>
    <col min="1" max="1" width="29.140625" bestFit="1" customWidth="1"/>
    <col min="2" max="2" width="13" style="46" bestFit="1" customWidth="1"/>
    <col min="3" max="3" width="11.28515625" style="44" customWidth="1"/>
    <col min="4" max="4" width="14.85546875" style="46" bestFit="1" customWidth="1"/>
    <col min="5" max="5" width="15.28515625" style="46" customWidth="1"/>
    <col min="7" max="7" width="11.7109375" customWidth="1"/>
    <col min="8" max="8" width="10.7109375" customWidth="1"/>
    <col min="9" max="10" width="11.85546875" bestFit="1" customWidth="1"/>
    <col min="11" max="11" width="13" bestFit="1" customWidth="1"/>
  </cols>
  <sheetData>
    <row r="2" spans="1:12" s="35" customFormat="1" ht="45">
      <c r="A2" s="35" t="s">
        <v>209</v>
      </c>
      <c r="B2" s="47" t="s">
        <v>210</v>
      </c>
      <c r="C2" s="43" t="s">
        <v>211</v>
      </c>
      <c r="D2" s="47" t="s">
        <v>212</v>
      </c>
      <c r="E2" s="53" t="s">
        <v>213</v>
      </c>
      <c r="F2" s="48" t="s">
        <v>214</v>
      </c>
      <c r="G2" s="48" t="s">
        <v>215</v>
      </c>
      <c r="H2" s="48" t="s">
        <v>216</v>
      </c>
      <c r="I2" s="45"/>
    </row>
    <row r="3" spans="1:12">
      <c r="A3" t="s">
        <v>217</v>
      </c>
      <c r="B3" s="46">
        <v>127134</v>
      </c>
      <c r="C3" s="44">
        <v>0.51319999999999999</v>
      </c>
      <c r="D3" s="46">
        <f>B3*F3/9</f>
        <v>7063</v>
      </c>
      <c r="E3" s="46">
        <f>D3+(D3*C3)</f>
        <v>10687.731599999999</v>
      </c>
      <c r="F3">
        <v>0.5</v>
      </c>
      <c r="G3" s="49">
        <f t="shared" ref="G3:G9" si="0">E3/(40*4)</f>
        <v>66.798322499999998</v>
      </c>
      <c r="H3" s="59">
        <f t="shared" ref="H3:H9" si="1">G3*1.2</f>
        <v>80.157986999999991</v>
      </c>
      <c r="I3" s="46"/>
      <c r="K3" s="46"/>
    </row>
    <row r="4" spans="1:12">
      <c r="A4" t="s">
        <v>218</v>
      </c>
      <c r="B4" s="46">
        <v>169272</v>
      </c>
      <c r="C4" s="44">
        <v>0.37590000000000001</v>
      </c>
      <c r="D4" s="46">
        <f>B4*F4/12</f>
        <v>7053</v>
      </c>
      <c r="E4" s="46">
        <f t="shared" ref="E4" si="2">D4+(D4*C4)</f>
        <v>9704.2227000000003</v>
      </c>
      <c r="F4">
        <v>0.5</v>
      </c>
      <c r="G4" s="49">
        <f t="shared" si="0"/>
        <v>60.651391875000002</v>
      </c>
      <c r="H4" s="59">
        <f t="shared" si="1"/>
        <v>72.781670250000005</v>
      </c>
      <c r="I4" s="46"/>
    </row>
    <row r="5" spans="1:12">
      <c r="A5" s="58" t="s">
        <v>219</v>
      </c>
      <c r="B5" s="55"/>
      <c r="C5" s="56"/>
      <c r="D5" s="55">
        <f>SUM(D3:D4)</f>
        <v>14116</v>
      </c>
      <c r="E5" s="55">
        <f>SUM(E3:E4)</f>
        <v>20391.954299999998</v>
      </c>
      <c r="F5" s="54">
        <f>SUM(F3:F4)</f>
        <v>1</v>
      </c>
      <c r="G5" s="57">
        <f t="shared" si="0"/>
        <v>127.44971437499999</v>
      </c>
      <c r="H5" s="60">
        <f t="shared" si="1"/>
        <v>152.93965724999998</v>
      </c>
      <c r="I5" s="46"/>
    </row>
    <row r="6" spans="1:12">
      <c r="A6" t="s">
        <v>220</v>
      </c>
      <c r="B6" s="46">
        <v>71748</v>
      </c>
      <c r="C6" s="44">
        <v>0.75380000000000003</v>
      </c>
      <c r="D6" s="46">
        <f t="shared" ref="D6:D9" si="3">B6*F6/12</f>
        <v>5979</v>
      </c>
      <c r="E6" s="46">
        <f>D6+(D6*C6)</f>
        <v>10485.9702</v>
      </c>
      <c r="F6">
        <v>1</v>
      </c>
      <c r="G6" s="49">
        <f t="shared" si="0"/>
        <v>65.537313749999996</v>
      </c>
      <c r="H6" s="59">
        <f t="shared" si="1"/>
        <v>78.644776499999992</v>
      </c>
      <c r="I6" s="46"/>
      <c r="J6" s="46"/>
    </row>
    <row r="7" spans="1:12">
      <c r="A7" t="s">
        <v>221</v>
      </c>
      <c r="B7" s="46">
        <v>65388</v>
      </c>
      <c r="C7" s="44">
        <v>0.19819999999999999</v>
      </c>
      <c r="D7" s="46">
        <f t="shared" si="3"/>
        <v>5449</v>
      </c>
      <c r="E7" s="46">
        <f>D7+(D7*C7)</f>
        <v>6528.9917999999998</v>
      </c>
      <c r="F7">
        <v>1</v>
      </c>
      <c r="G7" s="49">
        <f t="shared" si="0"/>
        <v>40.80619875</v>
      </c>
      <c r="H7" s="59">
        <f t="shared" si="1"/>
        <v>48.9674385</v>
      </c>
      <c r="I7" s="46"/>
    </row>
    <row r="8" spans="1:12">
      <c r="A8" t="s">
        <v>222</v>
      </c>
      <c r="B8" s="46">
        <v>57216</v>
      </c>
      <c r="C8" s="44">
        <v>0.5504</v>
      </c>
      <c r="D8" s="46">
        <f t="shared" si="3"/>
        <v>4768</v>
      </c>
      <c r="E8" s="46">
        <f>D8+(D8*C8)</f>
        <v>7392.3072000000002</v>
      </c>
      <c r="F8">
        <v>1</v>
      </c>
      <c r="G8" s="49">
        <f t="shared" si="0"/>
        <v>46.201920000000001</v>
      </c>
      <c r="H8" s="59">
        <f t="shared" si="1"/>
        <v>55.442304</v>
      </c>
    </row>
    <row r="9" spans="1:12">
      <c r="A9" t="s">
        <v>223</v>
      </c>
      <c r="B9" s="46">
        <v>50004</v>
      </c>
      <c r="C9" s="44">
        <v>0.78820000000000001</v>
      </c>
      <c r="D9" s="46">
        <f t="shared" si="3"/>
        <v>4167</v>
      </c>
      <c r="E9" s="46">
        <f>D9+(D9*C9)</f>
        <v>7451.4294</v>
      </c>
      <c r="F9">
        <v>1</v>
      </c>
      <c r="G9" s="49">
        <f t="shared" si="0"/>
        <v>46.571433749999997</v>
      </c>
      <c r="H9" s="59">
        <f t="shared" si="1"/>
        <v>55.885720499999998</v>
      </c>
    </row>
    <row r="10" spans="1:12">
      <c r="H10" s="35"/>
      <c r="I10" s="46"/>
    </row>
    <row r="12" spans="1:12" ht="45">
      <c r="A12" s="35" t="s">
        <v>224</v>
      </c>
      <c r="B12" s="47" t="s">
        <v>210</v>
      </c>
      <c r="C12" s="43" t="s">
        <v>211</v>
      </c>
      <c r="D12" s="47" t="s">
        <v>212</v>
      </c>
      <c r="E12" s="53" t="s">
        <v>213</v>
      </c>
      <c r="F12" s="48" t="s">
        <v>214</v>
      </c>
      <c r="L12" t="s">
        <v>225</v>
      </c>
    </row>
    <row r="13" spans="1:12">
      <c r="A13" t="s">
        <v>226</v>
      </c>
      <c r="B13" s="46">
        <v>51999</v>
      </c>
      <c r="C13" s="44">
        <v>6.4999999999999997E-3</v>
      </c>
      <c r="F13" t="s">
        <v>227</v>
      </c>
    </row>
    <row r="14" spans="1:12">
      <c r="A14" t="s">
        <v>228</v>
      </c>
      <c r="B14" s="46">
        <v>51999</v>
      </c>
      <c r="C14" s="44" t="s">
        <v>229</v>
      </c>
      <c r="I14" s="46"/>
    </row>
    <row r="15" spans="1:12" ht="30">
      <c r="A15" s="61"/>
      <c r="B15" s="62" t="s">
        <v>214</v>
      </c>
      <c r="C15" s="63" t="s">
        <v>230</v>
      </c>
      <c r="D15" s="63" t="s">
        <v>231</v>
      </c>
      <c r="E15" s="63" t="s">
        <v>232</v>
      </c>
      <c r="F15" s="64" t="s">
        <v>233</v>
      </c>
    </row>
    <row r="16" spans="1:12">
      <c r="A16" s="65" t="s">
        <v>234</v>
      </c>
      <c r="B16" s="67">
        <v>0.49</v>
      </c>
      <c r="C16" s="68">
        <v>38999.25</v>
      </c>
      <c r="D16" s="69">
        <v>4333.25</v>
      </c>
      <c r="E16" s="66" t="s">
        <v>235</v>
      </c>
      <c r="F16" s="70">
        <v>6.4999999999999997E-3</v>
      </c>
    </row>
    <row r="17" spans="1:6">
      <c r="A17" s="71" t="s">
        <v>236</v>
      </c>
      <c r="B17" s="67">
        <v>0.49</v>
      </c>
      <c r="C17" s="68">
        <v>12999.75</v>
      </c>
      <c r="D17" s="69">
        <v>4333.25</v>
      </c>
      <c r="E17" s="66" t="s">
        <v>235</v>
      </c>
      <c r="F17" s="70">
        <v>8.3000000000000004E-2</v>
      </c>
    </row>
    <row r="19" spans="1:6" ht="45">
      <c r="A19" s="35" t="s">
        <v>237</v>
      </c>
      <c r="B19" s="47" t="s">
        <v>210</v>
      </c>
      <c r="C19" s="43" t="s">
        <v>211</v>
      </c>
      <c r="D19" s="47" t="s">
        <v>238</v>
      </c>
      <c r="E19" s="53" t="s">
        <v>213</v>
      </c>
      <c r="F19" s="48" t="s">
        <v>214</v>
      </c>
    </row>
    <row r="20" spans="1:6">
      <c r="A20" t="s">
        <v>226</v>
      </c>
      <c r="B20" s="46">
        <v>30575.41</v>
      </c>
      <c r="C20" s="44">
        <v>6.4999999999999997E-3</v>
      </c>
      <c r="D20" s="46">
        <v>14.7</v>
      </c>
      <c r="E20" s="46" t="s">
        <v>239</v>
      </c>
      <c r="F20" t="s">
        <v>240</v>
      </c>
    </row>
    <row r="21" spans="1:6">
      <c r="A21" t="s">
        <v>228</v>
      </c>
      <c r="B21" s="46">
        <v>30575.41</v>
      </c>
      <c r="C21" s="44">
        <v>8.3000000000000004E-2</v>
      </c>
      <c r="D21" s="46">
        <v>15.5</v>
      </c>
      <c r="E21" s="46" t="s">
        <v>239</v>
      </c>
    </row>
    <row r="1048569" spans="7:7">
      <c r="G1048569" s="46">
        <f>E1048569/160</f>
        <v>0</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ABE3698E4FC64FB02D29227380E3D1" ma:contentTypeVersion="15" ma:contentTypeDescription="Create a new document." ma:contentTypeScope="" ma:versionID="ca75795664bd598dd0a37a920f244898">
  <xsd:schema xmlns:xsd="http://www.w3.org/2001/XMLSchema" xmlns:xs="http://www.w3.org/2001/XMLSchema" xmlns:p="http://schemas.microsoft.com/office/2006/metadata/properties" xmlns:ns2="e53e87de-4b89-4f57-8069-5ca9e0e44abd" xmlns:ns3="7349b86f-1fa1-42d9-93d5-539cbe182d08" targetNamespace="http://schemas.microsoft.com/office/2006/metadata/properties" ma:root="true" ma:fieldsID="982607900353f4eba4d1bda0ebfc1ff2" ns2:_="" ns3:_="">
    <xsd:import namespace="e53e87de-4b89-4f57-8069-5ca9e0e44abd"/>
    <xsd:import namespace="7349b86f-1fa1-42d9-93d5-539cbe182d0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element ref="ns2:MediaLengthInSeconds" minOccurs="0"/>
                <xsd:element ref="ns3:SharedWithUsers" minOccurs="0"/>
                <xsd:element ref="ns3:SharedWithDetails" minOccurs="0"/>
                <xsd:element ref="ns2:MediaServiceSearchProperties"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3e87de-4b89-4f57-8069-5ca9e0e44a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b2777389-5812-4b7a-9ab1-3d72f2098082"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_Flow_SignoffStatus" ma:index="22" nillable="true" ma:displayName="Sign-off status" ma:internalName="_x0024_Resources_x003a_core_x002c_Signoff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349b86f-1fa1-42d9-93d5-539cbe182d08"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d6aad416-214e-49c8-940c-ad38c3e1ace1}" ma:internalName="TaxCatchAll" ma:showField="CatchAllData" ma:web="7349b86f-1fa1-42d9-93d5-539cbe182d08">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349b86f-1fa1-42d9-93d5-539cbe182d08" xsi:nil="true"/>
    <_Flow_SignoffStatus xmlns="e53e87de-4b89-4f57-8069-5ca9e0e44abd" xsi:nil="true"/>
    <lcf76f155ced4ddcb4097134ff3c332f xmlns="e53e87de-4b89-4f57-8069-5ca9e0e44ab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4BF19C-39C7-4423-B607-BD4EDFD720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3e87de-4b89-4f57-8069-5ca9e0e44abd"/>
    <ds:schemaRef ds:uri="7349b86f-1fa1-42d9-93d5-539cbe182d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46E82E-35ED-4B0A-8B61-86D88A505623}">
  <ds:schemaRefs>
    <ds:schemaRef ds:uri="http://schemas.microsoft.com/office/2006/metadata/properties"/>
    <ds:schemaRef ds:uri="http://schemas.microsoft.com/office/infopath/2007/PartnerControls"/>
    <ds:schemaRef ds:uri="7349b86f-1fa1-42d9-93d5-539cbe182d08"/>
    <ds:schemaRef ds:uri="e53e87de-4b89-4f57-8069-5ca9e0e44abd"/>
  </ds:schemaRefs>
</ds:datastoreItem>
</file>

<file path=customXml/itemProps3.xml><?xml version="1.0" encoding="utf-8"?>
<ds:datastoreItem xmlns:ds="http://schemas.openxmlformats.org/officeDocument/2006/customXml" ds:itemID="{2DB71635-BC34-4F7B-B5C8-61E1333F5F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 analysis</vt:lpstr>
      <vt:lpstr>final prices</vt:lpstr>
      <vt:lpstr>FAA</vt:lpstr>
      <vt:lpstr>peptides</vt:lpstr>
      <vt:lpstr>di tri peptides</vt:lpstr>
      <vt:lpstr>sdg</vt:lpstr>
      <vt:lpstr>old</vt:lpstr>
      <vt:lpstr>ms_data_proc_batch_cost</vt:lpstr>
      <vt:lpstr>Personnel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Kuhfeld, Russell</dc:creator>
  <cp:keywords/>
  <dc:description/>
  <cp:lastModifiedBy>Kuhfeld, Russell</cp:lastModifiedBy>
  <cp:revision/>
  <dcterms:created xsi:type="dcterms:W3CDTF">2015-06-05T18:17:20Z</dcterms:created>
  <dcterms:modified xsi:type="dcterms:W3CDTF">2025-07-15T19:34:43Z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0x010100CBABE3698E4FC64FB02D29227380E3D1</vt:lpwstr>
  </property>
  <property fmtid="{D5CDD505-2E9C-101B-9397-08002B2CF9AE}" pid="3" name="MediaServiceImageTags">
    <vt:lpwstr/>
  </property>
</Properties>
</file>