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295" tabRatio="600" firstSheet="0" activeTab="0" autoFilterDateGrouping="1"/>
  </bookViews>
  <sheets>
    <sheet xmlns:r="http://schemas.openxmlformats.org/officeDocument/2006/relationships" name="2024" sheetId="1" state="visible" r:id="rId1"/>
    <sheet xmlns:r="http://schemas.openxmlformats.org/officeDocument/2006/relationships" name="Расчет кол-ва пружин для НПЗ" sheetId="2" state="visible" r:id="rId2"/>
  </sheets>
  <definedNames>
    <definedName name="_xlnm.Print_Area" localSheetId="0">'2024'!$A$1:$G$52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_-* #,##0.00_р_._-;\-* #,##0.00_р_._-;_-* &quot;-&quot;??_р_._-;_-@_-"/>
    <numFmt numFmtId="165" formatCode="_-* #,##0.00\ _₽_-;\-* #,##0.00\ _₽_-;_-* &quot;-&quot;??\ _₽_-;_-@_-"/>
    <numFmt numFmtId="166" formatCode="0.0"/>
  </numFmts>
  <fonts count="9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indexed="8"/>
      <sz val="11"/>
    </font>
    <font>
      <name val="Calibri"/>
      <charset val="204"/>
      <family val="2"/>
      <b val="1"/>
      <color indexed="8"/>
      <sz val="12"/>
    </font>
    <font>
      <name val="Calibri"/>
      <charset val="204"/>
      <family val="2"/>
      <b val="1"/>
      <color indexed="8"/>
      <sz val="11"/>
    </font>
    <font>
      <name val="Calibri"/>
      <family val="2"/>
      <color indexed="8"/>
      <sz val="11"/>
    </font>
    <font>
      <name val="Calibri"/>
      <charset val="204"/>
      <family val="2"/>
      <b val="1"/>
      <color rgb="FFFF0000"/>
      <sz val="12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rgb="FFFF0000"/>
      <sz val="11"/>
      <scheme val="minor"/>
    </font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4" fontId="1" fillId="0" borderId="0"/>
    <xf numFmtId="0" fontId="4" fillId="0" borderId="0"/>
    <xf numFmtId="0" fontId="8" fillId="0" borderId="0"/>
  </cellStyleXfs>
  <cellXfs count="27">
    <xf numFmtId="0" fontId="0" fillId="0" borderId="0" pivotButton="0" quotePrefix="0" xfId="0"/>
    <xf numFmtId="0" fontId="0" fillId="0" borderId="1" pivotButton="0" quotePrefix="0" xfId="0"/>
    <xf numFmtId="0" fontId="0" fillId="0" borderId="2" pivotButton="0" quotePrefix="0" xfId="0"/>
    <xf numFmtId="0" fontId="2" fillId="0" borderId="1" applyAlignment="1" pivotButton="0" quotePrefix="0" xfId="0">
      <alignment horizontal="center"/>
    </xf>
    <xf numFmtId="0" fontId="3" fillId="0" borderId="0" pivotButton="0" quotePrefix="0" xfId="0"/>
    <xf numFmtId="14" fontId="2" fillId="0" borderId="1" applyAlignment="1" pivotButton="0" quotePrefix="0" xfId="0">
      <alignment horizontal="center" wrapText="1"/>
    </xf>
    <xf numFmtId="164" fontId="5" fillId="3" borderId="0" pivotButton="0" quotePrefix="0" xfId="1"/>
    <xf numFmtId="0" fontId="2" fillId="0" borderId="2" pivotButton="0" quotePrefix="0" xfId="0"/>
    <xf numFmtId="165" fontId="0" fillId="0" borderId="1" pivotButton="0" quotePrefix="0" xfId="0"/>
    <xf numFmtId="0" fontId="6" fillId="0" borderId="1" applyAlignment="1" pivotButton="0" quotePrefix="0" xfId="0">
      <alignment horizontal="center"/>
    </xf>
    <xf numFmtId="0" fontId="7" fillId="0" borderId="0" pivotButton="0" quotePrefix="0" xfId="0"/>
    <xf numFmtId="0" fontId="8" fillId="0" borderId="0" pivotButton="0" quotePrefix="0" xfId="3"/>
    <xf numFmtId="0" fontId="8" fillId="0" borderId="0" applyAlignment="1" pivotButton="0" quotePrefix="0" xfId="3">
      <alignment horizontal="center" vertical="center"/>
    </xf>
    <xf numFmtId="0" fontId="6" fillId="0" borderId="0" applyAlignment="1" pivotButton="0" quotePrefix="0" xfId="3">
      <alignment horizontal="center" vertical="center"/>
    </xf>
    <xf numFmtId="165" fontId="0" fillId="0" borderId="0" pivotButton="0" quotePrefix="0" xfId="0"/>
    <xf numFmtId="2" fontId="0" fillId="0" borderId="0" pivotButton="0" quotePrefix="0" xfId="0"/>
    <xf numFmtId="14" fontId="2" fillId="0" borderId="2" applyAlignment="1" pivotButton="0" quotePrefix="0" xfId="0">
      <alignment horizontal="center" wrapText="1"/>
    </xf>
    <xf numFmtId="0" fontId="0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165" fontId="0" fillId="0" borderId="1" applyAlignment="1" pivotButton="0" quotePrefix="0" xfId="0">
      <alignment horizontal="center" vertical="center" wrapText="1"/>
    </xf>
    <xf numFmtId="14" fontId="2" fillId="0" borderId="2" applyAlignment="1" pivotButton="0" quotePrefix="0" xfId="0">
      <alignment horizontal="center" vertical="center" wrapText="1"/>
    </xf>
    <xf numFmtId="166" fontId="0" fillId="0" borderId="0" pivotButton="0" quotePrefix="0" xfId="0"/>
    <xf numFmtId="0" fontId="0" fillId="0" borderId="0" applyAlignment="1" pivotButton="0" quotePrefix="1" xfId="0">
      <alignment horizontal="left" vertical="top" wrapText="1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2" fillId="2" borderId="1" applyAlignment="1" pivotButton="0" quotePrefix="0" xfId="0">
      <alignment horizontal="center" wrapText="1"/>
    </xf>
  </cellXfs>
  <cellStyles count="4">
    <cellStyle name="Обычный" xfId="0" builtinId="0"/>
    <cellStyle name="Финансовый" xfId="1" builtinId="3"/>
    <cellStyle name="Обычный 2" xfId="2"/>
    <cellStyle name="Обычный 3" xf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Denis</author>
  </authors>
  <commentList>
    <comment ref="A2" authorId="0" shapeId="0">
      <text>
        <t xml:space="preserve">Denis:
Формула:
N = D.min + (nD.max-nD.min)/(D.max.-D.min)*(D.-D.min)
D. – Диаметр искомой суммы
D.max – Диаметр больше чем искомое значение
D.min – Диаметр меньше чем искомое значение
N – искомая сумма
n – сумма известных Диаметров
</t>
      </text>
    </comment>
  </commentList>
</comment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view="pageBreakPreview" zoomScaleNormal="130" zoomScaleSheetLayoutView="100" workbookViewId="0">
      <pane ySplit="3" topLeftCell="A4" activePane="bottomLeft" state="frozen"/>
      <selection pane="bottomLeft" activeCell="D2" sqref="D2"/>
    </sheetView>
  </sheetViews>
  <sheetFormatPr baseColWidth="8" defaultRowHeight="15"/>
  <cols>
    <col width="19.7109375" customWidth="1" style="23" min="1" max="1"/>
    <col width="14.7109375" customWidth="1" style="23" min="2" max="2"/>
    <col width="16.7109375" customWidth="1" style="23" min="3" max="3"/>
    <col width="17.140625" customWidth="1" style="23" min="4" max="4"/>
    <col width="17.5703125" customWidth="1" style="23" min="5" max="5"/>
    <col width="18.42578125" customWidth="1" style="23" min="6" max="7"/>
    <col width="12" customWidth="1" style="23" min="9" max="9"/>
  </cols>
  <sheetData>
    <row r="1" ht="32.25" customHeight="1" s="23" thickBot="1">
      <c r="A1" s="16" t="inlineStr">
        <is>
          <t>Диаметр нужного клапана</t>
        </is>
      </c>
      <c r="B1" s="16" t="inlineStr">
        <is>
          <t>есть РУ, ставь +</t>
        </is>
      </c>
      <c r="C1" s="5" t="inlineStr">
        <is>
          <t>Себе-сть 
Клапан</t>
        </is>
      </c>
      <c r="D1" s="5" t="inlineStr">
        <is>
          <t>Себе-сть ЗИП</t>
        </is>
      </c>
      <c r="E1" s="5" t="inlineStr">
        <is>
          <t>Прайс
Клапан</t>
        </is>
      </c>
      <c r="F1" s="5" t="inlineStr">
        <is>
          <t>Прайс
ЗИП</t>
        </is>
      </c>
      <c r="G1" s="14">
        <f>C2*1.3</f>
        <v/>
      </c>
    </row>
    <row r="2" ht="52.7" customFormat="1" customHeight="1" s="18" thickBot="1">
      <c r="A2" s="17" t="n">
        <v>100</v>
      </c>
      <c r="B2" s="17" t="inlineStr"/>
      <c r="C2" s="19">
        <f t="array" ref="C2">IFERROR(IFERROR(INDEX($B$3:$F$44,MATCH(A2,B3:B44,0),2),
SUM(INDEX($B$3:$F$44,MATCH(A2,B3:B44,1),2)+
SUM(INDEX($B$3:$F$44,MATCH(A2,B3:B44,1)+1,2)-INDEX($B$3:$F$44,MATCH(A2,B3:B44,1),2))/
SUM(INDEX($B$3:$F$44,MATCH(A2,B3:B44,1)+1,1)-INDEX($B$3:$F$44,MATCH(A2,B3:B44,1),1))
*SUM(A2-INDEX($B$3:$F$44,MATCH(A2,B3:B44,1),1))))+IF(AND(B2="+",A2&lt;150),15000,IF(AND(B2="+",A2&lt;250),25000,IF(AND(B2="+",A2&gt;249),35000,0))),"согласовывается отдельно")</f>
        <v/>
      </c>
      <c r="D2" s="19">
        <f t="array" ref="D2">IFERROR(IFERROR(INDEX($B$3:$F$44,MATCH(A2,B3:B44,0),3),
SUM(INDEX($B$3:$F$44,MATCH(A2,B3:B44,1),3)+
SUM(INDEX($B$3:$F$44,MATCH(A2,B3:B44,1)+1,3)-INDEX($B$3:$F$44,MATCH(A2,B3:B44,1),3))/
SUM(INDEX($B$3:$F$44,MATCH(A2,B3:B44,1)+1,1)-INDEX($B$3:$F$44,MATCH(A2,B3:B44,1),1))
*SUM(A2-INDEX($B$3:$F$44,MATCH(A2,B3:B44,1),1)))),"согласовывается отдельно")</f>
        <v/>
      </c>
      <c r="E2" s="19">
        <f t="array" ref="E2">IFERROR(IFERROR(INDEX($B$3:$F$44,MATCH(A2,B3:B44,0),4),
SUM(INDEX($B$3:$F$44,MATCH(A2,B3:B44,1),4)+
SUM(INDEX($B$3:$F$44,MATCH(A2,B3:B44,1)+1,4)-INDEX($B$3:$F$44,MATCH(A2,B3:B44,1),4))/
SUM(INDEX($B$3:$F$44,MATCH(A2,B3:B44,1)+1,1)-INDEX($B$3:$F$44,MATCH(A2,B3:B44,1),1))
*SUM(A2-INDEX($B$3:$F$44,MATCH(A2,B3:B44,1),1))))+IF(AND(B2="+",A2&lt;150),15000*1.4,IF(AND(B2="+",A2&lt;250),25000*1.4,IF(AND(B2="+",A2&gt;249),35000*1.4,0))),"согласовывается отдельно")</f>
        <v/>
      </c>
      <c r="F2" s="19">
        <f t="array" ref="F2">IFERROR(IFERROR(INDEX($B$3:$F$44,MATCH(A2,B3:B44,0),5),
SUM(INDEX($B$3:$F$44,MATCH(A2,B3:B44,1),5)+
SUM(INDEX($B$3:$F$44,MATCH(A2,B3:B44,1)+1,5)-INDEX($B$3:$F$44,MATCH(A2,B3:B44,1),5))/
SUM(INDEX($B$3:$F$44,MATCH(A2,B3:B44,1)+1,1)-INDEX($B$3:$F$44,MATCH(A2,B3:B44,1),1))
*SUM(A2-INDEX($B$3:$F$44,MATCH(A2,B3:B44,1),1)))),"согласовывается отдельно")</f>
        <v/>
      </c>
      <c r="G2" s="19">
        <f>E2/C2</f>
        <v/>
      </c>
    </row>
    <row r="3" ht="31.5" customHeight="1" s="23">
      <c r="A3" s="1" t="n"/>
      <c r="B3" s="5" t="inlineStr">
        <is>
          <t>Посадочный диаметр</t>
        </is>
      </c>
      <c r="C3" s="26" t="inlineStr">
        <is>
          <t>Себестоимость 
от 01.03.2024</t>
        </is>
      </c>
      <c r="D3" s="25" t="n"/>
      <c r="E3" s="24" t="inlineStr">
        <is>
          <t>Прайс 
от 01.03.2024</t>
        </is>
      </c>
      <c r="F3" s="25" t="n"/>
    </row>
    <row r="4" ht="15.75" customHeight="1" s="23">
      <c r="A4" s="2" t="n"/>
      <c r="B4" s="7" t="n"/>
      <c r="C4" s="9" t="inlineStr">
        <is>
          <t>Клапан</t>
        </is>
      </c>
      <c r="D4" s="9" t="inlineStr">
        <is>
          <t>ЗИП</t>
        </is>
      </c>
      <c r="E4" s="9" t="inlineStr">
        <is>
          <t>Клапан</t>
        </is>
      </c>
      <c r="F4" s="9" t="inlineStr">
        <is>
          <t>ЗИП</t>
        </is>
      </c>
    </row>
    <row r="5" ht="15.75" customHeight="1" s="23">
      <c r="A5" s="1" t="n"/>
      <c r="B5" s="3" t="n">
        <v>85</v>
      </c>
      <c r="C5" s="8" t="n">
        <v>28320</v>
      </c>
      <c r="D5" s="8">
        <f>8496*(100%+30%)</f>
        <v/>
      </c>
      <c r="E5" s="8" t="n">
        <v>44800</v>
      </c>
      <c r="F5" s="8">
        <f>13440*(100%+30%)</f>
        <v/>
      </c>
      <c r="H5" s="21">
        <f>E5/C5</f>
        <v/>
      </c>
    </row>
    <row r="6" ht="15.75" customHeight="1" s="23">
      <c r="A6" s="1" t="n"/>
      <c r="B6" s="3" t="n">
        <v>100</v>
      </c>
      <c r="C6" s="8" t="n">
        <v>28320</v>
      </c>
      <c r="D6" s="8">
        <f>8496*(100%+30%)</f>
        <v/>
      </c>
      <c r="E6" s="8" t="n">
        <v>52800</v>
      </c>
      <c r="F6" s="8">
        <f>15840*(100%+30%)</f>
        <v/>
      </c>
      <c r="G6" s="14" t="n"/>
      <c r="H6" s="21">
        <f>E6/C6</f>
        <v/>
      </c>
    </row>
    <row r="7" ht="15.75" customHeight="1" s="23">
      <c r="A7" s="1" t="n"/>
      <c r="B7" s="3" t="n">
        <v>110</v>
      </c>
      <c r="C7" s="8" t="n">
        <v>28320</v>
      </c>
      <c r="D7" s="8">
        <f>8496*(100%+30%)</f>
        <v/>
      </c>
      <c r="E7" s="8" t="n">
        <v>64800</v>
      </c>
      <c r="F7" s="8">
        <f>19440*(100%+30%)</f>
        <v/>
      </c>
      <c r="G7" s="14" t="n"/>
      <c r="H7" s="21">
        <f>E7/C7</f>
        <v/>
      </c>
    </row>
    <row r="8" ht="15.75" customHeight="1" s="23">
      <c r="A8" s="1" t="n"/>
      <c r="B8" s="3" t="n">
        <v>115</v>
      </c>
      <c r="C8" s="8" t="n">
        <v>28320</v>
      </c>
      <c r="D8" s="8">
        <f>8496*(100%+30%)</f>
        <v/>
      </c>
      <c r="E8" s="8" t="n">
        <v>64800</v>
      </c>
      <c r="F8" s="8">
        <f>19440*(100%+30%)</f>
        <v/>
      </c>
      <c r="G8" s="14" t="n"/>
      <c r="H8" s="21">
        <f>E8/C8</f>
        <v/>
      </c>
    </row>
    <row r="9" ht="15.75" customHeight="1" s="23">
      <c r="A9" s="1" t="n"/>
      <c r="B9" s="3" t="n">
        <v>120</v>
      </c>
      <c r="C9" s="8" t="n">
        <v>28320</v>
      </c>
      <c r="D9" s="8">
        <f>8496*(100%+30%)</f>
        <v/>
      </c>
      <c r="E9" s="8" t="n">
        <v>68960</v>
      </c>
      <c r="F9" s="8">
        <f>20690*(100%+30%)</f>
        <v/>
      </c>
      <c r="G9" s="14" t="n"/>
      <c r="H9" s="21">
        <f>E9/C9</f>
        <v/>
      </c>
    </row>
    <row r="10" ht="15.75" customHeight="1" s="23">
      <c r="A10" s="1" t="n"/>
      <c r="B10" s="3" t="n">
        <v>125</v>
      </c>
      <c r="C10" s="8" t="n">
        <v>28320</v>
      </c>
      <c r="D10" s="8">
        <f>8496*(100%+30%)</f>
        <v/>
      </c>
      <c r="E10" s="8" t="n">
        <v>68960</v>
      </c>
      <c r="F10" s="8">
        <f>20690*(100%+30%)</f>
        <v/>
      </c>
      <c r="G10" s="14" t="n"/>
      <c r="H10" s="21">
        <f>E10/C10</f>
        <v/>
      </c>
    </row>
    <row r="11" ht="15.75" customHeight="1" s="23">
      <c r="A11" s="1" t="n"/>
      <c r="B11" s="3" t="n">
        <v>130</v>
      </c>
      <c r="C11" s="8" t="n">
        <v>28320</v>
      </c>
      <c r="D11" s="8">
        <f>8496*(100%+30%)</f>
        <v/>
      </c>
      <c r="E11" s="8" t="n">
        <v>71680</v>
      </c>
      <c r="F11" s="8">
        <f>21500*(100%+30%)</f>
        <v/>
      </c>
      <c r="G11" s="14" t="n"/>
      <c r="H11" s="21">
        <f>E11/C11</f>
        <v/>
      </c>
    </row>
    <row r="12" ht="15.75" customHeight="1" s="23">
      <c r="A12" s="1" t="n"/>
      <c r="B12" s="3" t="n">
        <v>135</v>
      </c>
      <c r="C12" s="8" t="n">
        <v>29400</v>
      </c>
      <c r="D12" s="8">
        <f>8820*(100%+30%)</f>
        <v/>
      </c>
      <c r="E12" s="8" t="n">
        <v>85630</v>
      </c>
      <c r="F12" s="8">
        <f>25690*(100%+30%)</f>
        <v/>
      </c>
      <c r="G12" s="14" t="n"/>
      <c r="H12" s="21">
        <f>E12/C12</f>
        <v/>
      </c>
    </row>
    <row r="13" ht="15.75" customHeight="1" s="23">
      <c r="A13" s="1" t="n"/>
      <c r="B13" s="3" t="n">
        <v>137</v>
      </c>
      <c r="C13" s="8" t="n">
        <v>29880</v>
      </c>
      <c r="D13" s="8">
        <f>8964*(100%+30%)</f>
        <v/>
      </c>
      <c r="E13" s="8" t="n">
        <v>86900</v>
      </c>
      <c r="F13" s="8">
        <f>26070*(100%+30%)</f>
        <v/>
      </c>
      <c r="G13" s="14" t="n"/>
      <c r="H13" s="21">
        <f>E13/C13</f>
        <v/>
      </c>
    </row>
    <row r="14" ht="17.25" customHeight="1" s="23">
      <c r="A14" s="1" t="n"/>
      <c r="B14" s="3" t="n">
        <v>140</v>
      </c>
      <c r="C14" s="8" t="n">
        <v>30480</v>
      </c>
      <c r="D14" s="8">
        <f>9144*(100%+30%)</f>
        <v/>
      </c>
      <c r="E14" s="8" t="n">
        <v>88800</v>
      </c>
      <c r="F14" s="8">
        <f>26640*(100%+30%)</f>
        <v/>
      </c>
      <c r="G14" s="14" t="n"/>
      <c r="H14" s="21">
        <f>E14/C14</f>
        <v/>
      </c>
    </row>
    <row r="15" ht="15.75" customHeight="1" s="23">
      <c r="A15" s="1" t="n"/>
      <c r="B15" s="3" t="n">
        <v>150</v>
      </c>
      <c r="C15" s="8" t="n">
        <v>35040</v>
      </c>
      <c r="D15" s="8">
        <f>10512*(100%+30%)</f>
        <v/>
      </c>
      <c r="E15" s="8" t="n">
        <v>102080</v>
      </c>
      <c r="F15" s="8">
        <f>30620*(100%+30%)</f>
        <v/>
      </c>
      <c r="H15" s="21">
        <f>E15/C15</f>
        <v/>
      </c>
    </row>
    <row r="16" ht="15.75" customHeight="1" s="23">
      <c r="A16" s="1" t="n"/>
      <c r="B16" s="3" t="n">
        <v>155</v>
      </c>
      <c r="C16" s="8" t="n">
        <v>36240</v>
      </c>
      <c r="D16" s="8">
        <f>10872*(100%+30%)</f>
        <v/>
      </c>
      <c r="E16" s="8" t="n">
        <v>105520</v>
      </c>
      <c r="F16" s="8">
        <f>31660*(100%+30%)</f>
        <v/>
      </c>
      <c r="H16" s="21">
        <f>E16/C16</f>
        <v/>
      </c>
    </row>
    <row r="17" ht="15.75" customHeight="1" s="23">
      <c r="A17" s="1" t="n"/>
      <c r="B17" s="3" t="n">
        <v>160</v>
      </c>
      <c r="C17" s="8" t="n">
        <v>37440</v>
      </c>
      <c r="D17" s="8">
        <f>11232*(100%+30%)</f>
        <v/>
      </c>
      <c r="E17" s="8" t="n">
        <v>108960</v>
      </c>
      <c r="F17" s="8">
        <f>32690*(100%+30%)</f>
        <v/>
      </c>
      <c r="H17" s="21">
        <f>E17/C17</f>
        <v/>
      </c>
    </row>
    <row r="18" ht="15.75" customHeight="1" s="23">
      <c r="A18" s="1" t="n"/>
      <c r="B18" s="3" t="n">
        <v>163</v>
      </c>
      <c r="C18" s="8" t="n">
        <v>38040</v>
      </c>
      <c r="D18" s="8">
        <f>11412*(100%+30%)</f>
        <v/>
      </c>
      <c r="E18" s="8" t="n">
        <v>111040</v>
      </c>
      <c r="F18" s="8">
        <f>33310*(100%+30%)</f>
        <v/>
      </c>
      <c r="H18" s="21">
        <f>E18/C18</f>
        <v/>
      </c>
    </row>
    <row r="19" ht="15.75" customHeight="1" s="23">
      <c r="A19" s="1" t="n"/>
      <c r="B19" s="3" t="n">
        <v>165</v>
      </c>
      <c r="C19" s="8" t="n">
        <v>38520</v>
      </c>
      <c r="D19" s="8">
        <f>11556*(100%+30%)</f>
        <v/>
      </c>
      <c r="E19" s="8" t="n">
        <v>112400</v>
      </c>
      <c r="F19" s="8">
        <f>33720*(100%+30%)</f>
        <v/>
      </c>
      <c r="H19" s="21">
        <f>E19/C19</f>
        <v/>
      </c>
    </row>
    <row r="20" ht="15.75" customHeight="1" s="23">
      <c r="A20" s="1" t="n"/>
      <c r="B20" s="3" t="n">
        <v>171</v>
      </c>
      <c r="C20" s="8" t="n">
        <v>42720</v>
      </c>
      <c r="D20" s="8">
        <f>12816*(100%+30%)</f>
        <v/>
      </c>
      <c r="E20" s="8" t="n">
        <v>123890</v>
      </c>
      <c r="F20" s="8">
        <f>37170*(100%+30%)</f>
        <v/>
      </c>
      <c r="H20" s="21">
        <f>E20/C20</f>
        <v/>
      </c>
    </row>
    <row r="21" ht="15.75" customHeight="1" s="23">
      <c r="A21" s="1" t="n"/>
      <c r="B21" s="3" t="n">
        <v>175</v>
      </c>
      <c r="C21" s="8" t="n">
        <v>43440</v>
      </c>
      <c r="D21" s="8">
        <f>13032*(100%+30%)</f>
        <v/>
      </c>
      <c r="E21" s="8" t="n">
        <v>125980</v>
      </c>
      <c r="F21" s="8">
        <f>37790*(100%+30%)</f>
        <v/>
      </c>
      <c r="H21" s="21">
        <f>E21/C21</f>
        <v/>
      </c>
    </row>
    <row r="22" ht="15.75" customHeight="1" s="23">
      <c r="A22" s="1" t="n"/>
      <c r="B22" s="3" t="n">
        <v>180</v>
      </c>
      <c r="C22" s="8" t="n">
        <v>44760</v>
      </c>
      <c r="D22" s="8">
        <f>13428*(100%+30%)</f>
        <v/>
      </c>
      <c r="E22" s="8" t="n">
        <v>130240</v>
      </c>
      <c r="F22" s="8">
        <f>39070*(100%+30%)</f>
        <v/>
      </c>
      <c r="H22" s="21">
        <f>E22/C22</f>
        <v/>
      </c>
    </row>
    <row r="23" ht="15.75" customHeight="1" s="23">
      <c r="A23" s="1" t="n"/>
      <c r="B23" s="3" t="n">
        <v>185</v>
      </c>
      <c r="C23" s="8" t="n">
        <v>46020</v>
      </c>
      <c r="D23" s="8">
        <f>13806*(100%+30%)</f>
        <v/>
      </c>
      <c r="E23" s="8" t="n">
        <v>133820</v>
      </c>
      <c r="F23" s="8">
        <f>40150*(100%+30%)</f>
        <v/>
      </c>
      <c r="H23" s="21">
        <f>E23/C23</f>
        <v/>
      </c>
    </row>
    <row r="24" ht="15.75" customHeight="1" s="23">
      <c r="A24" s="1" t="n"/>
      <c r="B24" s="3" t="n">
        <v>192</v>
      </c>
      <c r="C24" s="8" t="n">
        <v>47760</v>
      </c>
      <c r="D24" s="8">
        <f>14328*(100%+30%)</f>
        <v/>
      </c>
      <c r="E24" s="8" t="n">
        <v>138880</v>
      </c>
      <c r="F24" s="8">
        <f>41660*(100%+30%)</f>
        <v/>
      </c>
      <c r="H24" s="21">
        <f>E24/C24</f>
        <v/>
      </c>
    </row>
    <row r="25" ht="15.75" customHeight="1" s="23">
      <c r="A25" s="1" t="n"/>
      <c r="B25" s="3" t="n">
        <v>202</v>
      </c>
      <c r="C25" s="8" t="n">
        <v>50160</v>
      </c>
      <c r="D25" s="8">
        <f>15048*(100%+30%)</f>
        <v/>
      </c>
      <c r="E25" s="8" t="n">
        <v>146320</v>
      </c>
      <c r="F25" s="8">
        <f>43900*(100%+30%)</f>
        <v/>
      </c>
      <c r="H25" s="21">
        <f>E25/C25</f>
        <v/>
      </c>
      <c r="I25" s="15" t="n"/>
    </row>
    <row r="26" ht="15.75" customHeight="1" s="23">
      <c r="A26" s="1" t="n"/>
      <c r="B26" s="3" t="n">
        <v>203</v>
      </c>
      <c r="C26" s="8" t="n">
        <v>50400</v>
      </c>
      <c r="D26" s="8">
        <f>15120*(100%+30%)</f>
        <v/>
      </c>
      <c r="E26" s="8" t="n">
        <v>147050</v>
      </c>
      <c r="F26" s="8">
        <f>44110*(100%+30%)</f>
        <v/>
      </c>
      <c r="H26" s="21">
        <f>E26/C26</f>
        <v/>
      </c>
    </row>
    <row r="27" ht="15.75" customHeight="1" s="23">
      <c r="A27" s="1" t="n"/>
      <c r="B27" s="3" t="n">
        <v>204</v>
      </c>
      <c r="C27" s="8" t="n">
        <v>50640</v>
      </c>
      <c r="D27" s="8">
        <f>15192*(100%+30%)</f>
        <v/>
      </c>
      <c r="E27" s="8" t="n">
        <v>147770</v>
      </c>
      <c r="F27" s="8">
        <f>44330*(100%+30%)</f>
        <v/>
      </c>
      <c r="H27" s="21">
        <f>E27/C27</f>
        <v/>
      </c>
    </row>
    <row r="28" ht="15.75" customHeight="1" s="23">
      <c r="A28" s="1" t="n"/>
      <c r="B28" s="3" t="n">
        <v>220</v>
      </c>
      <c r="C28" s="8" t="n">
        <v>54720</v>
      </c>
      <c r="D28" s="8">
        <f>16416*(100%+30%)</f>
        <v/>
      </c>
      <c r="E28" s="8" t="n">
        <v>159360</v>
      </c>
      <c r="F28" s="8">
        <f>47810*(100%+30%)</f>
        <v/>
      </c>
      <c r="H28" s="21">
        <f>E28/C28</f>
        <v/>
      </c>
    </row>
    <row r="29" ht="15.75" customHeight="1" s="23">
      <c r="A29" s="1" t="n"/>
      <c r="B29" s="3" t="n">
        <v>224</v>
      </c>
      <c r="C29" s="8" t="n">
        <v>55716</v>
      </c>
      <c r="D29" s="8">
        <f>16714.8*(100%+30%)</f>
        <v/>
      </c>
      <c r="E29" s="8" t="n">
        <v>162000</v>
      </c>
      <c r="F29" s="8">
        <f>48600*(100%+30%)</f>
        <v/>
      </c>
      <c r="H29" s="21">
        <f>E29/C29</f>
        <v/>
      </c>
    </row>
    <row r="30" ht="15.75" customHeight="1" s="23">
      <c r="A30" s="1" t="n"/>
      <c r="B30" s="3" t="n">
        <v>225</v>
      </c>
      <c r="C30" s="8" t="n">
        <v>55956</v>
      </c>
      <c r="D30" s="8">
        <f>16786.8*(100%+30%)</f>
        <v/>
      </c>
      <c r="E30" s="8" t="n">
        <v>162720</v>
      </c>
      <c r="F30" s="8">
        <f>48820*(100%+30%)</f>
        <v/>
      </c>
      <c r="H30" s="21">
        <f>E30/C30</f>
        <v/>
      </c>
    </row>
    <row r="31" ht="15.75" customHeight="1" s="23">
      <c r="A31" s="1" t="n"/>
      <c r="B31" s="3" t="n">
        <v>230</v>
      </c>
      <c r="C31" s="8" t="n">
        <v>57204</v>
      </c>
      <c r="D31" s="8">
        <f>17161.2*(100%+30%)</f>
        <v/>
      </c>
      <c r="E31" s="8" t="n">
        <v>166340</v>
      </c>
      <c r="F31" s="8">
        <f>49900*(100%+30%)</f>
        <v/>
      </c>
      <c r="H31" s="21">
        <f>E31/C31</f>
        <v/>
      </c>
    </row>
    <row r="32" ht="15.75" customHeight="1" s="23">
      <c r="A32" s="1" t="n"/>
      <c r="B32" s="3" t="n">
        <v>235</v>
      </c>
      <c r="C32" s="8" t="n">
        <v>66036</v>
      </c>
      <c r="D32" s="8">
        <f>19810.8*(100%+30%)</f>
        <v/>
      </c>
      <c r="E32" s="8" t="n">
        <v>191500</v>
      </c>
      <c r="F32" s="8">
        <f>57450*(100%+30%)</f>
        <v/>
      </c>
      <c r="H32" s="21">
        <f>E32/C32</f>
        <v/>
      </c>
    </row>
    <row r="33" ht="15.75" customHeight="1" s="23">
      <c r="A33" s="1" t="n"/>
      <c r="B33" s="3" t="n">
        <v>240</v>
      </c>
      <c r="C33" s="8" t="n">
        <v>67440</v>
      </c>
      <c r="D33" s="8">
        <f>20232*(100%+30%)</f>
        <v/>
      </c>
      <c r="E33" s="8" t="n">
        <v>195580</v>
      </c>
      <c r="F33" s="8">
        <f>58670*(100%+30%)</f>
        <v/>
      </c>
      <c r="H33" s="21">
        <f>E33/C33</f>
        <v/>
      </c>
    </row>
    <row r="34" ht="15.75" customHeight="1" s="23">
      <c r="A34" s="1" t="n"/>
      <c r="B34" s="3" t="n">
        <v>245</v>
      </c>
      <c r="C34" s="8" t="n">
        <v>68088</v>
      </c>
      <c r="D34" s="8">
        <f>20426.4*(100%+30%)</f>
        <v/>
      </c>
      <c r="E34" s="8" t="n">
        <v>197460</v>
      </c>
      <c r="F34" s="8">
        <f>59240*(100%+30%)</f>
        <v/>
      </c>
      <c r="H34" s="21">
        <f>E34/C34</f>
        <v/>
      </c>
    </row>
    <row r="35" ht="15.75" customHeight="1" s="23">
      <c r="A35" s="1" t="n"/>
      <c r="B35" s="3" t="n">
        <v>250</v>
      </c>
      <c r="C35" s="8" t="n">
        <v>69480</v>
      </c>
      <c r="D35" s="8">
        <f>20844*(100%+30%)</f>
        <v/>
      </c>
      <c r="E35" s="8" t="n">
        <v>201490</v>
      </c>
      <c r="F35" s="8">
        <f>60450*(100%+30%)</f>
        <v/>
      </c>
      <c r="H35" s="21">
        <f>E35/C35</f>
        <v/>
      </c>
    </row>
    <row r="36" ht="15.75" customHeight="1" s="23">
      <c r="A36" s="1" t="n"/>
      <c r="B36" s="3" t="n">
        <v>255</v>
      </c>
      <c r="C36" s="8" t="n">
        <v>101388</v>
      </c>
      <c r="D36" s="8">
        <f>30416.4*(100%+30%)</f>
        <v/>
      </c>
      <c r="E36" s="8" t="n">
        <v>294030</v>
      </c>
      <c r="F36" s="8">
        <f>88210*(100%+30%)</f>
        <v/>
      </c>
      <c r="H36" s="21">
        <f>E36/C36</f>
        <v/>
      </c>
    </row>
    <row r="37" ht="15.75" customHeight="1" s="23">
      <c r="A37" s="1" t="n"/>
      <c r="B37" s="3" t="n">
        <v>260</v>
      </c>
      <c r="C37" s="8" t="n">
        <v>103380</v>
      </c>
      <c r="D37" s="8">
        <f>31014*(100%+30%)</f>
        <v/>
      </c>
      <c r="E37" s="8" t="n">
        <v>299800</v>
      </c>
      <c r="F37" s="8">
        <f>89940*(100%+30%)</f>
        <v/>
      </c>
      <c r="H37" s="21">
        <f>E37/C37</f>
        <v/>
      </c>
    </row>
    <row r="38" ht="15.75" customHeight="1" s="23">
      <c r="A38" s="1" t="n"/>
      <c r="B38" s="3" t="n">
        <v>265</v>
      </c>
      <c r="C38" s="8" t="n">
        <v>105360</v>
      </c>
      <c r="D38" s="8">
        <f>31608*(100%+30%)</f>
        <v/>
      </c>
      <c r="E38" s="8" t="n">
        <v>305540</v>
      </c>
      <c r="F38" s="8">
        <f>91660*(100%+30%)</f>
        <v/>
      </c>
      <c r="H38" s="21">
        <f>E38/C38</f>
        <v/>
      </c>
    </row>
    <row r="39" ht="15.75" customHeight="1" s="23">
      <c r="A39" s="1" t="n"/>
      <c r="B39" s="3" t="n">
        <v>305</v>
      </c>
      <c r="C39" s="8" t="n">
        <v>134430</v>
      </c>
      <c r="D39" s="8">
        <f>40329*(100%+30%)</f>
        <v/>
      </c>
      <c r="E39" s="8" t="n">
        <v>389860</v>
      </c>
      <c r="F39" s="8">
        <f>116960*(100%+30%)</f>
        <v/>
      </c>
      <c r="H39" s="21">
        <f>E39/C39</f>
        <v/>
      </c>
    </row>
    <row r="40" ht="15.75" customHeight="1" s="23">
      <c r="A40" s="1" t="n"/>
      <c r="B40" s="3" t="n">
        <v>310</v>
      </c>
      <c r="C40" s="8" t="n">
        <v>136630</v>
      </c>
      <c r="D40" s="8">
        <f>40989*(100%+30%)</f>
        <v/>
      </c>
      <c r="E40" s="8" t="n">
        <v>396250</v>
      </c>
      <c r="F40" s="8">
        <f>118870*(100%+30%)</f>
        <v/>
      </c>
      <c r="H40" s="21">
        <f>E40/C40</f>
        <v/>
      </c>
    </row>
    <row r="41" ht="15.75" customHeight="1" s="23">
      <c r="A41" s="1" t="n"/>
      <c r="B41" s="3" t="n">
        <v>335</v>
      </c>
      <c r="C41" s="8" t="n">
        <v>147650</v>
      </c>
      <c r="D41" s="8">
        <f>44295*(100%+30%)</f>
        <v/>
      </c>
      <c r="E41" s="8" t="n">
        <v>428200</v>
      </c>
      <c r="F41" s="8">
        <f>128460*(100%+30%)</f>
        <v/>
      </c>
      <c r="H41" s="21">
        <f>E41/C41</f>
        <v/>
      </c>
    </row>
    <row r="42" ht="15.75" customHeight="1" s="23">
      <c r="A42" s="1" t="n"/>
      <c r="B42" s="3" t="n">
        <v>338</v>
      </c>
      <c r="C42" s="8" t="n">
        <v>149860</v>
      </c>
      <c r="D42" s="8">
        <f>44958*(100%+30%)</f>
        <v/>
      </c>
      <c r="E42" s="8" t="n">
        <v>434590</v>
      </c>
      <c r="F42" s="8">
        <f>130380*(100%+30%)</f>
        <v/>
      </c>
      <c r="H42" s="21">
        <f>E42/C42</f>
        <v/>
      </c>
    </row>
    <row r="43" ht="15.75" customHeight="1" s="23">
      <c r="A43" s="3" t="n"/>
      <c r="B43" s="3" t="n">
        <v>340</v>
      </c>
      <c r="C43" s="8" t="n">
        <v>149860</v>
      </c>
      <c r="D43" s="8">
        <f>44958*(100%+30%)</f>
        <v/>
      </c>
      <c r="E43" s="8" t="n">
        <v>434590</v>
      </c>
      <c r="F43" s="8">
        <f>130380*(100%+30%)</f>
        <v/>
      </c>
      <c r="H43" s="21">
        <f>E43/C43</f>
        <v/>
      </c>
    </row>
    <row r="44" ht="15.75" customHeight="1" s="23">
      <c r="A44" s="3" t="n"/>
      <c r="B44" s="3" t="inlineStr">
        <is>
          <t>КК-62, КК-82</t>
        </is>
      </c>
      <c r="C44" s="8" t="n">
        <v>34800</v>
      </c>
      <c r="D44" s="8">
        <f>10440*(100%+30%)</f>
        <v/>
      </c>
      <c r="E44" s="8" t="n">
        <v>100920</v>
      </c>
      <c r="F44" s="8">
        <f>30280*(100%+30%)</f>
        <v/>
      </c>
      <c r="H44" s="21">
        <f>E44/C44</f>
        <v/>
      </c>
    </row>
    <row r="45" ht="17.25" customHeight="1" s="23"/>
    <row r="46" ht="15.75" customHeight="1" s="23">
      <c r="A46" t="inlineStr">
        <is>
          <t>Cook картр.</t>
        </is>
      </c>
      <c r="B46" s="4" t="inlineStr">
        <is>
          <t>Кольцо</t>
        </is>
      </c>
      <c r="C46" s="6">
        <f>482*(100%+30%)</f>
        <v/>
      </c>
    </row>
    <row r="47" ht="15.75" customHeight="1" s="23">
      <c r="A47" t="inlineStr">
        <is>
          <t>#18-5,6,8,9</t>
        </is>
      </c>
      <c r="B47" s="4" t="inlineStr">
        <is>
          <t>Пружина</t>
        </is>
      </c>
      <c r="C47" s="6">
        <f>800*(100%+30%)</f>
        <v/>
      </c>
    </row>
    <row r="48" ht="15.75" customHeight="1" s="23">
      <c r="B48" s="4" t="inlineStr">
        <is>
          <t>Картридж (бочонок)</t>
        </is>
      </c>
      <c r="C48" s="6">
        <f>963*(100%+30%)</f>
        <v/>
      </c>
    </row>
    <row r="49" ht="15.75" customHeight="1" s="23">
      <c r="A49" t="inlineStr">
        <is>
          <t>#21</t>
        </is>
      </c>
      <c r="B49" s="4" t="inlineStr">
        <is>
          <t>Пружина</t>
        </is>
      </c>
      <c r="C49" s="6">
        <f>650*(100%+30%)</f>
        <v/>
      </c>
    </row>
    <row r="51" ht="162.75" customHeight="1" s="23">
      <c r="A51" s="22" t="inlineStr">
        <is>
          <t xml:space="preserve">-Вилка РУ на клапаны диаметром до 150мм – 15000 (Без НДС)
-Вилка РУ на клапаны диаметром от 150мм до 250мм – 25000 (Без НДС)
-Вилка РУ на клапаны диаметром от 250мм – 35000 (Без НДС)
-КК = с/с клапана +40%
-Стоимость ЗИП по умолчанию составляет 30% стоимости клапана
Цены:
- на клапаны для перепада и конечного давления более 6,4МПа 
- производителям компрессорного оборудования
- пэкиджерам импортных компрессоров
- ЗИП к импортным клапанам COOK, CPI, Hoerbiger
</t>
        </is>
      </c>
    </row>
    <row r="52">
      <c r="A52" s="10" t="inlineStr">
        <is>
          <t>При подаче предложений на тендер взамен импортных клапанов цены согласовывать в обязательном порядке</t>
        </is>
      </c>
    </row>
  </sheetData>
  <mergeCells count="3">
    <mergeCell ref="A51:F51"/>
    <mergeCell ref="E3:F3"/>
    <mergeCell ref="C3:D3"/>
  </mergeCells>
  <pageMargins left="0" right="0.2362204724409449" top="0" bottom="0.7480314960629921" header="0.3149606299212598" footer="0.3149606299212598"/>
  <pageSetup orientation="portrait" paperSize="9" scale="6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D3" sqref="D3:D4"/>
    </sheetView>
  </sheetViews>
  <sheetFormatPr baseColWidth="8" defaultColWidth="8.85546875" defaultRowHeight="15"/>
  <cols>
    <col width="14" customWidth="1" style="11" min="1" max="1"/>
    <col width="15.140625" customWidth="1" style="11" min="2" max="2"/>
    <col width="8.85546875" customWidth="1" style="11" min="3" max="3"/>
    <col width="8.85546875" customWidth="1" style="11" min="4" max="16384"/>
  </cols>
  <sheetData>
    <row r="1" ht="48" customHeight="1" s="23" thickBot="1">
      <c r="A1" s="16" t="inlineStr">
        <is>
          <t>Диаметр нужного клапана</t>
        </is>
      </c>
      <c r="B1" s="20" t="inlineStr">
        <is>
          <t>Кол-во пружин</t>
        </is>
      </c>
    </row>
    <row r="2" ht="27.2" customHeight="1" s="23" thickBot="1">
      <c r="A2" s="17" t="n">
        <v>400</v>
      </c>
      <c r="B2" s="12">
        <f>ROUND(POWER(A2/2,1.5)/43,0)</f>
        <v/>
      </c>
    </row>
    <row r="3">
      <c r="A3" s="13" t="inlineStr">
        <is>
          <t>Посадочный D</t>
        </is>
      </c>
      <c r="B3" s="13" t="inlineStr">
        <is>
          <t>Кол-во пружин</t>
        </is>
      </c>
    </row>
    <row r="4">
      <c r="A4" s="12" t="n">
        <v>100</v>
      </c>
      <c r="B4" s="12">
        <f>ROUND(POWER(A4/2,1.5)/43,0)</f>
        <v/>
      </c>
    </row>
    <row r="5">
      <c r="A5" s="12" t="n">
        <v>110</v>
      </c>
      <c r="B5" s="12">
        <f>ROUND(POWER(A5/2,1.5)/43,0)</f>
        <v/>
      </c>
    </row>
    <row r="6">
      <c r="A6" s="12" t="n">
        <v>120</v>
      </c>
      <c r="B6" s="12">
        <f>ROUND(POWER(A6/2,1.5)/43,0)</f>
        <v/>
      </c>
    </row>
    <row r="7">
      <c r="A7" s="12" t="n">
        <v>140</v>
      </c>
      <c r="B7" s="12">
        <f>ROUND(POWER(A7/2,1.5)/43,0)</f>
        <v/>
      </c>
    </row>
    <row r="8">
      <c r="A8" s="12" t="n">
        <v>160</v>
      </c>
      <c r="B8" s="12">
        <f>ROUND(POWER(A8/2,1.5)/43,0)</f>
        <v/>
      </c>
    </row>
    <row r="9">
      <c r="A9" s="12" t="n">
        <v>180</v>
      </c>
      <c r="B9" s="12">
        <f>ROUND(POWER(A9/2,1.5)/43,0)</f>
        <v/>
      </c>
    </row>
    <row r="10">
      <c r="A10" s="12" t="n">
        <v>200</v>
      </c>
      <c r="B10" s="12">
        <f>ROUND(POWER(A10/2,1.5)/43,0)</f>
        <v/>
      </c>
    </row>
    <row r="11">
      <c r="A11" s="12" t="n">
        <v>220</v>
      </c>
      <c r="B11" s="12">
        <f>ROUND(POWER(A11/2,1.5)/43,0)</f>
        <v/>
      </c>
    </row>
    <row r="12">
      <c r="A12" s="12" t="n">
        <v>240</v>
      </c>
      <c r="B12" s="12">
        <f>ROUND(POWER(A12/2,1.5)/43,0)</f>
        <v/>
      </c>
    </row>
    <row r="13">
      <c r="A13" s="12" t="n">
        <v>270</v>
      </c>
      <c r="B13" s="12">
        <f>ROUND(POWER(A13/2,1.5)/43,0)</f>
        <v/>
      </c>
    </row>
    <row r="14">
      <c r="A14" s="12" t="n">
        <v>300</v>
      </c>
      <c r="B14" s="12">
        <f>ROUND(POWER(A14/2,1.5)/43,0)</f>
        <v/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AGV</dc:creator>
  <dcterms:created xmlns:dcterms="http://purl.org/dc/terms/" xmlns:xsi="http://www.w3.org/2001/XMLSchema-instance" xsi:type="dcterms:W3CDTF">2011-09-27T12:00:38Z</dcterms:created>
  <dcterms:modified xmlns:dcterms="http://purl.org/dc/terms/" xmlns:xsi="http://www.w3.org/2001/XMLSchema-instance" xsi:type="dcterms:W3CDTF">2024-05-15T13:50:40Z</dcterms:modified>
  <cp:lastModifiedBy>Сергей Кульминский</cp:lastModifiedBy>
  <cp:lastPrinted>2022-12-12T10:47:07Z</cp:lastPrinted>
</cp:coreProperties>
</file>