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.aryan\Documents\"/>
    </mc:Choice>
  </mc:AlternateContent>
  <xr:revisionPtr revIDLastSave="0" documentId="8_{505DEBBD-2414-4D81-9093-E61D81C710E3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W14 January" sheetId="4" state="hidden" r:id="rId1"/>
    <sheet name="estimate" sheetId="14" state="hidden" r:id="rId2"/>
    <sheet name="FY23 Dec" sheetId="18" r:id="rId3"/>
    <sheet name="Sheet1" sheetId="17" r:id="rId4"/>
    <sheet name="CMTs format map" sheetId="20" r:id="rId5"/>
    <sheet name="CMT-inter" sheetId="5" r:id="rId6"/>
    <sheet name="cell parameters" sheetId="7" r:id="rId7"/>
    <sheet name="CMT" sheetId="10" r:id="rId8"/>
    <sheet name="force cell counts" sheetId="19" r:id="rId9"/>
  </sheets>
  <definedNames>
    <definedName name="_xlnm._FilterDatabase" localSheetId="6" hidden="1">'cell parameters'!$A$1:$U$1</definedName>
    <definedName name="_xlnm._FilterDatabase" localSheetId="7" hidden="1">CMT!$A$1:$S$70</definedName>
    <definedName name="_xlnm._FilterDatabase" localSheetId="8" hidden="1">'force cell counts'!$B$1:$J$58</definedName>
    <definedName name="_xlnm.Print_Area" localSheetId="0">'W14 January'!$A$2:$DC$15</definedName>
    <definedName name="_xlnm.Print_Titles" localSheetId="0">'W14 January'!$1:$2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2" i="5"/>
  <c r="K2" i="5"/>
  <c r="H57" i="10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S3" i="10"/>
  <c r="S6" i="10"/>
  <c r="S9" i="10"/>
  <c r="S11" i="10"/>
  <c r="S15" i="10"/>
  <c r="S17" i="10"/>
  <c r="S67" i="10"/>
  <c r="S69" i="10"/>
  <c r="M23" i="19" l="1"/>
  <c r="N23" i="19" s="1"/>
  <c r="O23" i="19" s="1"/>
  <c r="L23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2" i="19"/>
  <c r="H2" i="19"/>
  <c r="D5" i="5"/>
  <c r="S4" i="10"/>
  <c r="N69" i="10"/>
  <c r="M63" i="10"/>
  <c r="M64" i="10"/>
  <c r="M65" i="10"/>
  <c r="M6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2" i="10"/>
  <c r="H6" i="7"/>
  <c r="H7" i="7"/>
  <c r="H5" i="7"/>
  <c r="G3" i="7"/>
  <c r="G4" i="7"/>
  <c r="G5" i="7"/>
  <c r="G6" i="7"/>
  <c r="G7" i="7"/>
  <c r="G2" i="7"/>
  <c r="L7" i="7"/>
  <c r="L6" i="7"/>
  <c r="L5" i="7"/>
  <c r="L4" i="7"/>
  <c r="L3" i="7"/>
  <c r="L2" i="7"/>
  <c r="D7" i="7"/>
  <c r="B7" i="7"/>
  <c r="B6" i="7"/>
  <c r="D6" i="7" s="1"/>
  <c r="B5" i="7"/>
  <c r="D5" i="7" s="1"/>
  <c r="B4" i="7"/>
  <c r="B3" i="7"/>
  <c r="D3" i="7" s="1"/>
  <c r="B2" i="7"/>
  <c r="D2" i="7" s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S7" i="10"/>
  <c r="D6" i="5"/>
  <c r="B6" i="5"/>
  <c r="C6" i="5" s="1"/>
  <c r="D3" i="5"/>
  <c r="B3" i="5"/>
  <c r="C3" i="5" s="1"/>
  <c r="F2" i="7"/>
  <c r="K2" i="10" s="1"/>
  <c r="F3" i="7"/>
  <c r="K3" i="10" s="1"/>
  <c r="F7" i="7"/>
  <c r="K7" i="10" s="1"/>
  <c r="F6" i="7"/>
  <c r="K6" i="10" s="1"/>
  <c r="F5" i="7"/>
  <c r="K5" i="10" s="1"/>
  <c r="F4" i="7"/>
  <c r="K4" i="10" s="1"/>
  <c r="R17" i="7"/>
  <c r="R18" i="7"/>
  <c r="D4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R66" i="7"/>
  <c r="R65" i="7"/>
  <c r="R64" i="7"/>
  <c r="R63" i="7"/>
  <c r="R48" i="7"/>
  <c r="R47" i="7"/>
  <c r="U66" i="7"/>
  <c r="O66" i="7"/>
  <c r="L66" i="7"/>
  <c r="U65" i="7"/>
  <c r="O65" i="7"/>
  <c r="L65" i="7"/>
  <c r="U64" i="7"/>
  <c r="O64" i="7"/>
  <c r="L64" i="7"/>
  <c r="U63" i="7"/>
  <c r="O63" i="7"/>
  <c r="L63" i="7"/>
  <c r="U62" i="7"/>
  <c r="O62" i="7"/>
  <c r="L62" i="7"/>
  <c r="U61" i="7"/>
  <c r="O61" i="7"/>
  <c r="L61" i="7"/>
  <c r="U60" i="7"/>
  <c r="O60" i="7"/>
  <c r="L60" i="7"/>
  <c r="U59" i="7"/>
  <c r="O59" i="7"/>
  <c r="L59" i="7"/>
  <c r="H59" i="7"/>
  <c r="H60" i="7"/>
  <c r="H61" i="7"/>
  <c r="H62" i="7"/>
  <c r="H63" i="7"/>
  <c r="H64" i="7"/>
  <c r="H65" i="7"/>
  <c r="H66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33" i="7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U32" i="7"/>
  <c r="O32" i="7"/>
  <c r="L32" i="7"/>
  <c r="G32" i="7"/>
  <c r="B32" i="7"/>
  <c r="D32" i="7" s="1"/>
  <c r="B14" i="7"/>
  <c r="B29" i="7"/>
  <c r="D29" i="7" s="1"/>
  <c r="G29" i="7"/>
  <c r="L29" i="7"/>
  <c r="O29" i="7"/>
  <c r="U29" i="7"/>
  <c r="U18" i="18"/>
  <c r="T18" i="18"/>
  <c r="F27" i="5"/>
  <c r="F20" i="5"/>
  <c r="F3" i="5"/>
  <c r="F6" i="5"/>
  <c r="F10" i="5"/>
  <c r="F17" i="5"/>
  <c r="F21" i="5"/>
  <c r="F19" i="5"/>
  <c r="F11" i="5"/>
  <c r="F30" i="5"/>
  <c r="F12" i="5"/>
  <c r="F2" i="5"/>
  <c r="F16" i="5"/>
  <c r="F14" i="5"/>
  <c r="F24" i="5"/>
  <c r="F28" i="5"/>
  <c r="F22" i="5"/>
  <c r="F7" i="5"/>
  <c r="F4" i="5"/>
  <c r="F15" i="5"/>
  <c r="F26" i="5"/>
  <c r="F5" i="5"/>
  <c r="F29" i="5"/>
  <c r="F25" i="5"/>
  <c r="F23" i="5"/>
  <c r="F13" i="5"/>
  <c r="F9" i="5"/>
  <c r="F18" i="5"/>
  <c r="F8" i="5"/>
  <c r="G6" i="5" l="1"/>
  <c r="L6" i="5" s="1"/>
  <c r="G3" i="5"/>
  <c r="L3" i="5" s="1"/>
  <c r="G30" i="5"/>
  <c r="G29" i="5"/>
  <c r="G27" i="5"/>
  <c r="G28" i="5"/>
  <c r="F61" i="7"/>
  <c r="K61" i="10" s="1"/>
  <c r="F29" i="7"/>
  <c r="K29" i="10" s="1"/>
  <c r="F66" i="7"/>
  <c r="K66" i="10" s="1"/>
  <c r="F62" i="7"/>
  <c r="K62" i="10" s="1"/>
  <c r="F32" i="7"/>
  <c r="K32" i="10" s="1"/>
  <c r="F65" i="7"/>
  <c r="K65" i="10" s="1"/>
  <c r="F64" i="7"/>
  <c r="K64" i="10" s="1"/>
  <c r="F60" i="7"/>
  <c r="K60" i="10" s="1"/>
  <c r="F63" i="7"/>
  <c r="K63" i="10" s="1"/>
  <c r="F59" i="7"/>
  <c r="K59" i="10" s="1"/>
  <c r="G8" i="7"/>
  <c r="F8" i="7" s="1"/>
  <c r="K8" i="10" s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30" i="7"/>
  <c r="G31" i="7"/>
  <c r="B8" i="7"/>
  <c r="D8" i="7" s="1"/>
  <c r="L8" i="7"/>
  <c r="O8" i="7"/>
  <c r="R8" i="7"/>
  <c r="U8" i="7"/>
  <c r="B9" i="7"/>
  <c r="D9" i="7" s="1"/>
  <c r="L9" i="7"/>
  <c r="O9" i="7"/>
  <c r="R9" i="7"/>
  <c r="U9" i="7"/>
  <c r="B10" i="7"/>
  <c r="D10" i="7" s="1"/>
  <c r="L10" i="7"/>
  <c r="O10" i="7"/>
  <c r="R10" i="7"/>
  <c r="U10" i="7"/>
  <c r="S65" i="10" l="1"/>
  <c r="S66" i="10"/>
  <c r="S61" i="10"/>
  <c r="S62" i="10"/>
  <c r="S63" i="10"/>
  <c r="S64" i="10"/>
  <c r="S59" i="10"/>
  <c r="S60" i="10"/>
  <c r="J3" i="5"/>
  <c r="J6" i="5"/>
  <c r="F9" i="7"/>
  <c r="K9" i="10" s="1"/>
  <c r="F10" i="7"/>
  <c r="K10" i="10" s="1"/>
  <c r="S30" i="10" l="1"/>
  <c r="S32" i="10"/>
  <c r="S31" i="10"/>
  <c r="S27" i="10"/>
  <c r="S26" i="10"/>
  <c r="S68" i="10"/>
  <c r="S5" i="10"/>
  <c r="S19" i="10" l="1"/>
  <c r="S25" i="10"/>
  <c r="S10" i="10"/>
  <c r="S70" i="10"/>
  <c r="S8" i="10"/>
  <c r="S12" i="10"/>
  <c r="S16" i="10"/>
  <c r="S20" i="10"/>
  <c r="S18" i="10"/>
  <c r="S35" i="10"/>
  <c r="S36" i="10"/>
  <c r="S43" i="10"/>
  <c r="S44" i="10"/>
  <c r="S51" i="10"/>
  <c r="S52" i="10"/>
  <c r="S23" i="10"/>
  <c r="S13" i="10"/>
  <c r="S21" i="10"/>
  <c r="S29" i="10"/>
  <c r="S14" i="10"/>
  <c r="S22" i="10"/>
  <c r="S24" i="10"/>
  <c r="S28" i="10"/>
  <c r="S37" i="10"/>
  <c r="S38" i="10"/>
  <c r="S45" i="10"/>
  <c r="S46" i="10"/>
  <c r="S53" i="10"/>
  <c r="S54" i="10"/>
  <c r="S39" i="10"/>
  <c r="S40" i="10"/>
  <c r="S47" i="10"/>
  <c r="S48" i="10"/>
  <c r="S55" i="10"/>
  <c r="S56" i="10"/>
  <c r="S33" i="10"/>
  <c r="S34" i="10"/>
  <c r="S41" i="10"/>
  <c r="S42" i="10"/>
  <c r="S49" i="10"/>
  <c r="S50" i="10"/>
  <c r="S57" i="10"/>
  <c r="S58" i="10"/>
  <c r="G4" i="5"/>
  <c r="G5" i="5"/>
  <c r="G8" i="5"/>
  <c r="G9" i="5"/>
  <c r="G12" i="5"/>
  <c r="G14" i="5"/>
  <c r="G15" i="5"/>
  <c r="G18" i="5"/>
  <c r="G20" i="5"/>
  <c r="G21" i="5"/>
  <c r="G22" i="5"/>
  <c r="G25" i="5"/>
  <c r="G2" i="5"/>
  <c r="G7" i="5"/>
  <c r="G10" i="5"/>
  <c r="G11" i="5"/>
  <c r="G13" i="5"/>
  <c r="G16" i="5"/>
  <c r="G17" i="5"/>
  <c r="G19" i="5"/>
  <c r="G23" i="5"/>
  <c r="G24" i="5"/>
  <c r="G26" i="5"/>
  <c r="J27" i="5" l="1"/>
  <c r="L27" i="5"/>
  <c r="J28" i="5"/>
  <c r="L28" i="5"/>
  <c r="J29" i="5"/>
  <c r="L29" i="5"/>
  <c r="J30" i="5"/>
  <c r="L30" i="5"/>
  <c r="L19" i="5"/>
  <c r="J19" i="5"/>
  <c r="L24" i="5"/>
  <c r="J24" i="5"/>
  <c r="L16" i="5"/>
  <c r="J16" i="5"/>
  <c r="L7" i="5"/>
  <c r="J7" i="5"/>
  <c r="L25" i="5"/>
  <c r="J25" i="5"/>
  <c r="L18" i="5"/>
  <c r="J18" i="5"/>
  <c r="L9" i="5"/>
  <c r="J9" i="5"/>
  <c r="L23" i="5"/>
  <c r="J23" i="5"/>
  <c r="L13" i="5"/>
  <c r="J13" i="5"/>
  <c r="L22" i="5"/>
  <c r="J22" i="5"/>
  <c r="L15" i="5"/>
  <c r="J15" i="5"/>
  <c r="L8" i="5"/>
  <c r="J8" i="5"/>
  <c r="L11" i="5"/>
  <c r="J11" i="5"/>
  <c r="L2" i="5"/>
  <c r="J2" i="5"/>
  <c r="L21" i="5"/>
  <c r="J21" i="5"/>
  <c r="L14" i="5"/>
  <c r="J14" i="5"/>
  <c r="L5" i="5"/>
  <c r="J5" i="5"/>
  <c r="L26" i="5"/>
  <c r="J26" i="5"/>
  <c r="L17" i="5"/>
  <c r="J17" i="5"/>
  <c r="L10" i="5"/>
  <c r="J10" i="5"/>
  <c r="L20" i="5"/>
  <c r="J20" i="5"/>
  <c r="L12" i="5"/>
  <c r="J12" i="5"/>
  <c r="L4" i="5"/>
  <c r="J4" i="5"/>
  <c r="B28" i="5" l="1"/>
  <c r="C28" i="5" s="1"/>
  <c r="B29" i="5"/>
  <c r="C29" i="5" s="1"/>
  <c r="B30" i="5"/>
  <c r="C30" i="5" s="1"/>
  <c r="E11" i="14"/>
  <c r="R56" i="7"/>
  <c r="R55" i="7"/>
  <c r="B58" i="7"/>
  <c r="D58" i="7" s="1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1" i="7"/>
  <c r="B30" i="7"/>
  <c r="B28" i="7"/>
  <c r="B27" i="7"/>
  <c r="B26" i="7"/>
  <c r="B25" i="7"/>
  <c r="B11" i="7"/>
  <c r="B12" i="7"/>
  <c r="B13" i="7"/>
  <c r="B15" i="7"/>
  <c r="B16" i="7"/>
  <c r="B17" i="7"/>
  <c r="B18" i="7"/>
  <c r="B19" i="7"/>
  <c r="B20" i="7"/>
  <c r="B21" i="7"/>
  <c r="B22" i="7"/>
  <c r="B23" i="7"/>
  <c r="B24" i="7"/>
  <c r="D11" i="7" l="1"/>
  <c r="L11" i="7"/>
  <c r="O11" i="7"/>
  <c r="R11" i="7"/>
  <c r="U11" i="7"/>
  <c r="D12" i="7"/>
  <c r="L12" i="7"/>
  <c r="F12" i="7" s="1"/>
  <c r="K12" i="10" s="1"/>
  <c r="U12" i="7"/>
  <c r="D13" i="7"/>
  <c r="L13" i="7"/>
  <c r="O13" i="7"/>
  <c r="R13" i="7"/>
  <c r="U13" i="7"/>
  <c r="D14" i="7"/>
  <c r="L14" i="7"/>
  <c r="O14" i="7"/>
  <c r="R14" i="7"/>
  <c r="U14" i="7"/>
  <c r="D15" i="7"/>
  <c r="L15" i="7"/>
  <c r="O15" i="7"/>
  <c r="R15" i="7"/>
  <c r="U15" i="7"/>
  <c r="D16" i="7"/>
  <c r="L16" i="7"/>
  <c r="O16" i="7"/>
  <c r="R16" i="7"/>
  <c r="U16" i="7"/>
  <c r="D17" i="7"/>
  <c r="L17" i="7"/>
  <c r="O17" i="7"/>
  <c r="U17" i="7"/>
  <c r="D18" i="7"/>
  <c r="L18" i="7"/>
  <c r="O18" i="7"/>
  <c r="U18" i="7"/>
  <c r="D19" i="7"/>
  <c r="L19" i="7"/>
  <c r="O19" i="7"/>
  <c r="R19" i="7"/>
  <c r="U19" i="7"/>
  <c r="D20" i="7"/>
  <c r="L20" i="7"/>
  <c r="O20" i="7"/>
  <c r="R20" i="7"/>
  <c r="U20" i="7"/>
  <c r="D21" i="7"/>
  <c r="L21" i="7"/>
  <c r="O21" i="7"/>
  <c r="R21" i="7"/>
  <c r="U21" i="7"/>
  <c r="D22" i="7"/>
  <c r="L22" i="7"/>
  <c r="O22" i="7"/>
  <c r="R22" i="7"/>
  <c r="U22" i="7"/>
  <c r="D23" i="7"/>
  <c r="L23" i="7"/>
  <c r="O23" i="7"/>
  <c r="R23" i="7"/>
  <c r="U23" i="7"/>
  <c r="D24" i="7"/>
  <c r="L24" i="7"/>
  <c r="O24" i="7"/>
  <c r="R24" i="7"/>
  <c r="U24" i="7"/>
  <c r="D25" i="7"/>
  <c r="L25" i="7"/>
  <c r="O25" i="7"/>
  <c r="U25" i="7"/>
  <c r="D26" i="7"/>
  <c r="L26" i="7"/>
  <c r="O26" i="7"/>
  <c r="R26" i="7"/>
  <c r="U26" i="7"/>
  <c r="D27" i="7"/>
  <c r="L27" i="7"/>
  <c r="O27" i="7"/>
  <c r="U27" i="7"/>
  <c r="D28" i="7"/>
  <c r="L28" i="7"/>
  <c r="O28" i="7"/>
  <c r="U28" i="7"/>
  <c r="D30" i="7"/>
  <c r="L30" i="7"/>
  <c r="O30" i="7"/>
  <c r="U30" i="7"/>
  <c r="D31" i="7"/>
  <c r="L31" i="7"/>
  <c r="O31" i="7"/>
  <c r="U31" i="7"/>
  <c r="D33" i="7"/>
  <c r="L33" i="7"/>
  <c r="O33" i="7"/>
  <c r="U33" i="7"/>
  <c r="D34" i="7"/>
  <c r="L34" i="7"/>
  <c r="O34" i="7"/>
  <c r="U34" i="7"/>
  <c r="D35" i="7"/>
  <c r="L35" i="7"/>
  <c r="O35" i="7"/>
  <c r="U35" i="7"/>
  <c r="D36" i="7"/>
  <c r="L36" i="7"/>
  <c r="O36" i="7"/>
  <c r="U36" i="7"/>
  <c r="D37" i="7"/>
  <c r="L37" i="7"/>
  <c r="O37" i="7"/>
  <c r="U37" i="7"/>
  <c r="D38" i="7"/>
  <c r="L38" i="7"/>
  <c r="O38" i="7"/>
  <c r="U38" i="7"/>
  <c r="D39" i="7"/>
  <c r="L39" i="7"/>
  <c r="O39" i="7"/>
  <c r="U39" i="7"/>
  <c r="D40" i="7"/>
  <c r="L40" i="7"/>
  <c r="O40" i="7"/>
  <c r="U40" i="7"/>
  <c r="D41" i="7"/>
  <c r="L41" i="7"/>
  <c r="O41" i="7"/>
  <c r="U41" i="7"/>
  <c r="D42" i="7"/>
  <c r="L42" i="7"/>
  <c r="O42" i="7"/>
  <c r="U42" i="7"/>
  <c r="D43" i="7"/>
  <c r="L43" i="7"/>
  <c r="O43" i="7"/>
  <c r="U43" i="7"/>
  <c r="D44" i="7"/>
  <c r="L44" i="7"/>
  <c r="O44" i="7"/>
  <c r="U44" i="7"/>
  <c r="D45" i="7"/>
  <c r="L45" i="7"/>
  <c r="O45" i="7"/>
  <c r="U45" i="7"/>
  <c r="D46" i="7"/>
  <c r="L46" i="7"/>
  <c r="O46" i="7"/>
  <c r="U46" i="7"/>
  <c r="D47" i="7"/>
  <c r="L47" i="7"/>
  <c r="O47" i="7"/>
  <c r="U47" i="7"/>
  <c r="D48" i="7"/>
  <c r="L48" i="7"/>
  <c r="O48" i="7"/>
  <c r="U48" i="7"/>
  <c r="D49" i="7"/>
  <c r="L49" i="7"/>
  <c r="O49" i="7"/>
  <c r="U49" i="7"/>
  <c r="D50" i="7"/>
  <c r="L50" i="7"/>
  <c r="O50" i="7"/>
  <c r="U50" i="7"/>
  <c r="D51" i="7"/>
  <c r="L51" i="7"/>
  <c r="O51" i="7"/>
  <c r="U51" i="7"/>
  <c r="D52" i="7"/>
  <c r="L52" i="7"/>
  <c r="O52" i="7"/>
  <c r="U52" i="7"/>
  <c r="D53" i="7"/>
  <c r="L53" i="7"/>
  <c r="O53" i="7"/>
  <c r="U53" i="7"/>
  <c r="D54" i="7"/>
  <c r="L54" i="7"/>
  <c r="O54" i="7"/>
  <c r="U54" i="7"/>
  <c r="D55" i="7"/>
  <c r="L55" i="7"/>
  <c r="O55" i="7"/>
  <c r="U55" i="7"/>
  <c r="D56" i="7"/>
  <c r="L56" i="7"/>
  <c r="O56" i="7"/>
  <c r="U56" i="7"/>
  <c r="D57" i="7"/>
  <c r="L57" i="7"/>
  <c r="O57" i="7"/>
  <c r="U57" i="7"/>
  <c r="L58" i="7"/>
  <c r="O58" i="7"/>
  <c r="U58" i="7"/>
  <c r="F44" i="7" l="1"/>
  <c r="K44" i="10" s="1"/>
  <c r="F43" i="7"/>
  <c r="K43" i="10" s="1"/>
  <c r="F42" i="7"/>
  <c r="K42" i="10" s="1"/>
  <c r="F41" i="7"/>
  <c r="K41" i="10" s="1"/>
  <c r="F40" i="7"/>
  <c r="K40" i="10" s="1"/>
  <c r="F39" i="7"/>
  <c r="K39" i="10" s="1"/>
  <c r="F38" i="7"/>
  <c r="K38" i="10" s="1"/>
  <c r="F37" i="7"/>
  <c r="K37" i="10" s="1"/>
  <c r="F36" i="7"/>
  <c r="K36" i="10" s="1"/>
  <c r="F35" i="7"/>
  <c r="K35" i="10" s="1"/>
  <c r="F34" i="7"/>
  <c r="K34" i="10" s="1"/>
  <c r="F33" i="7"/>
  <c r="K33" i="10" s="1"/>
  <c r="F57" i="7"/>
  <c r="K57" i="10" s="1"/>
  <c r="F56" i="7"/>
  <c r="K56" i="10" s="1"/>
  <c r="F55" i="7"/>
  <c r="K55" i="10" s="1"/>
  <c r="F54" i="7"/>
  <c r="K54" i="10" s="1"/>
  <c r="F53" i="7"/>
  <c r="K53" i="10" s="1"/>
  <c r="F52" i="7"/>
  <c r="K52" i="10" s="1"/>
  <c r="F51" i="7"/>
  <c r="K51" i="10" s="1"/>
  <c r="F50" i="7"/>
  <c r="K50" i="10" s="1"/>
  <c r="F49" i="7"/>
  <c r="K49" i="10" s="1"/>
  <c r="F48" i="7"/>
  <c r="K48" i="10" s="1"/>
  <c r="F47" i="7"/>
  <c r="K47" i="10" s="1"/>
  <c r="F46" i="7"/>
  <c r="K46" i="10" s="1"/>
  <c r="F45" i="7"/>
  <c r="K45" i="10" s="1"/>
  <c r="F58" i="7"/>
  <c r="K58" i="10" s="1"/>
  <c r="F26" i="7"/>
  <c r="K26" i="10" s="1"/>
  <c r="F28" i="7"/>
  <c r="K28" i="10" s="1"/>
  <c r="F25" i="7"/>
  <c r="K25" i="10" s="1"/>
  <c r="F23" i="7"/>
  <c r="K23" i="10" s="1"/>
  <c r="F21" i="7"/>
  <c r="K21" i="10" s="1"/>
  <c r="F19" i="7"/>
  <c r="K19" i="10" s="1"/>
  <c r="F16" i="7"/>
  <c r="K16" i="10" s="1"/>
  <c r="F14" i="7"/>
  <c r="K14" i="10" s="1"/>
  <c r="F11" i="7"/>
  <c r="K11" i="10" s="1"/>
  <c r="F30" i="7"/>
  <c r="K30" i="10" s="1"/>
  <c r="F24" i="7"/>
  <c r="K24" i="10" s="1"/>
  <c r="F22" i="7"/>
  <c r="K22" i="10" s="1"/>
  <c r="F20" i="7"/>
  <c r="K20" i="10" s="1"/>
  <c r="F17" i="7"/>
  <c r="K17" i="10" s="1"/>
  <c r="F15" i="7"/>
  <c r="K15" i="10" s="1"/>
  <c r="F13" i="7"/>
  <c r="K13" i="10" s="1"/>
  <c r="F18" i="7"/>
  <c r="K18" i="10" s="1"/>
  <c r="F31" i="7"/>
  <c r="K31" i="10" s="1"/>
  <c r="F27" i="7"/>
  <c r="K27" i="10" s="1"/>
  <c r="N2" i="10"/>
  <c r="N3" i="10" l="1"/>
  <c r="H53" i="19" s="1"/>
  <c r="B4" i="5"/>
  <c r="C4" i="5" s="1"/>
  <c r="B5" i="5"/>
  <c r="C5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N4" i="10" l="1"/>
  <c r="H3" i="19" s="1"/>
  <c r="N5" i="10" l="1"/>
  <c r="H10" i="19" s="1"/>
  <c r="N6" i="10" l="1"/>
  <c r="H57" i="19" s="1"/>
  <c r="B2" i="5"/>
  <c r="H69" i="10" l="1"/>
  <c r="B69" i="10"/>
  <c r="H67" i="10"/>
  <c r="B67" i="10"/>
  <c r="H66" i="10"/>
  <c r="B66" i="10"/>
  <c r="D69" i="10"/>
  <c r="D67" i="10"/>
  <c r="B65" i="10"/>
  <c r="H70" i="10"/>
  <c r="Q69" i="10"/>
  <c r="G69" i="10"/>
  <c r="H68" i="10"/>
  <c r="Q67" i="10"/>
  <c r="G67" i="10"/>
  <c r="G65" i="10"/>
  <c r="B70" i="10"/>
  <c r="I67" i="10"/>
  <c r="H65" i="10"/>
  <c r="G70" i="10"/>
  <c r="J69" i="10"/>
  <c r="F69" i="10"/>
  <c r="G68" i="10"/>
  <c r="J67" i="10"/>
  <c r="F67" i="10"/>
  <c r="G66" i="10"/>
  <c r="I69" i="10"/>
  <c r="B68" i="10"/>
  <c r="I70" i="10"/>
  <c r="Q68" i="10"/>
  <c r="Q66" i="10"/>
  <c r="I65" i="10"/>
  <c r="Q70" i="10"/>
  <c r="I66" i="10"/>
  <c r="I68" i="10"/>
  <c r="Q65" i="10"/>
  <c r="D63" i="10"/>
  <c r="D64" i="10"/>
  <c r="D61" i="10"/>
  <c r="D65" i="10"/>
  <c r="D62" i="10"/>
  <c r="D66" i="10"/>
  <c r="D68" i="10"/>
  <c r="D70" i="10"/>
  <c r="J68" i="10"/>
  <c r="J65" i="10"/>
  <c r="J61" i="10"/>
  <c r="F63" i="10"/>
  <c r="F68" i="10"/>
  <c r="J66" i="10"/>
  <c r="J62" i="10"/>
  <c r="F64" i="10"/>
  <c r="J70" i="10"/>
  <c r="J63" i="10"/>
  <c r="F65" i="10"/>
  <c r="F61" i="10"/>
  <c r="F70" i="10"/>
  <c r="J64" i="10"/>
  <c r="F66" i="10"/>
  <c r="F62" i="10"/>
  <c r="D50" i="10"/>
  <c r="D55" i="10"/>
  <c r="D56" i="10"/>
  <c r="D54" i="10"/>
  <c r="D53" i="10"/>
  <c r="D58" i="10"/>
  <c r="D57" i="10"/>
  <c r="D51" i="10"/>
  <c r="D52" i="10"/>
  <c r="D59" i="10"/>
  <c r="D60" i="10"/>
  <c r="N7" i="10"/>
  <c r="H11" i="19" s="1"/>
  <c r="F20" i="10"/>
  <c r="B60" i="10"/>
  <c r="H60" i="10"/>
  <c r="B61" i="10"/>
  <c r="G61" i="10"/>
  <c r="H61" i="10"/>
  <c r="B64" i="10"/>
  <c r="G64" i="10"/>
  <c r="H64" i="10"/>
  <c r="Q61" i="10"/>
  <c r="Q64" i="10"/>
  <c r="I61" i="10"/>
  <c r="I64" i="10"/>
  <c r="F60" i="10"/>
  <c r="G60" i="10"/>
  <c r="I60" i="10"/>
  <c r="J60" i="10"/>
  <c r="Q60" i="10"/>
  <c r="B62" i="10"/>
  <c r="G62" i="10"/>
  <c r="H62" i="10"/>
  <c r="I62" i="10"/>
  <c r="Q62" i="10"/>
  <c r="B63" i="10"/>
  <c r="G63" i="10"/>
  <c r="H63" i="10"/>
  <c r="I63" i="10"/>
  <c r="Q63" i="10"/>
  <c r="F26" i="10"/>
  <c r="F51" i="10"/>
  <c r="F53" i="10"/>
  <c r="F14" i="10"/>
  <c r="F38" i="10"/>
  <c r="F45" i="10"/>
  <c r="F30" i="10"/>
  <c r="F41" i="10"/>
  <c r="F33" i="10"/>
  <c r="F42" i="10"/>
  <c r="F27" i="10"/>
  <c r="F40" i="10"/>
  <c r="F44" i="10"/>
  <c r="F32" i="10"/>
  <c r="F50" i="10"/>
  <c r="F13" i="10"/>
  <c r="F19" i="10"/>
  <c r="F23" i="10"/>
  <c r="F47" i="10"/>
  <c r="F49" i="10"/>
  <c r="F35" i="10"/>
  <c r="F55" i="10"/>
  <c r="F28" i="10"/>
  <c r="F24" i="10"/>
  <c r="F36" i="10"/>
  <c r="J27" i="10"/>
  <c r="J47" i="10"/>
  <c r="J52" i="10"/>
  <c r="J43" i="10"/>
  <c r="J18" i="10"/>
  <c r="J29" i="10"/>
  <c r="J38" i="10"/>
  <c r="J54" i="10"/>
  <c r="J49" i="10"/>
  <c r="J30" i="10"/>
  <c r="J57" i="10"/>
  <c r="J58" i="10"/>
  <c r="J20" i="10"/>
  <c r="F17" i="10"/>
  <c r="J17" i="10"/>
  <c r="F57" i="10"/>
  <c r="J41" i="10"/>
  <c r="J37" i="10"/>
  <c r="J22" i="10"/>
  <c r="J13" i="10"/>
  <c r="J19" i="10"/>
  <c r="J28" i="10"/>
  <c r="J39" i="10"/>
  <c r="J55" i="10"/>
  <c r="J48" i="10"/>
  <c r="J31" i="10"/>
  <c r="J56" i="10"/>
  <c r="F21" i="10"/>
  <c r="F52" i="10"/>
  <c r="F31" i="10"/>
  <c r="F56" i="10"/>
  <c r="J40" i="10"/>
  <c r="J36" i="10"/>
  <c r="J23" i="10"/>
  <c r="J14" i="10"/>
  <c r="J33" i="10"/>
  <c r="J45" i="10"/>
  <c r="J34" i="10"/>
  <c r="J50" i="10"/>
  <c r="F58" i="10"/>
  <c r="F16" i="10"/>
  <c r="J16" i="10"/>
  <c r="J21" i="10"/>
  <c r="G57" i="10"/>
  <c r="G6" i="10"/>
  <c r="G10" i="10"/>
  <c r="G14" i="10"/>
  <c r="G18" i="10"/>
  <c r="G22" i="10"/>
  <c r="G26" i="10"/>
  <c r="G30" i="10"/>
  <c r="G34" i="10"/>
  <c r="G38" i="10"/>
  <c r="G42" i="10"/>
  <c r="G46" i="10"/>
  <c r="G50" i="10"/>
  <c r="G54" i="10"/>
  <c r="I5" i="10"/>
  <c r="G2" i="10"/>
  <c r="J3" i="10"/>
  <c r="J11" i="10"/>
  <c r="F9" i="10"/>
  <c r="D8" i="10"/>
  <c r="B4" i="10"/>
  <c r="B8" i="10"/>
  <c r="B12" i="10"/>
  <c r="B16" i="10"/>
  <c r="B20" i="10"/>
  <c r="B24" i="10"/>
  <c r="B28" i="10"/>
  <c r="B32" i="10"/>
  <c r="B36" i="10"/>
  <c r="B40" i="10"/>
  <c r="B44" i="10"/>
  <c r="B48" i="10"/>
  <c r="B52" i="10"/>
  <c r="B56" i="10"/>
  <c r="B2" i="10"/>
  <c r="Q6" i="10"/>
  <c r="Q10" i="10"/>
  <c r="Q14" i="10"/>
  <c r="Q19" i="10"/>
  <c r="H14" i="10"/>
  <c r="H18" i="10"/>
  <c r="H22" i="10"/>
  <c r="H26" i="10"/>
  <c r="H30" i="10"/>
  <c r="H34" i="10"/>
  <c r="H38" i="10"/>
  <c r="H42" i="10"/>
  <c r="H48" i="10"/>
  <c r="H53" i="10"/>
  <c r="Q59" i="10"/>
  <c r="H58" i="10"/>
  <c r="G59" i="10"/>
  <c r="B59" i="10"/>
  <c r="G3" i="10"/>
  <c r="G7" i="10"/>
  <c r="G11" i="10"/>
  <c r="G15" i="10"/>
  <c r="G19" i="10"/>
  <c r="G23" i="10"/>
  <c r="G27" i="10"/>
  <c r="G31" i="10"/>
  <c r="G35" i="10"/>
  <c r="G39" i="10"/>
  <c r="G43" i="10"/>
  <c r="G47" i="10"/>
  <c r="G51" i="10"/>
  <c r="G55" i="10"/>
  <c r="I8" i="10"/>
  <c r="Q17" i="10"/>
  <c r="J5" i="10"/>
  <c r="F3" i="10"/>
  <c r="F11" i="10"/>
  <c r="D9" i="10"/>
  <c r="B5" i="10"/>
  <c r="B9" i="10"/>
  <c r="B13" i="10"/>
  <c r="B17" i="10"/>
  <c r="B21" i="10"/>
  <c r="B25" i="10"/>
  <c r="B29" i="10"/>
  <c r="B33" i="10"/>
  <c r="B37" i="10"/>
  <c r="B41" i="10"/>
  <c r="B45" i="10"/>
  <c r="B49" i="10"/>
  <c r="B53" i="10"/>
  <c r="B57" i="10"/>
  <c r="Q3" i="10"/>
  <c r="Q7" i="10"/>
  <c r="Q11" i="10"/>
  <c r="Q15" i="10"/>
  <c r="Q20" i="10"/>
  <c r="H7" i="10"/>
  <c r="H19" i="10"/>
  <c r="H23" i="10"/>
  <c r="H27" i="10"/>
  <c r="H31" i="10"/>
  <c r="H35" i="10"/>
  <c r="H39" i="10"/>
  <c r="H44" i="10"/>
  <c r="H49" i="10"/>
  <c r="H54" i="10"/>
  <c r="H59" i="10"/>
  <c r="Q58" i="10"/>
  <c r="G4" i="10"/>
  <c r="G8" i="10"/>
  <c r="G12" i="10"/>
  <c r="G16" i="10"/>
  <c r="G20" i="10"/>
  <c r="G24" i="10"/>
  <c r="G28" i="10"/>
  <c r="G32" i="10"/>
  <c r="G36" i="10"/>
  <c r="G40" i="10"/>
  <c r="G44" i="10"/>
  <c r="G48" i="10"/>
  <c r="G52" i="10"/>
  <c r="G56" i="10"/>
  <c r="I9" i="10"/>
  <c r="J8" i="10"/>
  <c r="F5" i="10"/>
  <c r="D3" i="10"/>
  <c r="D11" i="10"/>
  <c r="B6" i="10"/>
  <c r="B10" i="10"/>
  <c r="B14" i="10"/>
  <c r="B18" i="10"/>
  <c r="B22" i="10"/>
  <c r="B26" i="10"/>
  <c r="B30" i="10"/>
  <c r="B34" i="10"/>
  <c r="B38" i="10"/>
  <c r="B42" i="10"/>
  <c r="B46" i="10"/>
  <c r="B50" i="10"/>
  <c r="B54" i="10"/>
  <c r="H55" i="10"/>
  <c r="Q4" i="10"/>
  <c r="Q8" i="10"/>
  <c r="Q12" i="10"/>
  <c r="Q16" i="10"/>
  <c r="Q21" i="10"/>
  <c r="H8" i="10"/>
  <c r="H16" i="10"/>
  <c r="H20" i="10"/>
  <c r="H24" i="10"/>
  <c r="H28" i="10"/>
  <c r="H32" i="10"/>
  <c r="H36" i="10"/>
  <c r="H40" i="10"/>
  <c r="H45" i="10"/>
  <c r="H50" i="10"/>
  <c r="H56" i="10"/>
  <c r="G58" i="10"/>
  <c r="G5" i="10"/>
  <c r="G17" i="10"/>
  <c r="G33" i="10"/>
  <c r="G49" i="10"/>
  <c r="D5" i="10"/>
  <c r="B27" i="10"/>
  <c r="B43" i="10"/>
  <c r="H51" i="10"/>
  <c r="Q13" i="10"/>
  <c r="H17" i="10"/>
  <c r="H33" i="10"/>
  <c r="H52" i="10"/>
  <c r="B3" i="10"/>
  <c r="B31" i="10"/>
  <c r="B47" i="10"/>
  <c r="Q18" i="10"/>
  <c r="H21" i="10"/>
  <c r="B19" i="10"/>
  <c r="Q9" i="10"/>
  <c r="G45" i="10"/>
  <c r="B11" i="10"/>
  <c r="B55" i="10"/>
  <c r="H13" i="10"/>
  <c r="G9" i="10"/>
  <c r="G21" i="10"/>
  <c r="G37" i="10"/>
  <c r="G53" i="10"/>
  <c r="B15" i="10"/>
  <c r="Q5" i="10"/>
  <c r="H37" i="10"/>
  <c r="J9" i="10"/>
  <c r="B35" i="10"/>
  <c r="Q41" i="10"/>
  <c r="H41" i="10"/>
  <c r="G29" i="10"/>
  <c r="F8" i="10"/>
  <c r="B39" i="10"/>
  <c r="H46" i="10"/>
  <c r="B58" i="10"/>
  <c r="G25" i="10"/>
  <c r="G41" i="10"/>
  <c r="I3" i="10"/>
  <c r="B7" i="10"/>
  <c r="B51" i="10"/>
  <c r="G13" i="10"/>
  <c r="I11" i="10"/>
  <c r="B23" i="10"/>
  <c r="H29" i="10"/>
  <c r="I21" i="10"/>
  <c r="Q48" i="10"/>
  <c r="Q54" i="10"/>
  <c r="Q22" i="10"/>
  <c r="Q44" i="10"/>
  <c r="I16" i="10"/>
  <c r="Q26" i="10"/>
  <c r="I58" i="10"/>
  <c r="Q31" i="10"/>
  <c r="I2" i="10"/>
  <c r="Q52" i="10"/>
  <c r="I4" i="10"/>
  <c r="I57" i="10"/>
  <c r="I53" i="10"/>
  <c r="I49" i="10"/>
  <c r="I45" i="10"/>
  <c r="I41" i="10"/>
  <c r="I37" i="10"/>
  <c r="I33" i="10"/>
  <c r="I29" i="10"/>
  <c r="I25" i="10"/>
  <c r="I18" i="10"/>
  <c r="Q46" i="10"/>
  <c r="I59" i="10"/>
  <c r="Q40" i="10"/>
  <c r="Q47" i="10"/>
  <c r="I17" i="10"/>
  <c r="Q36" i="10"/>
  <c r="Q51" i="10"/>
  <c r="Q49" i="10"/>
  <c r="Q33" i="10"/>
  <c r="Q27" i="10"/>
  <c r="Q35" i="10"/>
  <c r="I6" i="10"/>
  <c r="I54" i="10"/>
  <c r="I50" i="10"/>
  <c r="I46" i="10"/>
  <c r="I42" i="10"/>
  <c r="I38" i="10"/>
  <c r="I34" i="10"/>
  <c r="I30" i="10"/>
  <c r="I26" i="10"/>
  <c r="I22" i="10"/>
  <c r="I19" i="10"/>
  <c r="Q42" i="10"/>
  <c r="Q2" i="10"/>
  <c r="Q32" i="10"/>
  <c r="Q38" i="10"/>
  <c r="Q29" i="10"/>
  <c r="Q43" i="10"/>
  <c r="Q23" i="10"/>
  <c r="Q37" i="10"/>
  <c r="Q45" i="10"/>
  <c r="Q56" i="10"/>
  <c r="I10" i="10"/>
  <c r="I15" i="10"/>
  <c r="I55" i="10"/>
  <c r="I51" i="10"/>
  <c r="I47" i="10"/>
  <c r="I43" i="10"/>
  <c r="I39" i="10"/>
  <c r="I35" i="10"/>
  <c r="I31" i="10"/>
  <c r="I27" i="10"/>
  <c r="I23" i="10"/>
  <c r="I13" i="10"/>
  <c r="Q55" i="10"/>
  <c r="H47" i="10"/>
  <c r="Q57" i="10"/>
  <c r="Q25" i="10"/>
  <c r="Q30" i="10"/>
  <c r="Q53" i="10"/>
  <c r="I20" i="10"/>
  <c r="Q34" i="10"/>
  <c r="Q39" i="10"/>
  <c r="Q24" i="10"/>
  <c r="Q28" i="10"/>
  <c r="I12" i="10"/>
  <c r="I56" i="10"/>
  <c r="I52" i="10"/>
  <c r="I48" i="10"/>
  <c r="I44" i="10"/>
  <c r="I40" i="10"/>
  <c r="I36" i="10"/>
  <c r="I32" i="10"/>
  <c r="I28" i="10"/>
  <c r="I24" i="10"/>
  <c r="I7" i="10"/>
  <c r="I14" i="10"/>
  <c r="Q50" i="10"/>
  <c r="H43" i="10"/>
  <c r="D16" i="10"/>
  <c r="D31" i="10"/>
  <c r="D28" i="10"/>
  <c r="D7" i="10"/>
  <c r="D34" i="10"/>
  <c r="D41" i="10"/>
  <c r="D48" i="10"/>
  <c r="D38" i="10"/>
  <c r="D26" i="10"/>
  <c r="D21" i="10"/>
  <c r="D30" i="10"/>
  <c r="D29" i="10"/>
  <c r="D14" i="10"/>
  <c r="D33" i="10"/>
  <c r="D23" i="10"/>
  <c r="D24" i="10"/>
  <c r="D37" i="10"/>
  <c r="D43" i="10"/>
  <c r="D20" i="10"/>
  <c r="D17" i="10"/>
  <c r="D47" i="10"/>
  <c r="D44" i="10"/>
  <c r="D19" i="10"/>
  <c r="D13" i="10"/>
  <c r="D32" i="10"/>
  <c r="D22" i="10"/>
  <c r="D36" i="10"/>
  <c r="D42" i="10"/>
  <c r="D46" i="10"/>
  <c r="D45" i="10"/>
  <c r="D18" i="10"/>
  <c r="D35" i="10"/>
  <c r="D40" i="10"/>
  <c r="D49" i="10"/>
  <c r="D39" i="10"/>
  <c r="D27" i="10"/>
  <c r="F7" i="10"/>
  <c r="F39" i="10"/>
  <c r="F43" i="10"/>
  <c r="F18" i="10"/>
  <c r="F22" i="10"/>
  <c r="F46" i="10"/>
  <c r="F48" i="10"/>
  <c r="F34" i="10"/>
  <c r="F54" i="10"/>
  <c r="F29" i="10"/>
  <c r="F37" i="10"/>
  <c r="J26" i="10"/>
  <c r="J46" i="10"/>
  <c r="J53" i="10"/>
  <c r="J42" i="10"/>
  <c r="J7" i="10"/>
  <c r="J32" i="10"/>
  <c r="J44" i="10"/>
  <c r="J35" i="10"/>
  <c r="J24" i="10"/>
  <c r="J51" i="10"/>
  <c r="F59" i="10"/>
  <c r="J59" i="10"/>
  <c r="S2" i="10"/>
  <c r="C2" i="5"/>
  <c r="H25" i="10" s="1"/>
  <c r="N8" i="10" l="1"/>
  <c r="H8" i="19" s="1"/>
  <c r="D25" i="10"/>
  <c r="H12" i="10"/>
  <c r="H15" i="10"/>
  <c r="H3" i="10"/>
  <c r="H9" i="10"/>
  <c r="H10" i="10"/>
  <c r="H4" i="10"/>
  <c r="H11" i="10"/>
  <c r="H6" i="10"/>
  <c r="H2" i="10"/>
  <c r="H5" i="10"/>
  <c r="D15" i="10"/>
  <c r="D6" i="10"/>
  <c r="D4" i="10"/>
  <c r="D12" i="10"/>
  <c r="D10" i="10"/>
  <c r="D2" i="10"/>
  <c r="N9" i="10" l="1"/>
  <c r="H56" i="19" s="1"/>
  <c r="F25" i="10"/>
  <c r="J25" i="10"/>
  <c r="J15" i="10"/>
  <c r="J6" i="10"/>
  <c r="J4" i="10"/>
  <c r="J12" i="10"/>
  <c r="J10" i="10"/>
  <c r="F2" i="10"/>
  <c r="F15" i="10"/>
  <c r="F10" i="10"/>
  <c r="F4" i="10"/>
  <c r="F12" i="10"/>
  <c r="F6" i="10"/>
  <c r="J2" i="10"/>
  <c r="J15" i="4"/>
  <c r="I15" i="4"/>
  <c r="N10" i="10" l="1"/>
  <c r="H9" i="19" s="1"/>
  <c r="N11" i="10" l="1"/>
  <c r="H55" i="19" s="1"/>
  <c r="N12" i="10" l="1"/>
  <c r="N13" i="10" l="1"/>
  <c r="H22" i="19" s="1"/>
  <c r="H4" i="19"/>
  <c r="N14" i="10"/>
  <c r="H21" i="19" s="1"/>
  <c r="N15" i="10" l="1"/>
  <c r="H54" i="19" s="1"/>
  <c r="N16" i="10" l="1"/>
  <c r="N17" i="10" l="1"/>
  <c r="N18" i="10" s="1"/>
  <c r="N19" i="10" s="1"/>
  <c r="H5" i="19" s="1"/>
  <c r="H6" i="19"/>
  <c r="N20" i="10" l="1"/>
  <c r="N21" i="10" s="1"/>
  <c r="H19" i="19" s="1"/>
  <c r="N22" i="10" l="1"/>
  <c r="N23" i="10" s="1"/>
  <c r="H20" i="19" s="1"/>
  <c r="N24" i="10" l="1"/>
  <c r="N25" i="10"/>
  <c r="H7" i="19" s="1"/>
  <c r="N26" i="10" l="1"/>
  <c r="H12" i="19" s="1"/>
  <c r="N27" i="10" l="1"/>
  <c r="N28" i="10" s="1"/>
  <c r="H17" i="19"/>
  <c r="H18" i="19"/>
  <c r="N29" i="10"/>
  <c r="H16" i="19" l="1"/>
  <c r="H15" i="19"/>
  <c r="N30" i="10"/>
  <c r="N31" i="10" l="1"/>
  <c r="H13" i="19" s="1"/>
  <c r="N32" i="10"/>
  <c r="H14" i="19" s="1"/>
  <c r="N33" i="10" l="1"/>
  <c r="H23" i="19" s="1"/>
  <c r="N34" i="10" l="1"/>
  <c r="H24" i="19" s="1"/>
  <c r="N35" i="10" l="1"/>
  <c r="H25" i="19" s="1"/>
  <c r="N36" i="10" l="1"/>
  <c r="H26" i="19" s="1"/>
  <c r="N37" i="10" l="1"/>
  <c r="H27" i="19" s="1"/>
  <c r="N38" i="10" l="1"/>
  <c r="H28" i="19" s="1"/>
  <c r="N39" i="10" l="1"/>
  <c r="H29" i="19" s="1"/>
  <c r="N40" i="10" l="1"/>
  <c r="H30" i="19" s="1"/>
  <c r="N41" i="10" l="1"/>
  <c r="H31" i="19" s="1"/>
  <c r="N42" i="10" l="1"/>
  <c r="H32" i="19" s="1"/>
  <c r="N43" i="10" l="1"/>
  <c r="H33" i="19" s="1"/>
  <c r="N44" i="10" l="1"/>
  <c r="H34" i="19" s="1"/>
  <c r="N45" i="10" l="1"/>
  <c r="H35" i="19" s="1"/>
  <c r="N46" i="10" l="1"/>
  <c r="H36" i="19" s="1"/>
  <c r="N47" i="10" l="1"/>
  <c r="N48" i="10" l="1"/>
  <c r="N49" i="10" l="1"/>
  <c r="H37" i="19" s="1"/>
  <c r="N50" i="10" l="1"/>
  <c r="H38" i="19" s="1"/>
  <c r="N51" i="10" l="1"/>
  <c r="H39" i="19" s="1"/>
  <c r="N52" i="10" l="1"/>
  <c r="H40" i="19" s="1"/>
  <c r="N53" i="10" l="1"/>
  <c r="H41" i="19" l="1"/>
  <c r="H42" i="19"/>
  <c r="N54" i="10"/>
  <c r="H43" i="19" l="1"/>
  <c r="H44" i="19"/>
  <c r="N55" i="10"/>
  <c r="N56" i="10" l="1"/>
  <c r="N57" i="10" s="1"/>
  <c r="N58" i="10" l="1"/>
  <c r="H45" i="19"/>
  <c r="N59" i="10" l="1"/>
  <c r="H46" i="19"/>
  <c r="N60" i="10" l="1"/>
  <c r="H47" i="19"/>
  <c r="N61" i="10" l="1"/>
  <c r="H48" i="19"/>
  <c r="N62" i="10" l="1"/>
  <c r="H49" i="19"/>
  <c r="H50" i="19"/>
  <c r="N63" i="10" l="1"/>
  <c r="N64" i="10" s="1"/>
  <c r="N65" i="10" s="1"/>
  <c r="N66" i="10" s="1"/>
  <c r="N67" i="10" s="1"/>
  <c r="H52" i="19"/>
  <c r="H5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tc={71F3CDEC-BC08-48CD-A509-9EF49C6C54EE}</author>
    <author>tc={516C711B-9D5E-4707-AB0D-5083C8B782A3}</author>
    <author>tc={FC18E0C3-FAC3-4260-8956-60010A4EBF5E}</author>
    <author>tc={E5495CC8-E491-4404-B084-3387D9A2992E}</author>
    <author>tc={9520CBA4-DF5E-45F6-9182-F22CF1F71AEE}</author>
  </authors>
  <commentList>
    <comment ref="G12" authorId="0" shapeId="0" xr:uid="{71F3CDEC-BC08-48CD-A509-9EF49C6C54E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235 supposed to be excluded for regular offer lapsed cells ?</t>
      </text>
    </comment>
    <comment ref="H14" authorId="1" shapeId="0" xr:uid="{516C711B-9D5E-4707-AB0D-5083C8B782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235 included here?
</t>
      </text>
    </comment>
    <comment ref="G16" authorId="2" shapeId="0" xr:uid="{FC18E0C3-FAC3-4260-8956-60010A4EBF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235 included here?
</t>
      </text>
    </comment>
    <comment ref="H16" authorId="3" shapeId="0" xr:uid="{E5495CC8-E491-4404-B084-3387D9A299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235 included here?
</t>
      </text>
    </comment>
    <comment ref="H17" authorId="4" shapeId="0" xr:uid="{9520CBA4-DF5E-45F6-9182-F22CF1F71A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235 included here?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tc={CC6B703A-8DC3-4EE1-AF72-B944793BBBB3}</author>
    <author>tc={3BC50592-F869-4434-8B2A-1D40E3A8068E}</author>
    <author>tc={EF9F230E-239F-457C-A29E-C7018F2B23DD}</author>
    <author>tc={ED633BC5-E99E-45B2-B14B-13684B0CBA21}</author>
  </authors>
  <commentList>
    <comment ref="A8" authorId="0" shapeId="0" xr:uid="{CC6B703A-8DC3-4EE1-AF72-B944793B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CELL03 is the hero cell for Nov2022</t>
      </text>
    </comment>
    <comment ref="A15" authorId="1" shapeId="0" xr:uid="{3BC50592-F869-4434-8B2A-1D40E3A8068E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CELL03 is the hero cell for Nov2022</t>
      </text>
    </comment>
    <comment ref="F65" authorId="2" shapeId="0" xr:uid="{EF9F230E-239F-457C-A29E-C7018F2B23D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CELL29</t>
      </text>
    </comment>
    <comment ref="F66" authorId="3" shapeId="0" xr:uid="{ED633BC5-E99E-45B2-B14B-13684B0CBA2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CELL29_BNZD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tc={E68D6935-3A30-45D6-A561-73A28A576698}</author>
    <author>tc={A48A1C92-0BE5-4044-8D5A-FFD8942C58A5}</author>
    <author>tc={735BC025-6AC6-49AE-A565-8C621451795D}</author>
    <author>tc={05DA60E9-134B-4DFE-9919-F801FA1F1FEC}</author>
    <author>tc={ABDB13EC-6AF8-45E6-9E8A-2866E73F0847}</author>
    <author>tc={85833EC7-B7CF-4517-83E7-943EEFDADB83}</author>
    <author>tc={33153464-A482-4103-8C0D-13E9BC1AD28C}</author>
    <author>tc={E7E95B3A-12A0-43BB-A37D-D29EFC711338}</author>
  </authors>
  <commentList>
    <comment ref="Q5" authorId="0" shapeId="0" xr:uid="{E68D6935-3A30-45D6-A561-73A28A576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 know it is in the design matrix data, but @Ge, Bingxin should ($20 award) be part of mkt_cd
Reply:
    I think we can delete the parenthesis info</t>
      </text>
    </comment>
    <comment ref="K26" authorId="1" shapeId="0" xr:uid="{A48A1C92-0BE5-4044-8D5A-FFD8942C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with colon. I think some changes in the formulas needed in 'cell parameters' sheet (can be manually updated for now I think)</t>
      </text>
    </comment>
    <comment ref="K27" authorId="2" shapeId="0" xr:uid="{735BC025-6AC6-49AE-A565-8C621451795D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start with colon. I think some changes in the formulas needed in 'cell parameters' sheet (can be manually updated for now I think)</t>
      </text>
    </comment>
    <comment ref="A65" authorId="3" shapeId="0" xr:uid="{05DA60E9-134B-4DFE-9919-F801FA1F1F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@Ge, Bingxin Is this triple touch? Is it ok to treat it as two double touches? (more that 2 touches are not supported in the code I think)
Reply:
    yes! this is a triple touch. </t>
      </text>
    </comment>
    <comment ref="K65" authorId="4" shapeId="0" xr:uid="{ABDB13EC-6AF8-45E6-9E8A-2866E73F08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CELL29</t>
      </text>
    </comment>
    <comment ref="K66" authorId="5" shapeId="0" xr:uid="{85833EC7-B7CF-4517-83E7-943EEFDADB8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CELL29_BNZD</t>
      </text>
    </comment>
    <comment ref="R67" authorId="6" shapeId="0" xr:uid="{33153464-A482-4103-8C0D-13E9BC1AD28C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test groups</t>
      </text>
    </comment>
    <comment ref="R69" authorId="7" shapeId="0" xr:uid="{E7E95B3A-12A0-43BB-A37D-D29EFC711338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test groups</t>
      </text>
    </comment>
  </commentList>
</comments>
</file>

<file path=xl/sharedStrings.xml><?xml version="1.0" encoding="utf-8"?>
<sst xmlns="http://schemas.openxmlformats.org/spreadsheetml/2006/main" count="2107" uniqueCount="652">
  <si>
    <t>January Matrix as of 10/19/2021</t>
  </si>
  <si>
    <t>Cell#</t>
  </si>
  <si>
    <t>IO#</t>
  </si>
  <si>
    <t>Notes</t>
  </si>
  <si>
    <t>Offer</t>
  </si>
  <si>
    <t>Format</t>
  </si>
  <si>
    <t>Creative Team Notes</t>
  </si>
  <si>
    <t>Estimated TOTAL QTY PER CELL</t>
  </si>
  <si>
    <t>Actual Quantity</t>
  </si>
  <si>
    <t>Drop 1
In Home 12/30</t>
  </si>
  <si>
    <t>Drop 2                           In Home  1/6</t>
  </si>
  <si>
    <t>Drop 3
In Home 1/13</t>
  </si>
  <si>
    <t>Drop 4
In Home 1/20</t>
  </si>
  <si>
    <t>Drop 5
In Home 1/27</t>
  </si>
  <si>
    <t xml:space="preserve">Drop 6
In Home </t>
  </si>
  <si>
    <t>Market Code</t>
  </si>
  <si>
    <t>Digital Market Code</t>
  </si>
  <si>
    <t>OFFER EXPIRES</t>
  </si>
  <si>
    <t>Rewards Upgrade Fee</t>
  </si>
  <si>
    <t>Targeting</t>
  </si>
  <si>
    <t>Analytics BJ's Cell</t>
  </si>
  <si>
    <t>Postage</t>
  </si>
  <si>
    <t>Printer</t>
  </si>
  <si>
    <t>Tactic</t>
  </si>
  <si>
    <t>ACQUSITION 365</t>
  </si>
  <si>
    <t>GENERAL</t>
  </si>
  <si>
    <t>Cell 1</t>
  </si>
  <si>
    <t>BAU Creative  - Exclude Clubs 383, 384, 385, 382, 364, 372, 381, 388, 223, 128, 169, 191, 386, 387, 389, 390</t>
  </si>
  <si>
    <r>
      <t>$25/1 Year</t>
    </r>
    <r>
      <rPr>
        <b/>
        <i/>
        <sz val="20"/>
        <color rgb="FF00B050"/>
        <rFont val="Calibri"/>
        <family val="2"/>
        <scheme val="minor"/>
      </rPr>
      <t xml:space="preserve"> BJs.com/</t>
    </r>
    <r>
      <rPr>
        <i/>
        <sz val="20"/>
        <color rgb="FF00B050"/>
        <rFont val="Calibri"/>
        <family val="2"/>
        <scheme val="minor"/>
      </rPr>
      <t>WinterSavings</t>
    </r>
  </si>
  <si>
    <t>6 x 10.75 postcard</t>
  </si>
  <si>
    <t>Shop Your Way</t>
  </si>
  <si>
    <t>X</t>
  </si>
  <si>
    <t>JANCE1</t>
  </si>
  <si>
    <t>JANCD1</t>
  </si>
  <si>
    <t xml:space="preserve">Top high LTV households, exclude low uplift segment from new uplift model, incl 1 million Bronze. </t>
  </si>
  <si>
    <t>PCOA/NCOA TEST. Include control for Cell 3.</t>
  </si>
  <si>
    <t>5 Digit</t>
  </si>
  <si>
    <t>DataMail</t>
  </si>
  <si>
    <t>Direct Mail</t>
  </si>
  <si>
    <t>TEST</t>
  </si>
  <si>
    <t>Cell 2</t>
  </si>
  <si>
    <t>Test Creative  -  Exclude Clubs 383, 384, 385, 382, 364, 372, 381, 388, 223, 128, 169, 191, 386, 387, 389, 390</t>
  </si>
  <si>
    <r>
      <t>$25/1 Year</t>
    </r>
    <r>
      <rPr>
        <b/>
        <sz val="20"/>
        <color rgb="FF33CC33"/>
        <rFont val="Calibri"/>
        <family val="2"/>
        <scheme val="minor"/>
      </rPr>
      <t xml:space="preserve"> </t>
    </r>
    <r>
      <rPr>
        <b/>
        <i/>
        <sz val="20"/>
        <color rgb="FF33CC33"/>
        <rFont val="Calibri"/>
        <family val="2"/>
        <scheme val="minor"/>
      </rPr>
      <t xml:space="preserve"> BJs.com/WinterSavings</t>
    </r>
  </si>
  <si>
    <t>Get more for less</t>
  </si>
  <si>
    <t>JANCE2</t>
  </si>
  <si>
    <t>JANCD2</t>
  </si>
  <si>
    <t>Top high LTV households, exclude low uplift segment from new uplift model</t>
  </si>
  <si>
    <t>Cell 3</t>
  </si>
  <si>
    <t>Prospects (net new) in EBT Eligible or Young Families Close-by 
 Exclude Clubs 383, 384, 385, 382, 364, 372, 381, 388, 223, 128, 169, 191, 386, 387, 389, 390</t>
  </si>
  <si>
    <r>
      <t xml:space="preserve">$25/1 Year with $10 in Awards for 6 Months          </t>
    </r>
    <r>
      <rPr>
        <i/>
        <sz val="20"/>
        <color rgb="FF33CC33"/>
        <rFont val="Calibri"/>
        <family val="2"/>
        <scheme val="minor"/>
      </rPr>
      <t>BJs.com/Award60</t>
    </r>
  </si>
  <si>
    <t>TBD</t>
  </si>
  <si>
    <t>JANCE3</t>
  </si>
  <si>
    <t>JANCD3</t>
  </si>
  <si>
    <t xml:space="preserve">Test Offer	787,500 	                EBT	       562,500 
		               YFGY	       225,000 
Test Offer + Digital                      EBT	       562,500 
785,500		               YFGY	       225,000 </t>
  </si>
  <si>
    <t xml:space="preserve">1/2 will include digital internal cell. </t>
  </si>
  <si>
    <t>Cell 4</t>
  </si>
  <si>
    <t>Clubs 382,383 384, 385</t>
  </si>
  <si>
    <r>
      <t xml:space="preserve">$55/$110 with $20/$40 Awards </t>
    </r>
    <r>
      <rPr>
        <b/>
        <i/>
        <sz val="20"/>
        <color rgb="FF33CC33"/>
        <rFont val="Calibri"/>
        <family val="2"/>
        <scheme val="minor"/>
      </rPr>
      <t>BJs.com/Awards</t>
    </r>
  </si>
  <si>
    <t>Pays to be a Member</t>
  </si>
  <si>
    <t>AWARD1, AWARD2</t>
  </si>
  <si>
    <t>AWRDD1, AWRDD2</t>
  </si>
  <si>
    <t>Top high LTV households, exclude low uplift segment from new uplift model - Include Bronze records</t>
  </si>
  <si>
    <t>Have a hold out control - 50K.</t>
  </si>
  <si>
    <t>Cell 5</t>
  </si>
  <si>
    <t>Clubs 128, 169, 191</t>
  </si>
  <si>
    <r>
      <t xml:space="preserve">$55/$110 with $40/$80 Awards </t>
    </r>
    <r>
      <rPr>
        <b/>
        <i/>
        <sz val="20"/>
        <color rgb="FF00B050"/>
        <rFont val="Calibri"/>
        <family val="2"/>
        <scheme val="minor"/>
      </rPr>
      <t>BJs.com/SWFlorida</t>
    </r>
  </si>
  <si>
    <t>Port Charlotte Creative</t>
  </si>
  <si>
    <t>SWFLC1, SWFLRW</t>
  </si>
  <si>
    <t>SWFLD1, SWFLRD</t>
  </si>
  <si>
    <t>LAPSED</t>
  </si>
  <si>
    <t>Cell 6</t>
  </si>
  <si>
    <t>90 days -18 Months Lapsed Exclude Exclude Clubs 383, 384, 385, 382, 128, 169, 191, 223, 388, 387, 389</t>
  </si>
  <si>
    <r>
      <t>$25/1 Year Membership</t>
    </r>
    <r>
      <rPr>
        <b/>
        <i/>
        <sz val="20"/>
        <color rgb="FF00B050"/>
        <rFont val="Calibri"/>
        <family val="2"/>
        <scheme val="minor"/>
      </rPr>
      <t xml:space="preserve"> BJs.com/Renew25</t>
    </r>
  </si>
  <si>
    <t>Biggest Deal</t>
  </si>
  <si>
    <t>EZJNR1</t>
  </si>
  <si>
    <t>EZJND1</t>
  </si>
  <si>
    <t xml:space="preserve">90d - 18 months
Past Paids and Past Trials IC Only                                                  </t>
  </si>
  <si>
    <t xml:space="preserve">PCOA/NCOA TEST. </t>
  </si>
  <si>
    <t>Cell 7</t>
  </si>
  <si>
    <t>90 days -18 Months Lapsed DOUBLE TOUCH Exclude Clubs 383, 384, 385, 382, 128, 169, 191, 223, 388, 387, 389</t>
  </si>
  <si>
    <r>
      <t xml:space="preserve">$25/1 Year Membership </t>
    </r>
    <r>
      <rPr>
        <b/>
        <i/>
        <sz val="20"/>
        <color rgb="FF00B050"/>
        <rFont val="Calibri"/>
        <family val="2"/>
        <scheme val="minor"/>
      </rPr>
      <t>BJs.com/</t>
    </r>
    <r>
      <rPr>
        <i/>
        <sz val="20"/>
        <color rgb="FF00B050"/>
        <rFont val="Calibri"/>
        <family val="2"/>
        <scheme val="minor"/>
      </rPr>
      <t>RenewToday</t>
    </r>
  </si>
  <si>
    <t>EZJNR2</t>
  </si>
  <si>
    <t>EZJND2</t>
  </si>
  <si>
    <t xml:space="preserve">High Value 90 days - 18 month lapsed Paids in Deciles 1-5.                                                                                                                 </t>
  </si>
  <si>
    <t xml:space="preserve">Exclude external renewals </t>
  </si>
  <si>
    <t>Cell 8</t>
  </si>
  <si>
    <t>90 days -12 Months Lapsed Exclude Exclude Clubs 383, 384, 385, 382,  223, 388, 389</t>
  </si>
  <si>
    <r>
      <t>$20/1 Year Membership</t>
    </r>
    <r>
      <rPr>
        <b/>
        <i/>
        <sz val="20"/>
        <color rgb="FF00B050"/>
        <rFont val="Calibri"/>
        <family val="2"/>
        <scheme val="minor"/>
      </rPr>
      <t xml:space="preserve"> BJs.com/Renew20</t>
    </r>
  </si>
  <si>
    <t>EZRN12</t>
  </si>
  <si>
    <t>EZRN14</t>
  </si>
  <si>
    <t>Feb. 2021 – July 2021 lapsed members</t>
  </si>
  <si>
    <t xml:space="preserve">External renewal targets only. </t>
  </si>
  <si>
    <t>Cell 9</t>
  </si>
  <si>
    <r>
      <t>90 Days - 18 Months Lapsed Clubs 383, 384, 382, 128, 169, 191,</t>
    </r>
    <r>
      <rPr>
        <b/>
        <sz val="16"/>
        <color rgb="FFFF0000"/>
        <rFont val="Calibri"/>
        <family val="2"/>
        <scheme val="minor"/>
      </rPr>
      <t xml:space="preserve"> 223, 388</t>
    </r>
    <r>
      <rPr>
        <sz val="17"/>
        <color rgb="FFFF0000"/>
        <rFont val="Calibri"/>
        <family val="2"/>
        <scheme val="minor"/>
      </rPr>
      <t>, 385, 387, 389</t>
    </r>
  </si>
  <si>
    <r>
      <t xml:space="preserve">$55/$110 with $20/$40 Awards </t>
    </r>
    <r>
      <rPr>
        <i/>
        <sz val="20"/>
        <color rgb="FF00B050"/>
        <rFont val="Calibri"/>
        <family val="2"/>
        <scheme val="minor"/>
      </rPr>
      <t>BJ's.com/</t>
    </r>
    <r>
      <rPr>
        <b/>
        <i/>
        <sz val="20"/>
        <color rgb="FF00B050"/>
        <rFont val="Calibri"/>
        <family val="2"/>
        <scheme val="minor"/>
      </rPr>
      <t>GreatRate</t>
    </r>
  </si>
  <si>
    <t>EZMRMT, EZPMHT</t>
  </si>
  <si>
    <t>EZMMTD, EZRMTD</t>
  </si>
  <si>
    <t xml:space="preserve">90d - 18 months Madison Heights, Taylor, Pensacola,  Chesterfield, Port Charlotte, FL, University Park, FL, Cape Coral, FL; Ft. Myers, FL, South Fayette, PA, Lansing, MI Clubs - </t>
  </si>
  <si>
    <t>Business</t>
  </si>
  <si>
    <t xml:space="preserve">Cell 10 </t>
  </si>
  <si>
    <r>
      <rPr>
        <b/>
        <sz val="17"/>
        <color rgb="FFFF0000"/>
        <rFont val="Calibri"/>
        <family val="2"/>
        <scheme val="minor"/>
      </rPr>
      <t>Former Business Members Cell</t>
    </r>
    <r>
      <rPr>
        <sz val="17"/>
        <color rgb="FFFF0000"/>
        <rFont val="Calibri"/>
        <family val="2"/>
        <scheme val="minor"/>
      </rPr>
      <t xml:space="preserve"> - Exclude Clubs 383, 384, 385, 382, 388, 223,387, 389, 390</t>
    </r>
  </si>
  <si>
    <r>
      <t>$25/1 Year Membership</t>
    </r>
    <r>
      <rPr>
        <sz val="20"/>
        <color rgb="FF33CC33"/>
        <rFont val="Calibri"/>
        <family val="2"/>
        <scheme val="minor"/>
      </rPr>
      <t xml:space="preserve"> </t>
    </r>
    <r>
      <rPr>
        <b/>
        <sz val="20"/>
        <color rgb="FF00B050"/>
        <rFont val="Calibri"/>
        <family val="2"/>
        <scheme val="minor"/>
      </rPr>
      <t>BJs.com/</t>
    </r>
    <r>
      <rPr>
        <b/>
        <i/>
        <sz val="20"/>
        <color rgb="FF00B050"/>
        <rFont val="Calibri"/>
        <family val="2"/>
        <scheme val="minor"/>
      </rPr>
      <t>Solutions</t>
    </r>
    <r>
      <rPr>
        <sz val="20"/>
        <rFont val="Calibri"/>
        <family val="2"/>
        <scheme val="minor"/>
      </rPr>
      <t xml:space="preserve">  </t>
    </r>
  </si>
  <si>
    <t>BUSJAN</t>
  </si>
  <si>
    <t xml:space="preserve">Past Paids and Past Trials BUSINESS Only  </t>
  </si>
  <si>
    <t>Include LIC, Newburgh, Seabrook</t>
  </si>
  <si>
    <t>Cell 11</t>
  </si>
  <si>
    <r>
      <t xml:space="preserve">90 days -18 Months Lapsed </t>
    </r>
    <r>
      <rPr>
        <b/>
        <sz val="17"/>
        <color rgb="FFFF0000"/>
        <rFont val="Calibri"/>
        <family val="2"/>
        <scheme val="minor"/>
      </rPr>
      <t xml:space="preserve"> Business Members</t>
    </r>
    <r>
      <rPr>
        <sz val="17"/>
        <color rgb="FFFF0000"/>
        <rFont val="Calibri"/>
        <family val="2"/>
        <scheme val="minor"/>
      </rPr>
      <t xml:space="preserve">                                                          Exclude 383, 384, 385, 382, 388, 223, 387, 389, 390</t>
    </r>
  </si>
  <si>
    <r>
      <t xml:space="preserve">$25/1 Year </t>
    </r>
    <r>
      <rPr>
        <sz val="20"/>
        <color rgb="FF00B050"/>
        <rFont val="Calibri"/>
        <family val="2"/>
        <scheme val="minor"/>
      </rPr>
      <t xml:space="preserve"> </t>
    </r>
    <r>
      <rPr>
        <b/>
        <i/>
        <sz val="20"/>
        <color rgb="FF00B050"/>
        <rFont val="Calibri"/>
        <family val="2"/>
        <scheme val="minor"/>
      </rPr>
      <t>BJs.com/</t>
    </r>
    <r>
      <rPr>
        <sz val="20"/>
        <color rgb="FF00B050"/>
        <rFont val="Calibri"/>
        <family val="2"/>
        <scheme val="minor"/>
      </rPr>
      <t>MoneySaver</t>
    </r>
  </si>
  <si>
    <t>EZJNR3</t>
  </si>
  <si>
    <t>EZJND3</t>
  </si>
  <si>
    <t>90d - 18month Past Business Only
Set up market code for business primes only.</t>
  </si>
  <si>
    <t>Cell 12</t>
  </si>
  <si>
    <r>
      <t xml:space="preserve">$20/1 Year </t>
    </r>
    <r>
      <rPr>
        <sz val="20"/>
        <color rgb="FF00B050"/>
        <rFont val="Calibri"/>
        <family val="2"/>
        <scheme val="minor"/>
      </rPr>
      <t xml:space="preserve"> </t>
    </r>
    <r>
      <rPr>
        <b/>
        <i/>
        <sz val="20"/>
        <color rgb="FF00B050"/>
        <rFont val="Calibri"/>
        <family val="2"/>
        <scheme val="minor"/>
      </rPr>
      <t>BJs.com/Business20</t>
    </r>
  </si>
  <si>
    <t>EZRN13</t>
  </si>
  <si>
    <t>EZRN15</t>
  </si>
  <si>
    <t>Feb. 2021 – July 2021 lapsed business members</t>
  </si>
  <si>
    <t xml:space="preserve">Target Quantity:  </t>
  </si>
  <si>
    <t>8.072M  Postcards</t>
  </si>
  <si>
    <t>Total</t>
  </si>
  <si>
    <t>Grand Openings</t>
  </si>
  <si>
    <t>Long Island City</t>
  </si>
  <si>
    <t>Cell 13</t>
  </si>
  <si>
    <t>Long Island City #364
PC #18
Gold &amp; Bronze Records</t>
  </si>
  <si>
    <t>$25/$65</t>
  </si>
  <si>
    <t>Now Open Creative</t>
  </si>
  <si>
    <t>LICD19</t>
  </si>
  <si>
    <t>LIC Gold &amp; Bronze Records</t>
  </si>
  <si>
    <t>Seabrook</t>
  </si>
  <si>
    <t>Cell 14</t>
  </si>
  <si>
    <t>Seabrook #381
PC #11
Gold &amp; Bronze Records</t>
  </si>
  <si>
    <t>SEAD12</t>
  </si>
  <si>
    <t>Seabrook Gold &amp; Bronze Records</t>
  </si>
  <si>
    <t>South Fayette</t>
  </si>
  <si>
    <t>Cell 15</t>
  </si>
  <si>
    <t>South Fayette #388
PC #6
Core/Secondary Zips Only
Gold &amp; Bronze Records</t>
  </si>
  <si>
    <t>IC $55/12  plus $40 digial Gift Card (Awards) or Perks $110/12 plus $80 digital Gift Card (Awards)</t>
  </si>
  <si>
    <t>FAYDM6</t>
  </si>
  <si>
    <t>South Fayette
Core/Secondary Zips Only
Gold &amp; Bronze Records</t>
  </si>
  <si>
    <t>Port Charlotte</t>
  </si>
  <si>
    <t>Cell 16</t>
  </si>
  <si>
    <t>Port Charlotte #223
GO Tab Mailer
Core/Secondary Zips Only
Gold &amp; Bronze Records</t>
  </si>
  <si>
    <t>Bi-Fold</t>
  </si>
  <si>
    <t>Opening Soon Creative</t>
  </si>
  <si>
    <t>PTCTAB</t>
  </si>
  <si>
    <t>Port Charlotte
Core/Secondary Zips Only
Gold &amp; Bronze Records</t>
  </si>
  <si>
    <t>Ross Township</t>
  </si>
  <si>
    <t>Cell 17</t>
  </si>
  <si>
    <t>Ross Township #387
GO Tab Mailer
Core/Secondary Zips Only
Gold &amp; Bronze Records</t>
  </si>
  <si>
    <t>RSTTAB</t>
  </si>
  <si>
    <t>Ross Township
Core/Secondary Zips Only
Gold &amp; Bronze Records</t>
  </si>
  <si>
    <t>Lansing</t>
  </si>
  <si>
    <t>Cell 18</t>
  </si>
  <si>
    <t>Lansing #389
GO Tab Mailer
Core/Secondary Zips Only
Gold &amp; Bronze Records</t>
  </si>
  <si>
    <t>LANTAB</t>
  </si>
  <si>
    <t>Lansing
Core/Secondary Zips Only
Gold &amp; Bronze Records</t>
  </si>
  <si>
    <t>Commack</t>
  </si>
  <si>
    <t>Cell 19</t>
  </si>
  <si>
    <t>Commack #386
PC #5
All Zips
Gold &amp; Bronze Records</t>
  </si>
  <si>
    <t>COMPC5</t>
  </si>
  <si>
    <t>Commack
All Zips
Gold &amp; Bronze Records</t>
  </si>
  <si>
    <t>Lady Lake</t>
  </si>
  <si>
    <t>Cell 20</t>
  </si>
  <si>
    <t>Lady Lake #390
PC #1
Core/Secondary Zips Only
Gold &amp; Bronze Records</t>
  </si>
  <si>
    <t>X
In-home 1/3</t>
  </si>
  <si>
    <t>LDYPC1</t>
  </si>
  <si>
    <t>Lady Lake
Core/Secondary Zips Only
Gold &amp; Bronze Records</t>
  </si>
  <si>
    <t>Cell 21</t>
  </si>
  <si>
    <t>Lady Lake #390
PC #2
Core/Secondary Zips Only
Gold &amp; Bronze Records</t>
  </si>
  <si>
    <t>LDYPC2</t>
  </si>
  <si>
    <t>Cells</t>
  </si>
  <si>
    <t>Counts</t>
  </si>
  <si>
    <t>Red Button</t>
  </si>
  <si>
    <t>Lapsed</t>
  </si>
  <si>
    <t>Longitudinal</t>
  </si>
  <si>
    <t>UT &amp; NCOA/PCOA &amp; Past Biz</t>
  </si>
  <si>
    <t>MARTy selected gas</t>
  </si>
  <si>
    <t>MARTy selected non-gas</t>
  </si>
  <si>
    <t>FY23 Dec. Acquisition Direct Mail matrix v.1 updated 9.13.22</t>
  </si>
  <si>
    <t xml:space="preserve">These columns need to be updated. </t>
  </si>
  <si>
    <t> </t>
  </si>
  <si>
    <t>golden/bronze</t>
  </si>
  <si>
    <t>main targeting</t>
  </si>
  <si>
    <t>club exclusion</t>
  </si>
  <si>
    <t>club inclusion</t>
  </si>
  <si>
    <t>zip priority/special zip list</t>
  </si>
  <si>
    <t>sub test /control included</t>
  </si>
  <si>
    <t>enriched sub test /control included</t>
  </si>
  <si>
    <t>include utuc</t>
  </si>
  <si>
    <t>MARTy selection</t>
  </si>
  <si>
    <t>targeting rule</t>
  </si>
  <si>
    <t>hard force qty</t>
  </si>
  <si>
    <t>Drop 1   In Home 12/1/22</t>
  </si>
  <si>
    <t>Drop 2
In Home 12/8/22</t>
  </si>
  <si>
    <t>Drop 3 In Home 12/15/22</t>
  </si>
  <si>
    <t>Drop 4                           In Home 12/22/22</t>
  </si>
  <si>
    <t xml:space="preserve">Drop 5                             In Home </t>
  </si>
  <si>
    <t>BAU</t>
  </si>
  <si>
    <t>golden</t>
  </si>
  <si>
    <t xml:space="preserve">MARTy selected past and prospect - apply uplift model. </t>
  </si>
  <si>
    <t>128, 169, 191, 222, 223, 224, 225, 226, 235, 382, 383, 384, 385, 386, 387, 388, 389, 390, 391, 392, 395</t>
  </si>
  <si>
    <t>longitudinal test</t>
  </si>
  <si>
    <t xml:space="preserve">This is the control with a 39-day expiration window to measure the longitudinal expiration window test. CTRL01_OT_MAIN  in Oct2022 campaign as no mail for longitudinal test </t>
  </si>
  <si>
    <t xml:space="preserve">force in </t>
  </si>
  <si>
    <r>
      <t xml:space="preserve">$25 for a 1-year BJ’s Inner Circle® or Business Membership                                                       To redeem this offer, go to </t>
    </r>
    <r>
      <rPr>
        <i/>
        <sz val="20"/>
        <color rgb="FF000000"/>
        <rFont val="Calibri"/>
        <family val="2"/>
        <scheme val="minor"/>
      </rPr>
      <t>BJs.com/DecemberSavings</t>
    </r>
    <r>
      <rPr>
        <sz val="20"/>
        <color rgb="FF000000"/>
        <rFont val="Calibri"/>
        <family val="2"/>
        <scheme val="minor"/>
      </rPr>
      <t xml:space="preserve"> or bring this offer to the member services desk. </t>
    </r>
  </si>
  <si>
    <t>8 1/2 x 11 letter no tip on card and #10 envelope</t>
  </si>
  <si>
    <t>Promotional</t>
  </si>
  <si>
    <t>DMDEC1</t>
  </si>
  <si>
    <t>IC: DD12C1  Bus: DD121B</t>
  </si>
  <si>
    <t xml:space="preserve">This is the control with a 60-day expiration window to measure the longitudinal expiration window test. 
Include CELL02_OT_MAIN in Oct2022 campaign as mail for longitudinal test </t>
  </si>
  <si>
    <t xml:space="preserve">$25 for a 1-year BJ’s Inner Circle® or Business Membership                                                       To redeem this offer, go to BJs.com/DecemberSave or bring this offer to the member services desk. </t>
  </si>
  <si>
    <t>DMDEC2</t>
  </si>
  <si>
    <t>IC: DD12C2 BUS:DD122B</t>
  </si>
  <si>
    <t xml:space="preserve">MARTy selected past and prospect - apply uplift model. Include past paid IC &amp; Bus. Members. 
</t>
  </si>
  <si>
    <t>Force in business past paids 386</t>
  </si>
  <si>
    <t xml:space="preserve">both non PCOA/NCOA and PCOA/NCOA addresses/lapsed VC/CR/paid Supp/business past paids/longitudinal frequency test </t>
  </si>
  <si>
    <t xml:space="preserve">PCOA test on PCOA groups: Both P&amp;OP; 200K test, 40K as control. NCOA group: target all PP/PT N&amp;ON Offer 
Including lapsed VC/CR/Paid Supps (for non-excluded clubs). Including business past paids (cell x). </t>
  </si>
  <si>
    <t>force in + gurobi</t>
  </si>
  <si>
    <t>VC/CR and Paid sups need to be included.</t>
  </si>
  <si>
    <r>
      <t xml:space="preserve">$25 for a 1-year BJ’s Inner Circle® or Business Membership                                                       To redeem this offer, go to </t>
    </r>
    <r>
      <rPr>
        <i/>
        <sz val="20"/>
        <color rgb="FF000000"/>
        <rFont val="Calibri"/>
        <family val="2"/>
        <scheme val="minor"/>
      </rPr>
      <t>BJs.com/xxx</t>
    </r>
    <r>
      <rPr>
        <sz val="20"/>
        <color rgb="FF000000"/>
        <rFont val="Calibri"/>
        <family val="2"/>
        <scheme val="minor"/>
      </rPr>
      <t xml:space="preserve"> or bring this offer to the member services desk. </t>
    </r>
  </si>
  <si>
    <t>DMDEC3</t>
  </si>
  <si>
    <t>IC: DD12C3  Bus: DD123B</t>
  </si>
  <si>
    <t xml:space="preserve">Cell 4 </t>
  </si>
  <si>
    <t>Cancelled</t>
  </si>
  <si>
    <t>Detroit/Pensacola GENERAL</t>
  </si>
  <si>
    <t>MARTy selected past and prospect - apply uplift model</t>
  </si>
  <si>
    <t>382,383, 384, 385</t>
  </si>
  <si>
    <t>Longitudinal test</t>
  </si>
  <si>
    <t xml:space="preserve">This is the control with a 39-day expiration window to measure the longitudinal expiration window test. </t>
  </si>
  <si>
    <t>force in</t>
  </si>
  <si>
    <r>
      <t xml:space="preserve">Join for $55 and get a $20 welcome bonus                                                                                                                    To redeem this offer, go to </t>
    </r>
    <r>
      <rPr>
        <i/>
        <sz val="20"/>
        <color rgb="FF000000"/>
        <rFont val="Calibri"/>
        <family val="2"/>
        <scheme val="minor"/>
      </rPr>
      <t>BJs.com/xxx</t>
    </r>
    <r>
      <rPr>
        <sz val="20"/>
        <color rgb="FF000000"/>
        <rFont val="Calibri"/>
        <family val="2"/>
        <scheme val="minor"/>
      </rPr>
      <t xml:space="preserve"> or bring this offer to the member services desk. </t>
    </r>
  </si>
  <si>
    <t>DMDEC5($20 award), DMDC54($40 award)</t>
  </si>
  <si>
    <t>DD12C5 ($20 award), DD1252 ($40 award)</t>
  </si>
  <si>
    <t xml:space="preserve">This is the control with a 60-day expiration window to measure the longitudinal expiration window test. </t>
  </si>
  <si>
    <t xml:space="preserve">Join for $55 and get a $20 welcome bonus                                                                                                                    To redeem this offer, go to BJs.com/xxx or bring this offer to the member services desk. </t>
  </si>
  <si>
    <t>DMDEC6</t>
  </si>
  <si>
    <t>DD12C6</t>
  </si>
  <si>
    <t>SW Florida/S. Fayette GENERAL</t>
  </si>
  <si>
    <t>128, 169, 191, 388</t>
  </si>
  <si>
    <t>Hold out 50% control</t>
  </si>
  <si>
    <t>gurobi</t>
  </si>
  <si>
    <r>
      <t xml:space="preserve">Join for $55 and get a $40 welcome bonus                                                                                                                To redeem this offer, go to </t>
    </r>
    <r>
      <rPr>
        <i/>
        <sz val="20"/>
        <color rgb="FF000000"/>
        <rFont val="Calibri"/>
        <family val="2"/>
        <scheme val="minor"/>
      </rPr>
      <t>BJs.com/xxx</t>
    </r>
    <r>
      <rPr>
        <sz val="20"/>
        <color rgb="FF000000"/>
        <rFont val="Calibri"/>
        <family val="2"/>
        <scheme val="minor"/>
      </rPr>
      <t xml:space="preserve"> or bring this offer to the member services desk.      </t>
    </r>
  </si>
  <si>
    <t>SFDEC7, SFDECP</t>
  </si>
  <si>
    <t>SFDCD7, SFDCC7</t>
  </si>
  <si>
    <t>Lapsed External Renewal</t>
  </si>
  <si>
    <t>Lapsed external renewal offer - IC and Business. Jan '22 - Jul '22, 2+ yr. tenure at expiration.</t>
  </si>
  <si>
    <t>mbr_exp_dt between 2022-1-30 and 2022-07-31, all other criterias same as previous campaign</t>
  </si>
  <si>
    <t>OTPUC</t>
  </si>
  <si>
    <r>
      <t xml:space="preserve">Rejoin for $20 + $20 award                                                                                                                                              To redeem this offer, go to </t>
    </r>
    <r>
      <rPr>
        <i/>
        <sz val="20"/>
        <color rgb="FF000000"/>
        <rFont val="Calibri"/>
        <family val="2"/>
        <scheme val="minor"/>
      </rPr>
      <t xml:space="preserve">BJs.com/xxx </t>
    </r>
    <r>
      <rPr>
        <sz val="20"/>
        <color rgb="FF000000"/>
        <rFont val="Calibri"/>
        <family val="2"/>
        <scheme val="minor"/>
      </rPr>
      <t xml:space="preserve">enter your unique promotion code at checkout: XXXXXXXXXXXXXXXX or bring this offer to a club near you. </t>
    </r>
  </si>
  <si>
    <t>EZDEC8</t>
  </si>
  <si>
    <t>N/A</t>
  </si>
  <si>
    <t>Lapsed external renewal offer - IC and Business. Jan. '22 - Jul '22, 2+ yr. tenure at expiration.</t>
  </si>
  <si>
    <t>mbr_exp_dt between 2022-1-22 and 2022-07-31, all other criterias same as previous campaign</t>
  </si>
  <si>
    <r>
      <t xml:space="preserve">Rejoin for $20 + $20 award                                                                                                                                               To redeem this offer, go to </t>
    </r>
    <r>
      <rPr>
        <i/>
        <sz val="20"/>
        <color rgb="FF000000"/>
        <rFont val="Calibri"/>
        <family val="2"/>
        <scheme val="minor"/>
      </rPr>
      <t>BJs.com/xxx</t>
    </r>
    <r>
      <rPr>
        <sz val="20"/>
        <color rgb="FF000000"/>
        <rFont val="Calibri"/>
        <family val="2"/>
        <scheme val="minor"/>
      </rPr>
      <t xml:space="preserve"> enter your unique promotion code at checkout: XXXXXXXXXXXXXXXX or bring this offer to a club near you. </t>
    </r>
  </si>
  <si>
    <t>x</t>
  </si>
  <si>
    <t>EZDEC9</t>
  </si>
  <si>
    <t>Lapsed Detroit/Pensacola</t>
  </si>
  <si>
    <t>Cell 10</t>
  </si>
  <si>
    <t>Lapsed 90 days - 18 months select Clubs</t>
  </si>
  <si>
    <t>128, 169, 191, 223, 224, 225, 382, 383, 384, 385, 387, 389, 392</t>
  </si>
  <si>
    <r>
      <t xml:space="preserve">Rejoin for $55 and get a $20 welcome bonus                                                                                                             To redeem this offer, go to </t>
    </r>
    <r>
      <rPr>
        <i/>
        <sz val="20"/>
        <color rgb="FF000000"/>
        <rFont val="Calibri"/>
        <family val="2"/>
        <scheme val="minor"/>
      </rPr>
      <t>BJs.com/GreatRate</t>
    </r>
    <r>
      <rPr>
        <sz val="20"/>
        <color rgb="FF000000"/>
        <rFont val="Calibri"/>
        <family val="2"/>
        <scheme val="minor"/>
      </rPr>
      <t xml:space="preserve"> or bring this offer to the member services desk. </t>
    </r>
  </si>
  <si>
    <t>Lapsed S. Fayette</t>
  </si>
  <si>
    <r>
      <t xml:space="preserve">Rejoin for $55 and get a $40 welcome bonus                                                                                                             To redeem this offer, go to </t>
    </r>
    <r>
      <rPr>
        <i/>
        <sz val="20"/>
        <color rgb="FF000000"/>
        <rFont val="Calibri"/>
        <family val="2"/>
        <scheme val="minor"/>
      </rPr>
      <t>BJs.com/xxx</t>
    </r>
    <r>
      <rPr>
        <sz val="20"/>
        <color rgb="FF000000"/>
        <rFont val="Calibri"/>
        <family val="2"/>
        <scheme val="minor"/>
      </rPr>
      <t xml:space="preserve"> or bring this offer to the member services desk. </t>
    </r>
  </si>
  <si>
    <t>EZDC11</t>
  </si>
  <si>
    <t>EZDD11</t>
  </si>
  <si>
    <t>Lapsed BAU chain</t>
  </si>
  <si>
    <t>128, 169, 191, 223, 224, 225, 382, 383, 384, 385, 387, 389, 392, 388</t>
  </si>
  <si>
    <t>Lapsed all PCOA/NCOA + lapsed regular, lapsed Business (can be eligible for double touch)</t>
  </si>
  <si>
    <r>
      <t xml:space="preserve">Rejoin for $25 for a 1-year BJ’s Inner Circle® or Business Membership                                                                      To redeem this offer, go to </t>
    </r>
    <r>
      <rPr>
        <i/>
        <sz val="20"/>
        <color rgb="FF000000"/>
        <rFont val="Calibri"/>
        <family val="2"/>
        <scheme val="minor"/>
      </rPr>
      <t>BJs.com/xxx</t>
    </r>
    <r>
      <rPr>
        <sz val="20"/>
        <color rgb="FF000000"/>
        <rFont val="Calibri"/>
        <family val="2"/>
        <scheme val="minor"/>
      </rPr>
      <t xml:space="preserve"> or bring this offer to the member services desk. </t>
    </r>
  </si>
  <si>
    <t>EZDC12</t>
  </si>
  <si>
    <t>EZDD12</t>
  </si>
  <si>
    <t>Lapsed BAU chain 2nd touch</t>
  </si>
  <si>
    <t>lapsed double touch high ltv</t>
  </si>
  <si>
    <t>EZDC13</t>
  </si>
  <si>
    <t>EZDD13</t>
  </si>
  <si>
    <t xml:space="preserve">Target Quantity: </t>
  </si>
  <si>
    <t>Grand Opening Section</t>
  </si>
  <si>
    <t>Club</t>
  </si>
  <si>
    <t>Prospects</t>
  </si>
  <si>
    <t>All clubs but Ross Township #387</t>
  </si>
  <si>
    <t>Ross Township #387</t>
  </si>
  <si>
    <t>Core Zips only</t>
  </si>
  <si>
    <t>IC $55/12 plus $40 welcome bonus (Awards) or Perks $110/12 plus $80 welcome bonus (Awards)</t>
  </si>
  <si>
    <t>RSTD16</t>
  </si>
  <si>
    <t>All clubs but Port Charlotte #223</t>
  </si>
  <si>
    <t>Port Charlotte #223</t>
  </si>
  <si>
    <t>Core Zips Only</t>
  </si>
  <si>
    <t>PTCD17</t>
  </si>
  <si>
    <t>All clubs but Lansing #389</t>
  </si>
  <si>
    <t>Lansing #389</t>
  </si>
  <si>
    <t>LAND19</t>
  </si>
  <si>
    <t>All clubs but Commack #386</t>
  </si>
  <si>
    <t>Commack #386</t>
  </si>
  <si>
    <t>D17386</t>
  </si>
  <si>
    <t>All clubs but Lady Lake #390</t>
  </si>
  <si>
    <t>Lady Lake #390</t>
  </si>
  <si>
    <t>Core &amp; Secondary</t>
  </si>
  <si>
    <t>LDYD14</t>
  </si>
  <si>
    <t>Canton</t>
  </si>
  <si>
    <t>All clubs but Canton #225</t>
  </si>
  <si>
    <t>Canton #225</t>
  </si>
  <si>
    <t>Core only</t>
  </si>
  <si>
    <t>Please name file: Merkle_LSC_Canton_SmartSaver18_GO_MAILFILE_&lt;YYYYMMDD&gt;_&lt;recordcount&gt;.txt
When file is emailed to vendor please put Canton SmartSaver 18 in subject</t>
  </si>
  <si>
    <t>SmartSaver 18</t>
  </si>
  <si>
    <t>BB2225</t>
  </si>
  <si>
    <t>LSC</t>
  </si>
  <si>
    <t>Noblesville</t>
  </si>
  <si>
    <t>All clubs but Noblesville #224</t>
  </si>
  <si>
    <t>Noblesville #224</t>
  </si>
  <si>
    <t>Please name file: Merkle_Baesman_Noblesville_ScatchTicketLetter_GO_MAILFILE_&lt;YYYYMMDD&gt;_&lt;recordcount&gt;.txt
When file is emailed to vendor please put Noblesville Scratch Ticket Letter in subject</t>
  </si>
  <si>
    <t>Scratch Ticket Letter</t>
  </si>
  <si>
    <t>NBLSCR</t>
  </si>
  <si>
    <t>Baesman</t>
  </si>
  <si>
    <t>Please name file: Merkle_QUAD_Noblesville_SmartSaver19_GO_MAILFILE_&lt;YYYYMMDD&gt;_&lt;recordcount&gt;.txt
When file is emailed to vendor please put Noblesville SmartSaver19 in subject</t>
  </si>
  <si>
    <t>SmartSaver 19</t>
  </si>
  <si>
    <t>NBLBB2</t>
  </si>
  <si>
    <t>QUAD</t>
  </si>
  <si>
    <t>New Albany</t>
  </si>
  <si>
    <t>All clubs but New Albany #392</t>
  </si>
  <si>
    <t>New Albany #392</t>
  </si>
  <si>
    <t>Please name file: Merkle_QUAD_NewAlbany_SmartSaver18_GO_MAILFILE_&lt;YYYYMMDD&gt;_&lt;recordcount&gt;.txt
When file is emailed to vendor please put New Albany SmartSaver18 in subject</t>
  </si>
  <si>
    <t>ALBBBM</t>
  </si>
  <si>
    <t>Greenburgh</t>
  </si>
  <si>
    <t>All clubs but Greenburgh #395</t>
  </si>
  <si>
    <t>Greenburgh #395</t>
  </si>
  <si>
    <t>GRNDM6</t>
  </si>
  <si>
    <t>Midlothian</t>
  </si>
  <si>
    <t>All clubs but Midlothian #391</t>
  </si>
  <si>
    <t>Midlothian #391</t>
  </si>
  <si>
    <t>Please name file: Merkle_Baesman_Midlothian_EngagementBook_GO_MAILFILE_&lt;YYYYMMDD&gt;_&lt;recordcount&gt;.txt
When file is emailed to vendor please put Midlothian Engagement Book in subject</t>
  </si>
  <si>
    <t>Engagement Book</t>
  </si>
  <si>
    <t>MDLENG</t>
  </si>
  <si>
    <t>Core Only</t>
  </si>
  <si>
    <t>GO Tab Mailer</t>
  </si>
  <si>
    <t>MDLTAB</t>
  </si>
  <si>
    <t>Wayne</t>
  </si>
  <si>
    <t>All clubs but Wayne #222</t>
  </si>
  <si>
    <t>Wayne #222</t>
  </si>
  <si>
    <t>WAYDM5</t>
  </si>
  <si>
    <t>McDonough</t>
  </si>
  <si>
    <t>All clubs but McDonough #235</t>
  </si>
  <si>
    <t>McDonough #235</t>
  </si>
  <si>
    <t>MCDDM4</t>
  </si>
  <si>
    <t>Davenport</t>
  </si>
  <si>
    <t>All clubs but Davenport #226</t>
  </si>
  <si>
    <t>Davenport #226</t>
  </si>
  <si>
    <t>DAVDM1</t>
  </si>
  <si>
    <t>DAVDM2</t>
  </si>
  <si>
    <t>DAVDM3</t>
  </si>
  <si>
    <t>December GO Call Outs:</t>
  </si>
  <si>
    <t>South Fayette ended in Nov, part of chain program in December</t>
  </si>
  <si>
    <t>Noblesville to Core Only zips</t>
  </si>
  <si>
    <t>New Albany to Core Only zips</t>
  </si>
  <si>
    <t>club='387':index_key='0 and 30000000':priority_num='1'</t>
  </si>
  <si>
    <t>Midlothian 1st Drop Core/Secondary, 2nd drop core only</t>
  </si>
  <si>
    <t>club='387':index_key='30000000 and 50000000':priority_num='1'</t>
  </si>
  <si>
    <t>Wayne Core Only</t>
  </si>
  <si>
    <t>club='223':index_key='0 and 30000000':priority_num='1'</t>
  </si>
  <si>
    <t>Davenport Added 1st Drop Core/Secondary, 2&amp;3rd drops core only</t>
  </si>
  <si>
    <t>club='223':index_key='30000000 and 50000000':priority_num='1'</t>
  </si>
  <si>
    <t>club='389':index_key='0 and 30000000':priority_num='1'</t>
  </si>
  <si>
    <t>club='389':index_key='30000000 and 50000000':priority_num='1'</t>
  </si>
  <si>
    <t>club</t>
  </si>
  <si>
    <t>????</t>
  </si>
  <si>
    <t>club='386':index_key='0 and 30000000':priority_num='1'</t>
  </si>
  <si>
    <t xml:space="preserve">Ross Township </t>
  </si>
  <si>
    <t>club='386':index_key='30000000 and 50000000':priority_num='1'</t>
  </si>
  <si>
    <t xml:space="preserve">Port Charlotte </t>
  </si>
  <si>
    <t>club='390':index_key='0 and 30000000':priority_num='1','2'</t>
  </si>
  <si>
    <t xml:space="preserve">Lansing </t>
  </si>
  <si>
    <t>club='390':index_key='30000000 and 50000000':priority_num='1','2'</t>
  </si>
  <si>
    <t xml:space="preserve">Commack </t>
  </si>
  <si>
    <t>club='225':index_key='0 and 30000000':priority_num='1'</t>
  </si>
  <si>
    <t xml:space="preserve">Lady Lake </t>
  </si>
  <si>
    <t>club='225':index_key='30000000 and 50000000':priority_num='1'</t>
  </si>
  <si>
    <t xml:space="preserve">Canton </t>
  </si>
  <si>
    <t>club='224':index_key='0 and 30000000':priority_num='1'</t>
  </si>
  <si>
    <t xml:space="preserve">Noblesville </t>
  </si>
  <si>
    <t>club='224':index_key='30000000 and 50000000':priority_num='1'</t>
  </si>
  <si>
    <t xml:space="preserve">New Albany </t>
  </si>
  <si>
    <t>club='224':index_key='0 and 30000000':priority_num='1':bjs_cell='CELL20'</t>
  </si>
  <si>
    <t xml:space="preserve">Greenburgh </t>
  </si>
  <si>
    <t>club='224':index_key='30000000 and 50000000':priority_num='1':bjs_cell='CELL20_BNZD'</t>
  </si>
  <si>
    <t xml:space="preserve">Midlothian </t>
  </si>
  <si>
    <t>club='392':index_key='0 and 30000000':priority_num='1'</t>
  </si>
  <si>
    <t xml:space="preserve">Wayne </t>
  </si>
  <si>
    <t>club='392':index_key='30000000 and 50000000':priority_num='1'</t>
  </si>
  <si>
    <t xml:space="preserve">McDonough </t>
  </si>
  <si>
    <t>club='395':index_key='0 and 30000000':priority_num='1'</t>
  </si>
  <si>
    <t xml:space="preserve">Davenport </t>
  </si>
  <si>
    <t>club='395':index_key='30000000 and 50000000':priority_num='1'</t>
  </si>
  <si>
    <t>?????</t>
  </si>
  <si>
    <t>club='391':index_key='0 and 30000000':priority_num='1'</t>
  </si>
  <si>
    <t>club='391':index_key='30000000 and 50000000':priority_num='1'</t>
  </si>
  <si>
    <t>club='391':index_key='0 and 30000000':priority_num='1':bjs_cell='CELL24'</t>
  </si>
  <si>
    <t>club='391':index_key='30000000 and 50000000':priority_num='1':bjs_cell='CELL24_BNZD'</t>
  </si>
  <si>
    <t>club='222':index_key='0 and 30000000':priority_num='1'</t>
  </si>
  <si>
    <t>club='222':index_key='30000000 and 50000000':priority_num='1'</t>
  </si>
  <si>
    <t>club='235':index_key='0 and 30000000':priority_num='1','2'</t>
  </si>
  <si>
    <t>club='235':index_key='30000000 and 50000000':priority_num='1','2'</t>
  </si>
  <si>
    <t>club='226':index_key='0 and 30000000':priority_num='1','2'</t>
  </si>
  <si>
    <t>club='226':index_key='30000000 and 50000000':priority_num='1','2'</t>
  </si>
  <si>
    <t>club='226':index_key='0 and 30000000':priority_num='1':bjs_cell='CELL28'</t>
  </si>
  <si>
    <t>club='226':index_key='30000000 and 50000000':priority_num='1':bjs_cell='CELL28_BNZD'</t>
  </si>
  <si>
    <t>DecMatrix as of  29-Sep-22</t>
  </si>
  <si>
    <t xml:space="preserve">$25 for a 1-year BJ’s Inner Circle® or Business Membership                                                       To redeem this offer, go to BJs.com/DecemberSavings or bring this offer to the member services desk. </t>
  </si>
  <si>
    <t xml:space="preserve">VC/CR and Paid sups need to be included. Include young hh_age&lt;45 prospects. </t>
  </si>
  <si>
    <t xml:space="preserve">$25 for a 1-year BJ’s Inner Circle® or Business Membership                                                       To redeem this offer, go to BJs.com/xxx or bring this offer to the member services desk. </t>
  </si>
  <si>
    <t>DMDEC5,  DMDC54</t>
  </si>
  <si>
    <t>DD12C5 , DD1252</t>
  </si>
  <si>
    <t xml:space="preserve">Join for $55 and get a $40 welcome bonus                                                                                                                To redeem this offer, go to BJs.com/xxx or bring this offer to the member services desk.      </t>
  </si>
  <si>
    <t xml:space="preserve">Rejoin for $20 + $20 award                                                                                                                                              To redeem this offer, go to BJs.com/xxx enter your unique promotion code at checkout: XXXXXXXXXXXXXXXX or bring this offer to a club near you. </t>
  </si>
  <si>
    <t xml:space="preserve">Rejoin for $20 + $20 award                                                                                                                                               To redeem this offer, go to BJs.com/xxx enter your unique promotion code at checkout: XXXXXXXXXXXXXXXX or bring this offer to a club near you. </t>
  </si>
  <si>
    <t xml:space="preserve">Rejoin for $55 and get a $20 welcome bonus                                                                                                             To redeem this offer, go to BJs.com/GreatRate or bring this offer to the member services desk. </t>
  </si>
  <si>
    <t xml:space="preserve">Rejoin for $55 and get a $40 welcome bonus                                                                                                             To redeem this offer, go to BJs.com/xxx or bring this offer to the member services desk. </t>
  </si>
  <si>
    <t xml:space="preserve">Rejoin for $25 for a 1-year BJ’s Inner Circle® or Business Membership                                                                      To redeem this offer, go to BJs.com/xxx or bring this offer to the member services desk. </t>
  </si>
  <si>
    <t>387</t>
  </si>
  <si>
    <t>223</t>
  </si>
  <si>
    <t>389</t>
  </si>
  <si>
    <t>386</t>
  </si>
  <si>
    <t>390</t>
  </si>
  <si>
    <t>225</t>
  </si>
  <si>
    <t>224</t>
  </si>
  <si>
    <t>Cell 22</t>
  </si>
  <si>
    <t>392</t>
  </si>
  <si>
    <t>Cell 23</t>
  </si>
  <si>
    <t>395</t>
  </si>
  <si>
    <t>Cell 24</t>
  </si>
  <si>
    <t>391</t>
  </si>
  <si>
    <t>Cell 25</t>
  </si>
  <si>
    <t>Cell 26</t>
  </si>
  <si>
    <t>222</t>
  </si>
  <si>
    <t>Cell 27</t>
  </si>
  <si>
    <t>235</t>
  </si>
  <si>
    <t>Cell 28</t>
  </si>
  <si>
    <t>226</t>
  </si>
  <si>
    <t>Cell 29</t>
  </si>
  <si>
    <t>Cell 30</t>
  </si>
  <si>
    <t>cell_name</t>
  </si>
  <si>
    <t>cell_name_cmt</t>
  </si>
  <si>
    <t>merkle_cell</t>
  </si>
  <si>
    <t>drop_date_tmp</t>
  </si>
  <si>
    <t>drop_date</t>
  </si>
  <si>
    <t>campaign_name</t>
  </si>
  <si>
    <t>format</t>
  </si>
  <si>
    <t>offer_start_date</t>
  </si>
  <si>
    <t>in_home_date</t>
  </si>
  <si>
    <t>mail_house_date</t>
  </si>
  <si>
    <t>cell_type</t>
  </si>
  <si>
    <t>segment</t>
  </si>
  <si>
    <t>parameters</t>
  </si>
  <si>
    <t>club_exclusion</t>
  </si>
  <si>
    <t>club_inclusion</t>
  </si>
  <si>
    <t>club_override_default</t>
  </si>
  <si>
    <t>parameter1</t>
  </si>
  <si>
    <t>value1</t>
  </si>
  <si>
    <t>param1</t>
  </si>
  <si>
    <t>parameter2</t>
  </si>
  <si>
    <t>value2</t>
  </si>
  <si>
    <t>param2</t>
  </si>
  <si>
    <t>parameter3</t>
  </si>
  <si>
    <t>value3</t>
  </si>
  <si>
    <t>param3</t>
  </si>
  <si>
    <t>parameter4</t>
  </si>
  <si>
    <t>value4</t>
  </si>
  <si>
    <t>param4</t>
  </si>
  <si>
    <t>OT_MAIN</t>
  </si>
  <si>
    <t>test_condition_exclclub_dyn</t>
  </si>
  <si>
    <t>test_condition</t>
  </si>
  <si>
    <t>freq_cell01_ot_main=1'</t>
  </si>
  <si>
    <t>Ctrl 1</t>
  </si>
  <si>
    <t>freq_ctrl01_ot_main=1'</t>
  </si>
  <si>
    <t>CELL02_OT_MAIN</t>
  </si>
  <si>
    <t>freq_cell02_ot_main=1'</t>
  </si>
  <si>
    <t>MI_LONG</t>
  </si>
  <si>
    <t>test_condition_inclclub_dyn</t>
  </si>
  <si>
    <t>freq_cell05_mi_long=1'</t>
  </si>
  <si>
    <t>Ctrl 5</t>
  </si>
  <si>
    <t>freq_ctrl05_mi_long=1'</t>
  </si>
  <si>
    <t>freq_cell06_mi_long=1'</t>
  </si>
  <si>
    <t>UTEST</t>
  </si>
  <si>
    <t>exclclub_force_utuc_mbrcode_dyn</t>
  </si>
  <si>
    <t>utuc</t>
  </si>
  <si>
    <t>ut_pros'</t>
  </si>
  <si>
    <t>mbrcode</t>
  </si>
  <si>
    <t>null</t>
  </si>
  <si>
    <t>force_in</t>
  </si>
  <si>
    <t>1'</t>
  </si>
  <si>
    <t>Ctrl 3</t>
  </si>
  <si>
    <t>UCTRL</t>
  </si>
  <si>
    <t>uc_pros'</t>
  </si>
  <si>
    <t>UTPP</t>
  </si>
  <si>
    <t>ut_pp'</t>
  </si>
  <si>
    <t>PP','PT'</t>
  </si>
  <si>
    <t>UCPP</t>
  </si>
  <si>
    <t>uc_pp'</t>
  </si>
  <si>
    <t>LP_VC_CR_SUP</t>
  </si>
  <si>
    <t>(mbr_stts_cd in ("VC","CR") or addr_type_flg in ("J","S") ) and past_mbr_cd in ("LP","LT")'</t>
  </si>
  <si>
    <t>UTLP</t>
  </si>
  <si>
    <t>LP','LT'</t>
  </si>
  <si>
    <t>UCLP</t>
  </si>
  <si>
    <t>OP_P</t>
  </si>
  <si>
    <t>dev_pcoa_exclclub_mbrcode_dyn</t>
  </si>
  <si>
    <t>wave_condition</t>
  </si>
  <si>
    <t>wave_p=1 and wave_op=1'</t>
  </si>
  <si>
    <t>dev_subset_pcoa_exclclub_mbrcode_dyn</t>
  </si>
  <si>
    <t>bjs_cell</t>
  </si>
  <si>
    <t>CTRL03_OP_P'</t>
  </si>
  <si>
    <t>CELL03_OP_P'</t>
  </si>
  <si>
    <t>ON_N</t>
  </si>
  <si>
    <t>wave_on=1 and wave_n=1'</t>
  </si>
  <si>
    <t>CELL03_ON_N'</t>
  </si>
  <si>
    <t>CELL12_ON_N'</t>
  </si>
  <si>
    <t>wave_op=1 and wave_p=1'</t>
  </si>
  <si>
    <t>CELL12_OP_P'</t>
  </si>
  <si>
    <t>PP_BUS</t>
  </si>
  <si>
    <t>bizmbr_exclclub_mbrcode_dyn</t>
  </si>
  <si>
    <t>biz_mbr_primary</t>
  </si>
  <si>
    <t>lp_renew_filter_exclclub_dyn</t>
  </si>
  <si>
    <t>mbr_exp_dt</t>
  </si>
  <si>
    <t>"'2022-01-31' and '2022-07-31'"</t>
  </si>
  <si>
    <t>mbr_typ_cd</t>
  </si>
  <si>
    <t>2','4'</t>
  </si>
  <si>
    <t>tenure</t>
  </si>
  <si>
    <t>mbr_mfi_amt</t>
  </si>
  <si>
    <t>0.01 and 9999'</t>
  </si>
  <si>
    <t>cell_subset_high_ltv_dyn</t>
  </si>
  <si>
    <t>high_ltv_cell</t>
  </si>
  <si>
    <t>high_ltv_lapsed_paid',null</t>
  </si>
  <si>
    <t>CELL08'</t>
  </si>
  <si>
    <t>LP_BUS</t>
  </si>
  <si>
    <t>0','1'</t>
  </si>
  <si>
    <t>high_ltv_lapsed_paid'</t>
  </si>
  <si>
    <t>CELL12','CELL12_LP_BUS'</t>
  </si>
  <si>
    <t>'388'</t>
  </si>
  <si>
    <t>'na'</t>
  </si>
  <si>
    <t>club_zip_dyn</t>
  </si>
  <si>
    <t>index_key</t>
  </si>
  <si>
    <t>0 and 30000000'</t>
  </si>
  <si>
    <t>priority_num</t>
  </si>
  <si>
    <t>BNZD</t>
  </si>
  <si>
    <t>30000000 and 50000000'</t>
  </si>
  <si>
    <t>1','2'</t>
  </si>
  <si>
    <t>sub_club_zip_dyn</t>
  </si>
  <si>
    <t>CELL20'</t>
  </si>
  <si>
    <t>CELL20_BNZD'</t>
  </si>
  <si>
    <t>CELL24'</t>
  </si>
  <si>
    <t>CELL24_BNZD'</t>
  </si>
  <si>
    <t>CELL28'</t>
  </si>
  <si>
    <t>CELL28_BNZD'</t>
  </si>
  <si>
    <t>CELL29'</t>
  </si>
  <si>
    <t>CELL29_BNZD'</t>
  </si>
  <si>
    <t>1. delete duplicated CELL03 utuc prosp and pp</t>
  </si>
  <si>
    <t>2. updated sub bjs_cell value for OP_P, ON_N to CELL03_XXX</t>
  </si>
  <si>
    <t>3. updated sub bjs_cell value for LAPSED OP_P, ON_N to CELL12_XXX</t>
  </si>
  <si>
    <t>4. add missing longitudinal test cells</t>
  </si>
  <si>
    <t>comment</t>
  </si>
  <si>
    <t>gurobi_force_in</t>
  </si>
  <si>
    <t>offer_end_date</t>
  </si>
  <si>
    <t>parametrized_seg_values</t>
  </si>
  <si>
    <t>quantity</t>
  </si>
  <si>
    <t>sequence</t>
  </si>
  <si>
    <t>version</t>
  </si>
  <si>
    <t>is_balanced</t>
  </si>
  <si>
    <t>mkt_cd</t>
  </si>
  <si>
    <t>test_group</t>
  </si>
  <si>
    <t>CELL01_OT_MAIN</t>
  </si>
  <si>
    <t>v1</t>
  </si>
  <si>
    <t>CTRL01_OT_MAIN</t>
  </si>
  <si>
    <t>CELL05_MI_LONG</t>
  </si>
  <si>
    <t>CTRL05_MI_LONG</t>
  </si>
  <si>
    <t>CELL06_MI_LONG</t>
  </si>
  <si>
    <t>CELL03_UTEST</t>
  </si>
  <si>
    <t>CTRL03_UCTRL</t>
  </si>
  <si>
    <t>CELL03_UTPP</t>
  </si>
  <si>
    <t>CTRL03_UCPP</t>
  </si>
  <si>
    <t>CELL03_LP_VC_CR_SUP</t>
  </si>
  <si>
    <t>CELL12_UTLP</t>
  </si>
  <si>
    <t>CELL12_UCLP</t>
  </si>
  <si>
    <t>CTRL03_OP_P</t>
  </si>
  <si>
    <t>40000H</t>
  </si>
  <si>
    <t>CELL03_OP_P</t>
  </si>
  <si>
    <t>CELL03_ON_N</t>
  </si>
  <si>
    <t>CELL12_ON_N</t>
  </si>
  <si>
    <t>CELL12_OP_P</t>
  </si>
  <si>
    <t>CELL03_PP_BUS</t>
  </si>
  <si>
    <t>CELL08</t>
  </si>
  <si>
    <t>CELL09</t>
  </si>
  <si>
    <t>CELL12_LP_BUS</t>
  </si>
  <si>
    <t>CELL12</t>
  </si>
  <si>
    <t>CELL13</t>
  </si>
  <si>
    <t>CELL10</t>
  </si>
  <si>
    <t>CELL11</t>
  </si>
  <si>
    <t>CELL14</t>
  </si>
  <si>
    <t>CELL14_BNZD</t>
  </si>
  <si>
    <t>CELL15</t>
  </si>
  <si>
    <t>CELL15_BNZD</t>
  </si>
  <si>
    <t>CELL16</t>
  </si>
  <si>
    <t>CELL16_BNZD</t>
  </si>
  <si>
    <t>CELL17</t>
  </si>
  <si>
    <t>CELL17_BNZD</t>
  </si>
  <si>
    <t>CELL18</t>
  </si>
  <si>
    <t>CELL18_BNZD</t>
  </si>
  <si>
    <t>CELL19</t>
  </si>
  <si>
    <t>CELL19_BNZD</t>
  </si>
  <si>
    <t>CELL20</t>
  </si>
  <si>
    <t>CELL20_BNZD</t>
  </si>
  <si>
    <t>CELL21</t>
  </si>
  <si>
    <t>CELL21_BNZD</t>
  </si>
  <si>
    <t>CELL22</t>
  </si>
  <si>
    <t>CELL22_BNZD</t>
  </si>
  <si>
    <t>CELL23</t>
  </si>
  <si>
    <t>CELL23_BNZD</t>
  </si>
  <si>
    <t>CELL24</t>
  </si>
  <si>
    <t>CELL24_BNZD</t>
  </si>
  <si>
    <t>CELL25</t>
  </si>
  <si>
    <t>CELL25_BNZD</t>
  </si>
  <si>
    <t>CELL26</t>
  </si>
  <si>
    <t>CELL26_BNZD</t>
  </si>
  <si>
    <t>CELL27</t>
  </si>
  <si>
    <t>CELL27_BNZD</t>
  </si>
  <si>
    <t>CELL28</t>
  </si>
  <si>
    <t>CELL28_BNZD</t>
  </si>
  <si>
    <t>CELL29</t>
  </si>
  <si>
    <t>CELL29_BNZD</t>
  </si>
  <si>
    <t>CELL30</t>
  </si>
  <si>
    <t>CELL30_BNZD</t>
  </si>
  <si>
    <t>CTRL07_MAIN</t>
  </si>
  <si>
    <t>club='128','169','191':index_key='0 and 30000000'</t>
  </si>
  <si>
    <t>club_slctzindex_dyn</t>
  </si>
  <si>
    <t>CELL07_MAIN</t>
  </si>
  <si>
    <t>CTRL03_MAIN</t>
  </si>
  <si>
    <t>club='128','169','191','222','223','224','225','226','235','382','383','384','385','386','387','388','389','390','391','392','395':index_key='0 and 30000000'</t>
  </si>
  <si>
    <t>CELL03_MAIN</t>
  </si>
  <si>
    <t xml:space="preserve">count   </t>
  </si>
  <si>
    <t>count2</t>
  </si>
  <si>
    <t>count3</t>
  </si>
  <si>
    <t>seq1</t>
  </si>
  <si>
    <t>seq2</t>
  </si>
  <si>
    <t>seq3</t>
  </si>
  <si>
    <t>GO</t>
  </si>
  <si>
    <t>est</t>
  </si>
  <si>
    <t>actual</t>
  </si>
  <si>
    <t>%diff</t>
  </si>
  <si>
    <t xml:space="preserve">total force in </t>
  </si>
  <si>
    <t xml:space="preserve">total mail quantity </t>
  </si>
  <si>
    <t>to gurobi</t>
  </si>
  <si>
    <t>gurobi budget</t>
  </si>
  <si>
    <t>Test Column</t>
  </si>
  <si>
    <t>Test</t>
  </si>
  <si>
    <t>Note</t>
  </si>
  <si>
    <t>In Sheet1 CELL11 I have made the format value to TEST, so its showing error here</t>
  </si>
  <si>
    <t>CMT Format map is dynamic table and can be extended.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</si>
</sst>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m/d/yy;@"/>
    <numFmt numFmtId="165" formatCode="&quot;$&quot;#,##0.00"/>
    <numFmt numFmtId="166" formatCode="_(* #,##0.0_);_(* \(#,##0.0\);_(* &quot;-&quot;??_);_(@_)"/>
    <numFmt numFmtId="167" formatCode="_(* #,##0_);_(* \(#,##0\);_(* &quot;-&quot;??_);_(@_)"/>
    <numFmt numFmtId="168" formatCode="0.0%"/>
  </numFmts>
  <fonts count="9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sz val="17"/>
      <color rgb="FFFF0000"/>
      <name val="Calibri"/>
      <family val="2"/>
      <scheme val="minor"/>
    </font>
    <font>
      <b/>
      <i/>
      <sz val="20"/>
      <color rgb="FF00B050"/>
      <name val="Calibri"/>
      <family val="2"/>
      <scheme val="minor"/>
    </font>
    <font>
      <i/>
      <sz val="20"/>
      <color rgb="FF00B050"/>
      <name val="Calibri"/>
      <family val="2"/>
      <scheme val="minor"/>
    </font>
    <font>
      <sz val="23"/>
      <name val="Calibri"/>
      <family val="2"/>
      <scheme val="minor"/>
    </font>
    <font>
      <sz val="23"/>
      <color theme="1"/>
      <name val="Calibri"/>
      <family val="2"/>
      <scheme val="minor"/>
    </font>
    <font>
      <sz val="22"/>
      <name val="Calibri"/>
      <family val="2"/>
      <scheme val="minor"/>
    </font>
    <font>
      <sz val="16"/>
      <name val="Calibri"/>
      <family val="2"/>
      <scheme val="minor"/>
    </font>
    <font>
      <b/>
      <sz val="20"/>
      <color rgb="FF33CC33"/>
      <name val="Calibri"/>
      <family val="2"/>
      <scheme val="minor"/>
    </font>
    <font>
      <b/>
      <i/>
      <sz val="20"/>
      <color rgb="FF33CC33"/>
      <name val="Calibri"/>
      <family val="2"/>
      <scheme val="minor"/>
    </font>
    <font>
      <i/>
      <sz val="20"/>
      <color rgb="FF33CC33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20"/>
      <color rgb="FF33CC33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20"/>
      <color rgb="FF00B050"/>
      <name val="Calibri"/>
      <family val="2"/>
      <scheme val="minor"/>
    </font>
    <font>
      <b/>
      <sz val="14"/>
      <color theme="9" tint="0.59999389629810485"/>
      <name val="Calibri"/>
      <family val="2"/>
      <scheme val="minor"/>
    </font>
    <font>
      <b/>
      <sz val="16"/>
      <name val="Calibri"/>
      <family val="2"/>
      <scheme val="minor"/>
    </font>
    <font>
      <sz val="20"/>
      <color theme="1"/>
      <name val="Calibri"/>
      <family val="2"/>
      <scheme val="minor"/>
    </font>
    <font>
      <sz val="23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Calibri"/>
      <family val="2"/>
    </font>
    <font>
      <sz val="14"/>
      <color rgb="FFFF0000"/>
      <name val="Calibri"/>
      <family val="2"/>
    </font>
    <font>
      <sz val="12"/>
      <color rgb="FFFF0000"/>
      <name val="Calibri"/>
      <family val="2"/>
    </font>
    <font>
      <sz val="22"/>
      <color rgb="FFFF0000"/>
      <name val="Calibri"/>
      <family val="2"/>
    </font>
    <font>
      <sz val="23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FF0000"/>
      <name val="Calibri"/>
      <family val="2"/>
      <charset val="1"/>
    </font>
    <font>
      <b/>
      <sz val="23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20"/>
      <name val="Calibri"/>
      <family val="2"/>
    </font>
    <font>
      <sz val="23"/>
      <name val="Calibri"/>
      <family val="2"/>
    </font>
    <font>
      <sz val="22"/>
      <name val="Calibri"/>
      <family val="2"/>
    </font>
    <font>
      <b/>
      <sz val="20"/>
      <name val="Calibri"/>
      <family val="2"/>
    </font>
    <font>
      <sz val="11"/>
      <color rgb="FF000000"/>
      <name val="Calibri"/>
      <family val="2"/>
    </font>
    <font>
      <b/>
      <sz val="14"/>
      <color rgb="FFC6E0B4"/>
      <name val="Calibri"/>
      <family val="2"/>
    </font>
    <font>
      <b/>
      <sz val="20"/>
      <color rgb="FFFF0000"/>
      <name val="Calibri"/>
      <family val="2"/>
    </font>
    <font>
      <sz val="20"/>
      <color rgb="FFFF0000"/>
      <name val="Calibri"/>
      <family val="2"/>
    </font>
    <font>
      <sz val="20"/>
      <color rgb="FF000000"/>
      <name val="Calibri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6"/>
      <name val="Calibri"/>
      <family val="2"/>
    </font>
    <font>
      <b/>
      <sz val="16"/>
      <color rgb="FFFFFFFF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23"/>
      <name val="Calibri"/>
      <family val="2"/>
    </font>
    <font>
      <sz val="20"/>
      <color rgb="FF000000"/>
      <name val="Calibri"/>
      <family val="2"/>
      <scheme val="minor"/>
    </font>
    <font>
      <i/>
      <sz val="20"/>
      <color rgb="FF000000"/>
      <name val="Calibri"/>
      <family val="2"/>
      <scheme val="minor"/>
    </font>
    <font>
      <sz val="24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24"/>
      <color rgb="FF444444"/>
      <name val="Calibri"/>
      <family val="2"/>
      <charset val="1"/>
      <scheme val="minor"/>
    </font>
    <font>
      <sz val="23"/>
      <color rgb="FF000000"/>
      <name val="Calibri"/>
      <family val="2"/>
      <scheme val="minor"/>
    </font>
    <font>
      <sz val="23"/>
      <color rgb="FF000000"/>
      <name val="Calibri"/>
      <family val="2"/>
    </font>
    <font>
      <sz val="11"/>
      <color rgb="FF00000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92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94EA"/>
        <bgColor indexed="64"/>
      </patternFill>
    </fill>
    <fill>
      <patternFill patternType="solid">
        <fgColor rgb="FFE0E0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2D8B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1" fillId="0" borderId="0"/>
    <xf numFmtId="0" fontId="35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8" fillId="0" borderId="26" applyNumberFormat="0" applyFill="0" applyAlignment="0" applyProtection="0"/>
    <xf numFmtId="0" fontId="38" fillId="0" borderId="0" applyNumberFormat="0" applyFill="0" applyBorder="0" applyAlignment="0" applyProtection="0"/>
    <xf numFmtId="0" fontId="39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20" borderId="27" applyNumberFormat="0" applyAlignment="0" applyProtection="0"/>
    <xf numFmtId="0" fontId="42" fillId="21" borderId="28" applyNumberFormat="0" applyAlignment="0" applyProtection="0"/>
    <xf numFmtId="0" fontId="43" fillId="21" borderId="27" applyNumberFormat="0" applyAlignment="0" applyProtection="0"/>
    <xf numFmtId="0" fontId="44" fillId="0" borderId="29" applyNumberFormat="0" applyFill="0" applyAlignment="0" applyProtection="0"/>
    <xf numFmtId="0" fontId="45" fillId="22" borderId="30" applyNumberFormat="0" applyAlignment="0" applyProtection="0"/>
    <xf numFmtId="0" fontId="46" fillId="0" borderId="0" applyNumberFormat="0" applyFill="0" applyBorder="0" applyAlignment="0" applyProtection="0"/>
    <xf numFmtId="0" fontId="34" fillId="23" borderId="31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32" applyNumberFormat="0" applyFill="0" applyAlignment="0" applyProtection="0"/>
    <xf numFmtId="0" fontId="49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49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49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49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49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49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51" fillId="19" borderId="0" applyNumberFormat="0" applyBorder="0" applyAlignment="0" applyProtection="0"/>
    <xf numFmtId="0" fontId="34" fillId="27" borderId="0" applyNumberFormat="0" applyBorder="0" applyAlignment="0" applyProtection="0"/>
    <xf numFmtId="0" fontId="34" fillId="31" borderId="0" applyNumberFormat="0" applyBorder="0" applyAlignment="0" applyProtection="0"/>
    <xf numFmtId="0" fontId="34" fillId="35" borderId="0" applyNumberFormat="0" applyBorder="0" applyAlignment="0" applyProtection="0"/>
    <xf numFmtId="0" fontId="34" fillId="39" borderId="0" applyNumberFormat="0" applyBorder="0" applyAlignment="0" applyProtection="0"/>
    <xf numFmtId="0" fontId="34" fillId="43" borderId="0" applyNumberFormat="0" applyBorder="0" applyAlignment="0" applyProtection="0"/>
    <xf numFmtId="0" fontId="34" fillId="47" borderId="0" applyNumberFormat="0" applyBorder="0" applyAlignment="0" applyProtection="0"/>
  </cellStyleXfs>
  <cellXfs count="365">
    <xf numFmtId="0" fontId="0" fillId="0" borderId="0" xfId="0"/>
    <xf numFmtId="0" fontId="1" fillId="2" borderId="0" xfId="1" applyFill="1" applyAlignment="1">
      <alignment textRotation="90"/>
    </xf>
    <xf numFmtId="0" fontId="2" fillId="2" borderId="0" xfId="1" applyFont="1" applyFill="1" applyAlignment="1">
      <alignment textRotation="90"/>
    </xf>
    <xf numFmtId="17" fontId="3" fillId="2" borderId="0" xfId="1" quotePrefix="1" applyNumberFormat="1" applyFont="1" applyFill="1"/>
    <xf numFmtId="0" fontId="4" fillId="2" borderId="0" xfId="1" applyFont="1" applyFill="1" applyAlignment="1">
      <alignment horizontal="left" vertical="top" wrapText="1"/>
    </xf>
    <xf numFmtId="0" fontId="5" fillId="2" borderId="0" xfId="1" applyFont="1" applyFill="1"/>
    <xf numFmtId="14" fontId="3" fillId="2" borderId="0" xfId="1" applyNumberFormat="1" applyFont="1" applyFill="1" applyAlignment="1">
      <alignment horizontal="center"/>
    </xf>
    <xf numFmtId="14" fontId="3" fillId="2" borderId="0" xfId="1" applyNumberFormat="1" applyFont="1" applyFill="1" applyAlignment="1">
      <alignment horizontal="right"/>
    </xf>
    <xf numFmtId="0" fontId="6" fillId="2" borderId="0" xfId="1" applyFont="1" applyFill="1" applyAlignment="1">
      <alignment horizontal="center"/>
    </xf>
    <xf numFmtId="0" fontId="1" fillId="2" borderId="0" xfId="1" applyFill="1"/>
    <xf numFmtId="0" fontId="7" fillId="2" borderId="0" xfId="1" applyFont="1" applyFill="1" applyAlignment="1">
      <alignment horizontal="center"/>
    </xf>
    <xf numFmtId="0" fontId="1" fillId="0" borderId="0" xfId="1"/>
    <xf numFmtId="0" fontId="8" fillId="3" borderId="1" xfId="1" applyFont="1" applyFill="1" applyBorder="1" applyAlignment="1">
      <alignment horizontal="center" wrapText="1"/>
    </xf>
    <xf numFmtId="0" fontId="8" fillId="3" borderId="2" xfId="1" applyFont="1" applyFill="1" applyBorder="1" applyAlignment="1">
      <alignment horizontal="center" wrapText="1"/>
    </xf>
    <xf numFmtId="0" fontId="8" fillId="3" borderId="2" xfId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 wrapText="1"/>
    </xf>
    <xf numFmtId="0" fontId="8" fillId="3" borderId="3" xfId="1" applyFont="1" applyFill="1" applyBorder="1" applyAlignment="1">
      <alignment horizontal="center" wrapText="1"/>
    </xf>
    <xf numFmtId="0" fontId="10" fillId="3" borderId="5" xfId="1" applyFont="1" applyFill="1" applyBorder="1" applyAlignment="1">
      <alignment horizontal="center" vertical="center" textRotation="90"/>
    </xf>
    <xf numFmtId="0" fontId="11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left" vertical="center"/>
    </xf>
    <xf numFmtId="0" fontId="17" fillId="0" borderId="7" xfId="1" applyFont="1" applyBorder="1" applyAlignment="1">
      <alignment horizontal="center" vertical="center" wrapText="1"/>
    </xf>
    <xf numFmtId="3" fontId="16" fillId="0" borderId="7" xfId="1" applyNumberFormat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164" fontId="16" fillId="0" borderId="7" xfId="1" applyNumberFormat="1" applyFont="1" applyBorder="1" applyAlignment="1">
      <alignment horizontal="center" vertical="center" wrapText="1"/>
    </xf>
    <xf numFmtId="6" fontId="16" fillId="0" borderId="7" xfId="1" applyNumberFormat="1" applyFont="1" applyBorder="1" applyAlignment="1">
      <alignment horizontal="center" vertical="center" wrapText="1"/>
    </xf>
    <xf numFmtId="164" fontId="18" fillId="0" borderId="7" xfId="1" applyNumberFormat="1" applyFont="1" applyBorder="1" applyAlignment="1">
      <alignment horizontal="center" vertical="center" wrapText="1"/>
    </xf>
    <xf numFmtId="164" fontId="19" fillId="0" borderId="7" xfId="1" applyNumberFormat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left" vertical="center" wrapText="1"/>
    </xf>
    <xf numFmtId="0" fontId="16" fillId="0" borderId="8" xfId="1" applyFont="1" applyBorder="1" applyAlignment="1">
      <alignment horizontal="left" vertical="center" wrapText="1"/>
    </xf>
    <xf numFmtId="0" fontId="1" fillId="0" borderId="0" xfId="1" applyAlignment="1">
      <alignment vertical="center"/>
    </xf>
    <xf numFmtId="0" fontId="13" fillId="0" borderId="0" xfId="1" applyFont="1" applyAlignment="1">
      <alignment horizontal="center" vertical="center" wrapText="1"/>
    </xf>
    <xf numFmtId="0" fontId="12" fillId="7" borderId="7" xfId="1" applyFont="1" applyFill="1" applyBorder="1" applyAlignment="1">
      <alignment horizontal="center" vertical="center"/>
    </xf>
    <xf numFmtId="0" fontId="16" fillId="7" borderId="8" xfId="1" applyFont="1" applyFill="1" applyBorder="1" applyAlignment="1">
      <alignment horizontal="left" vertical="center" wrapText="1"/>
    </xf>
    <xf numFmtId="14" fontId="23" fillId="0" borderId="7" xfId="1" applyNumberFormat="1" applyFont="1" applyBorder="1" applyAlignment="1">
      <alignment horizontal="center" vertical="center" wrapText="1"/>
    </xf>
    <xf numFmtId="0" fontId="1" fillId="0" borderId="0" xfId="1" applyAlignment="1">
      <alignment textRotation="90"/>
    </xf>
    <xf numFmtId="0" fontId="30" fillId="0" borderId="0" xfId="1" applyFont="1" applyAlignment="1">
      <alignment vertical="center" textRotation="90"/>
    </xf>
    <xf numFmtId="0" fontId="31" fillId="0" borderId="0" xfId="1" applyFont="1"/>
    <xf numFmtId="0" fontId="12" fillId="0" borderId="0" xfId="1" applyFont="1"/>
    <xf numFmtId="0" fontId="32" fillId="0" borderId="0" xfId="1" applyFont="1"/>
    <xf numFmtId="0" fontId="3" fillId="0" borderId="0" xfId="1" applyFont="1"/>
    <xf numFmtId="3" fontId="3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164" fontId="5" fillId="0" borderId="0" xfId="1" applyNumberFormat="1" applyFont="1" applyAlignment="1">
      <alignment horizontal="right"/>
    </xf>
    <xf numFmtId="6" fontId="5" fillId="0" borderId="0" xfId="1" applyNumberFormat="1" applyFont="1" applyAlignment="1">
      <alignment horizontal="center"/>
    </xf>
    <xf numFmtId="0" fontId="17" fillId="0" borderId="0" xfId="1" applyFont="1" applyAlignment="1">
      <alignment horizontal="center" vertical="center" wrapText="1"/>
    </xf>
    <xf numFmtId="0" fontId="16" fillId="0" borderId="0" xfId="1" applyFont="1" applyAlignment="1">
      <alignment horizontal="left" vertical="center" wrapText="1"/>
    </xf>
    <xf numFmtId="0" fontId="31" fillId="0" borderId="11" xfId="1" applyFont="1" applyBorder="1"/>
    <xf numFmtId="0" fontId="32" fillId="0" borderId="11" xfId="1" applyFont="1" applyBorder="1"/>
    <xf numFmtId="0" fontId="1" fillId="0" borderId="11" xfId="1" applyBorder="1"/>
    <xf numFmtId="0" fontId="3" fillId="0" borderId="11" xfId="1" applyFont="1" applyBorder="1"/>
    <xf numFmtId="3" fontId="3" fillId="0" borderId="11" xfId="1" applyNumberFormat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164" fontId="5" fillId="0" borderId="11" xfId="1" applyNumberFormat="1" applyFont="1" applyBorder="1" applyAlignment="1">
      <alignment horizontal="right"/>
    </xf>
    <xf numFmtId="6" fontId="5" fillId="0" borderId="11" xfId="1" applyNumberFormat="1" applyFont="1" applyBorder="1" applyAlignment="1">
      <alignment horizontal="center"/>
    </xf>
    <xf numFmtId="0" fontId="17" fillId="0" borderId="11" xfId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left" vertical="center" wrapText="1"/>
    </xf>
    <xf numFmtId="0" fontId="1" fillId="2" borderId="11" xfId="1" applyFill="1" applyBorder="1" applyAlignment="1">
      <alignment textRotation="90"/>
    </xf>
    <xf numFmtId="0" fontId="2" fillId="2" borderId="12" xfId="1" applyFont="1" applyFill="1" applyBorder="1" applyAlignment="1">
      <alignment textRotation="90"/>
    </xf>
    <xf numFmtId="0" fontId="8" fillId="3" borderId="4" xfId="1" applyFont="1" applyFill="1" applyBorder="1" applyAlignment="1">
      <alignment horizontal="center" wrapText="1"/>
    </xf>
    <xf numFmtId="0" fontId="8" fillId="3" borderId="9" xfId="1" applyFont="1" applyFill="1" applyBorder="1" applyAlignment="1">
      <alignment horizontal="center" wrapText="1"/>
    </xf>
    <xf numFmtId="0" fontId="17" fillId="3" borderId="4" xfId="1" applyFont="1" applyFill="1" applyBorder="1" applyAlignment="1">
      <alignment horizontal="center" wrapText="1"/>
    </xf>
    <xf numFmtId="0" fontId="8" fillId="3" borderId="4" xfId="1" applyFont="1" applyFill="1" applyBorder="1" applyAlignment="1">
      <alignment horizontal="center"/>
    </xf>
    <xf numFmtId="0" fontId="8" fillId="3" borderId="13" xfId="1" applyFont="1" applyFill="1" applyBorder="1" applyAlignment="1">
      <alignment horizontal="center" wrapText="1"/>
    </xf>
    <xf numFmtId="0" fontId="9" fillId="3" borderId="4" xfId="1" applyFont="1" applyFill="1" applyBorder="1" applyAlignment="1">
      <alignment horizontal="center" wrapText="1"/>
    </xf>
    <xf numFmtId="0" fontId="10" fillId="9" borderId="15" xfId="1" applyFont="1" applyFill="1" applyBorder="1" applyAlignment="1">
      <alignment horizontal="center" vertical="center" textRotation="90" wrapText="1"/>
    </xf>
    <xf numFmtId="0" fontId="16" fillId="0" borderId="15" xfId="1" applyFont="1" applyBorder="1" applyAlignment="1">
      <alignment horizontal="center" vertical="center"/>
    </xf>
    <xf numFmtId="0" fontId="33" fillId="0" borderId="15" xfId="1" applyFont="1" applyBorder="1" applyAlignment="1">
      <alignment horizontal="center" vertical="center" wrapText="1"/>
    </xf>
    <xf numFmtId="0" fontId="16" fillId="0" borderId="15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3" fontId="17" fillId="0" borderId="15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 wrapText="1"/>
    </xf>
    <xf numFmtId="164" fontId="17" fillId="0" borderId="15" xfId="1" applyNumberFormat="1" applyFont="1" applyBorder="1" applyAlignment="1">
      <alignment horizontal="center" vertical="center"/>
    </xf>
    <xf numFmtId="14" fontId="17" fillId="0" borderId="15" xfId="1" applyNumberFormat="1" applyFont="1" applyBorder="1" applyAlignment="1">
      <alignment horizontal="center" vertical="center" wrapText="1"/>
    </xf>
    <xf numFmtId="0" fontId="17" fillId="0" borderId="16" xfId="1" applyFont="1" applyBorder="1" applyAlignment="1">
      <alignment horizontal="center" vertical="center" wrapText="1"/>
    </xf>
    <xf numFmtId="0" fontId="10" fillId="10" borderId="18" xfId="1" applyFont="1" applyFill="1" applyBorder="1" applyAlignment="1">
      <alignment horizontal="center" vertical="center" textRotation="90" wrapText="1"/>
    </xf>
    <xf numFmtId="0" fontId="16" fillId="0" borderId="18" xfId="1" applyFont="1" applyBorder="1" applyAlignment="1">
      <alignment horizontal="center" vertical="center"/>
    </xf>
    <xf numFmtId="0" fontId="33" fillId="0" borderId="18" xfId="1" applyFont="1" applyBorder="1" applyAlignment="1">
      <alignment horizontal="center" vertical="center" wrapText="1"/>
    </xf>
    <xf numFmtId="0" fontId="16" fillId="0" borderId="18" xfId="1" applyFont="1" applyBorder="1" applyAlignment="1">
      <alignment horizontal="center" vertical="center" wrapText="1"/>
    </xf>
    <xf numFmtId="0" fontId="17" fillId="0" borderId="18" xfId="1" applyFont="1" applyBorder="1" applyAlignment="1">
      <alignment horizontal="center" vertical="center" wrapText="1"/>
    </xf>
    <xf numFmtId="3" fontId="17" fillId="0" borderId="18" xfId="1" applyNumberFormat="1" applyFont="1" applyBorder="1" applyAlignment="1">
      <alignment horizontal="center" vertical="center" wrapText="1"/>
    </xf>
    <xf numFmtId="3" fontId="17" fillId="0" borderId="18" xfId="1" applyNumberFormat="1" applyFont="1" applyBorder="1" applyAlignment="1">
      <alignment horizontal="center" vertical="center"/>
    </xf>
    <xf numFmtId="3" fontId="17" fillId="0" borderId="18" xfId="1" quotePrefix="1" applyNumberFormat="1" applyFont="1" applyBorder="1" applyAlignment="1">
      <alignment horizontal="center" vertical="center"/>
    </xf>
    <xf numFmtId="164" fontId="17" fillId="0" borderId="18" xfId="1" applyNumberFormat="1" applyFont="1" applyBorder="1" applyAlignment="1">
      <alignment horizontal="center" vertical="center"/>
    </xf>
    <xf numFmtId="164" fontId="17" fillId="0" borderId="18" xfId="1" applyNumberFormat="1" applyFont="1" applyBorder="1" applyAlignment="1">
      <alignment horizontal="center" vertical="center" wrapText="1"/>
    </xf>
    <xf numFmtId="0" fontId="1" fillId="0" borderId="18" xfId="1" applyBorder="1" applyAlignment="1">
      <alignment horizontal="center" vertical="center"/>
    </xf>
    <xf numFmtId="0" fontId="17" fillId="0" borderId="19" xfId="1" applyFont="1" applyBorder="1" applyAlignment="1">
      <alignment horizontal="center" vertical="center" wrapText="1"/>
    </xf>
    <xf numFmtId="0" fontId="10" fillId="11" borderId="18" xfId="1" applyFont="1" applyFill="1" applyBorder="1" applyAlignment="1">
      <alignment horizontal="center" vertical="center" textRotation="90" wrapText="1"/>
    </xf>
    <xf numFmtId="0" fontId="17" fillId="0" borderId="18" xfId="1" applyFont="1" applyBorder="1" applyAlignment="1">
      <alignment horizontal="center" vertical="center"/>
    </xf>
    <xf numFmtId="0" fontId="17" fillId="0" borderId="19" xfId="1" applyFont="1" applyBorder="1" applyAlignment="1">
      <alignment horizontal="center" vertical="center"/>
    </xf>
    <xf numFmtId="0" fontId="10" fillId="12" borderId="18" xfId="1" applyFont="1" applyFill="1" applyBorder="1" applyAlignment="1">
      <alignment horizontal="center" vertical="center" textRotation="90" wrapText="1"/>
    </xf>
    <xf numFmtId="0" fontId="10" fillId="13" borderId="18" xfId="1" applyFont="1" applyFill="1" applyBorder="1" applyAlignment="1">
      <alignment horizontal="center" vertical="center" textRotation="90" wrapText="1"/>
    </xf>
    <xf numFmtId="0" fontId="10" fillId="14" borderId="18" xfId="1" applyFont="1" applyFill="1" applyBorder="1" applyAlignment="1">
      <alignment horizontal="center" vertical="center" textRotation="90" wrapText="1"/>
    </xf>
    <xf numFmtId="0" fontId="10" fillId="15" borderId="18" xfId="1" applyFont="1" applyFill="1" applyBorder="1" applyAlignment="1">
      <alignment horizontal="center" vertical="center" textRotation="90" wrapText="1"/>
    </xf>
    <xf numFmtId="0" fontId="16" fillId="0" borderId="20" xfId="1" applyFont="1" applyBorder="1" applyAlignment="1">
      <alignment horizontal="center" vertical="center"/>
    </xf>
    <xf numFmtId="0" fontId="16" fillId="0" borderId="20" xfId="1" applyFont="1" applyBorder="1" applyAlignment="1">
      <alignment horizontal="center" vertical="center" wrapText="1"/>
    </xf>
    <xf numFmtId="0" fontId="33" fillId="0" borderId="20" xfId="1" applyFont="1" applyBorder="1" applyAlignment="1">
      <alignment horizontal="center" vertical="center" wrapText="1"/>
    </xf>
    <xf numFmtId="0" fontId="17" fillId="0" borderId="20" xfId="1" applyFont="1" applyBorder="1" applyAlignment="1">
      <alignment horizontal="center" vertical="center" wrapText="1"/>
    </xf>
    <xf numFmtId="3" fontId="17" fillId="0" borderId="20" xfId="1" applyNumberFormat="1" applyFont="1" applyBorder="1" applyAlignment="1">
      <alignment horizontal="center" vertical="center" wrapText="1"/>
    </xf>
    <xf numFmtId="3" fontId="17" fillId="0" borderId="20" xfId="1" applyNumberFormat="1" applyFont="1" applyBorder="1" applyAlignment="1">
      <alignment horizontal="center" vertical="center"/>
    </xf>
    <xf numFmtId="164" fontId="17" fillId="0" borderId="20" xfId="1" applyNumberFormat="1" applyFont="1" applyBorder="1" applyAlignment="1">
      <alignment horizontal="center" vertical="center"/>
    </xf>
    <xf numFmtId="164" fontId="17" fillId="0" borderId="20" xfId="1" applyNumberFormat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/>
    </xf>
    <xf numFmtId="0" fontId="17" fillId="0" borderId="22" xfId="1" applyFont="1" applyBorder="1" applyAlignment="1">
      <alignment horizontal="center" vertical="center" wrapText="1"/>
    </xf>
    <xf numFmtId="0" fontId="2" fillId="0" borderId="0" xfId="1" applyFont="1" applyAlignment="1">
      <alignment textRotation="90"/>
    </xf>
    <xf numFmtId="0" fontId="16" fillId="0" borderId="23" xfId="1" applyFont="1" applyBorder="1" applyAlignment="1">
      <alignment horizontal="center" vertical="center"/>
    </xf>
    <xf numFmtId="0" fontId="4" fillId="0" borderId="0" xfId="1" applyFont="1" applyAlignment="1">
      <alignment horizontal="left" vertical="top" wrapText="1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/>
    </xf>
    <xf numFmtId="0" fontId="0" fillId="0" borderId="0" xfId="0" applyAlignment="1">
      <alignment wrapText="1"/>
    </xf>
    <xf numFmtId="0" fontId="0" fillId="7" borderId="0" xfId="0" applyFill="1"/>
    <xf numFmtId="0" fontId="50" fillId="0" borderId="0" xfId="0" applyFont="1"/>
    <xf numFmtId="0" fontId="50" fillId="0" borderId="0" xfId="0" quotePrefix="1" applyFont="1"/>
    <xf numFmtId="0" fontId="66" fillId="0" borderId="0" xfId="0" applyFont="1"/>
    <xf numFmtId="3" fontId="0" fillId="0" borderId="0" xfId="0" applyNumberFormat="1"/>
    <xf numFmtId="0" fontId="0" fillId="0" borderId="0" xfId="0" quotePrefix="1"/>
    <xf numFmtId="0" fontId="79" fillId="0" borderId="0" xfId="0" applyFont="1"/>
    <xf numFmtId="0" fontId="67" fillId="0" borderId="40" xfId="0" applyFont="1" applyBorder="1" applyAlignment="1">
      <alignment textRotation="90"/>
    </xf>
    <xf numFmtId="166" fontId="0" fillId="0" borderId="0" xfId="0" applyNumberFormat="1"/>
    <xf numFmtId="167" fontId="0" fillId="0" borderId="0" xfId="0" applyNumberFormat="1"/>
    <xf numFmtId="0" fontId="48" fillId="0" borderId="32" xfId="17" applyFill="1"/>
    <xf numFmtId="167" fontId="48" fillId="0" borderId="32" xfId="17" applyNumberFormat="1" applyFill="1"/>
    <xf numFmtId="0" fontId="52" fillId="0" borderId="0" xfId="0" applyFont="1" applyAlignment="1">
      <alignment textRotation="90"/>
    </xf>
    <xf numFmtId="0" fontId="53" fillId="0" borderId="0" xfId="0" applyFont="1" applyAlignment="1">
      <alignment textRotation="90" wrapText="1"/>
    </xf>
    <xf numFmtId="0" fontId="54" fillId="48" borderId="0" xfId="0" applyFont="1" applyFill="1" applyAlignment="1">
      <alignment textRotation="90"/>
    </xf>
    <xf numFmtId="0" fontId="55" fillId="48" borderId="0" xfId="0" applyFont="1" applyFill="1" applyAlignment="1">
      <alignment textRotation="90"/>
    </xf>
    <xf numFmtId="0" fontId="52" fillId="0" borderId="0" xfId="0" applyFont="1"/>
    <xf numFmtId="0" fontId="52" fillId="0" borderId="0" xfId="0" applyFont="1" applyAlignment="1">
      <alignment wrapText="1"/>
    </xf>
    <xf numFmtId="0" fontId="57" fillId="0" borderId="0" xfId="0" applyFont="1"/>
    <xf numFmtId="0" fontId="58" fillId="0" borderId="0" xfId="0" applyFont="1"/>
    <xf numFmtId="0" fontId="73" fillId="0" borderId="0" xfId="0" applyFont="1" applyAlignment="1">
      <alignment textRotation="90"/>
    </xf>
    <xf numFmtId="0" fontId="9" fillId="0" borderId="0" xfId="0" applyFont="1"/>
    <xf numFmtId="0" fontId="61" fillId="53" borderId="39" xfId="0" applyFont="1" applyFill="1" applyBorder="1" applyAlignment="1">
      <alignment horizontal="center" vertical="center" textRotation="90"/>
    </xf>
    <xf numFmtId="0" fontId="68" fillId="0" borderId="41" xfId="0" applyFont="1" applyBorder="1" applyAlignment="1">
      <alignment horizontal="center"/>
    </xf>
    <xf numFmtId="0" fontId="69" fillId="0" borderId="41" xfId="0" applyFont="1" applyBorder="1" applyAlignment="1">
      <alignment horizontal="center"/>
    </xf>
    <xf numFmtId="0" fontId="16" fillId="0" borderId="41" xfId="0" applyFont="1" applyBorder="1" applyAlignment="1">
      <alignment horizontal="center" wrapText="1"/>
    </xf>
    <xf numFmtId="0" fontId="66" fillId="0" borderId="41" xfId="0" applyFont="1" applyBorder="1" applyAlignment="1">
      <alignment horizontal="center"/>
    </xf>
    <xf numFmtId="3" fontId="70" fillId="0" borderId="41" xfId="0" applyNumberFormat="1" applyFont="1" applyBorder="1" applyAlignment="1">
      <alignment horizontal="center"/>
    </xf>
    <xf numFmtId="0" fontId="70" fillId="0" borderId="41" xfId="0" applyFont="1" applyBorder="1" applyAlignment="1">
      <alignment horizontal="center"/>
    </xf>
    <xf numFmtId="0" fontId="81" fillId="0" borderId="41" xfId="0" applyFont="1" applyBorder="1" applyAlignment="1">
      <alignment horizontal="center" wrapText="1" readingOrder="1"/>
    </xf>
    <xf numFmtId="0" fontId="71" fillId="0" borderId="41" xfId="0" applyFont="1" applyBorder="1" applyAlignment="1">
      <alignment horizontal="center"/>
    </xf>
    <xf numFmtId="3" fontId="71" fillId="0" borderId="41" xfId="0" applyNumberFormat="1" applyFont="1" applyBorder="1" applyAlignment="1">
      <alignment horizontal="center"/>
    </xf>
    <xf numFmtId="0" fontId="72" fillId="0" borderId="41" xfId="0" applyFont="1" applyBorder="1" applyAlignment="1">
      <alignment horizontal="center"/>
    </xf>
    <xf numFmtId="0" fontId="56" fillId="0" borderId="42" xfId="0" applyFont="1" applyBorder="1" applyAlignment="1">
      <alignment horizontal="center" wrapText="1"/>
    </xf>
    <xf numFmtId="3" fontId="74" fillId="0" borderId="0" xfId="0" applyNumberFormat="1" applyFont="1"/>
    <xf numFmtId="3" fontId="52" fillId="0" borderId="0" xfId="0" applyNumberFormat="1" applyFont="1"/>
    <xf numFmtId="0" fontId="59" fillId="49" borderId="43" xfId="0" applyFont="1" applyFill="1" applyBorder="1" applyAlignment="1">
      <alignment wrapText="1"/>
    </xf>
    <xf numFmtId="0" fontId="59" fillId="50" borderId="44" xfId="0" applyFont="1" applyFill="1" applyBorder="1" applyAlignment="1">
      <alignment wrapText="1"/>
    </xf>
    <xf numFmtId="0" fontId="59" fillId="51" borderId="44" xfId="0" applyFont="1" applyFill="1" applyBorder="1" applyAlignment="1">
      <alignment wrapText="1"/>
    </xf>
    <xf numFmtId="0" fontId="59" fillId="49" borderId="44" xfId="0" applyFont="1" applyFill="1" applyBorder="1"/>
    <xf numFmtId="0" fontId="59" fillId="49" borderId="44" xfId="0" applyFont="1" applyFill="1" applyBorder="1" applyAlignment="1">
      <alignment horizontal="right" vertical="center" wrapText="1"/>
    </xf>
    <xf numFmtId="0" fontId="59" fillId="49" borderId="44" xfId="0" applyFont="1" applyFill="1" applyBorder="1" applyAlignment="1">
      <alignment wrapText="1"/>
    </xf>
    <xf numFmtId="0" fontId="60" fillId="49" borderId="44" xfId="0" applyFont="1" applyFill="1" applyBorder="1" applyAlignment="1">
      <alignment wrapText="1"/>
    </xf>
    <xf numFmtId="0" fontId="59" fillId="49" borderId="45" xfId="0" applyFont="1" applyFill="1" applyBorder="1" applyAlignment="1">
      <alignment wrapText="1"/>
    </xf>
    <xf numFmtId="0" fontId="76" fillId="56" borderId="47" xfId="0" applyFont="1" applyFill="1" applyBorder="1" applyAlignment="1">
      <alignment textRotation="90" wrapText="1"/>
    </xf>
    <xf numFmtId="0" fontId="63" fillId="0" borderId="36" xfId="0" applyFont="1" applyBorder="1" applyAlignment="1">
      <alignment horizontal="left"/>
    </xf>
    <xf numFmtId="0" fontId="63" fillId="0" borderId="36" xfId="0" applyFont="1" applyBorder="1" applyAlignment="1">
      <alignment wrapText="1"/>
    </xf>
    <xf numFmtId="0" fontId="0" fillId="0" borderId="36" xfId="0" applyBorder="1"/>
    <xf numFmtId="3" fontId="17" fillId="0" borderId="36" xfId="0" applyNumberFormat="1" applyFont="1" applyBorder="1" applyAlignment="1">
      <alignment horizontal="center"/>
    </xf>
    <xf numFmtId="0" fontId="17" fillId="0" borderId="36" xfId="0" applyFont="1" applyBorder="1" applyAlignment="1">
      <alignment horizontal="center" vertical="center"/>
    </xf>
    <xf numFmtId="0" fontId="17" fillId="0" borderId="36" xfId="0" applyFont="1" applyBorder="1"/>
    <xf numFmtId="14" fontId="17" fillId="0" borderId="36" xfId="0" applyNumberFormat="1" applyFont="1" applyBorder="1" applyAlignment="1">
      <alignment horizontal="center"/>
    </xf>
    <xf numFmtId="0" fontId="17" fillId="0" borderId="37" xfId="0" applyFont="1" applyBorder="1"/>
    <xf numFmtId="0" fontId="48" fillId="0" borderId="0" xfId="0" applyFont="1"/>
    <xf numFmtId="0" fontId="0" fillId="58" borderId="0" xfId="0" applyFill="1"/>
    <xf numFmtId="0" fontId="91" fillId="0" borderId="0" xfId="0" applyFont="1"/>
    <xf numFmtId="0" fontId="83" fillId="0" borderId="0" xfId="0" applyFont="1"/>
    <xf numFmtId="0" fontId="83" fillId="7" borderId="0" xfId="0" applyFont="1" applyFill="1"/>
    <xf numFmtId="0" fontId="50" fillId="7" borderId="0" xfId="0" applyFont="1" applyFill="1"/>
    <xf numFmtId="0" fontId="50" fillId="59" borderId="0" xfId="0" applyFont="1" applyFill="1"/>
    <xf numFmtId="168" fontId="0" fillId="0" borderId="0" xfId="0" applyNumberFormat="1"/>
    <xf numFmtId="0" fontId="16" fillId="0" borderId="50" xfId="1" applyFont="1" applyBorder="1" applyAlignment="1">
      <alignment horizontal="center" vertical="center" wrapText="1"/>
    </xf>
    <xf numFmtId="0" fontId="11" fillId="0" borderId="51" xfId="1" applyFont="1" applyBorder="1" applyAlignment="1">
      <alignment horizontal="center" vertical="center" wrapText="1"/>
    </xf>
    <xf numFmtId="0" fontId="13" fillId="0" borderId="50" xfId="1" applyFont="1" applyBorder="1" applyAlignment="1">
      <alignment horizontal="center" vertical="center" wrapText="1"/>
    </xf>
    <xf numFmtId="0" fontId="11" fillId="0" borderId="50" xfId="1" applyFont="1" applyBorder="1" applyAlignment="1">
      <alignment horizontal="left" vertical="center"/>
    </xf>
    <xf numFmtId="0" fontId="17" fillId="0" borderId="50" xfId="1" applyFont="1" applyBorder="1" applyAlignment="1">
      <alignment horizontal="center" vertical="center" wrapText="1"/>
    </xf>
    <xf numFmtId="3" fontId="16" fillId="0" borderId="50" xfId="1" applyNumberFormat="1" applyFont="1" applyBorder="1" applyAlignment="1">
      <alignment horizontal="center" vertical="center" wrapText="1"/>
    </xf>
    <xf numFmtId="164" fontId="16" fillId="0" borderId="50" xfId="1" applyNumberFormat="1" applyFont="1" applyBorder="1" applyAlignment="1">
      <alignment horizontal="center" vertical="center" wrapText="1"/>
    </xf>
    <xf numFmtId="6" fontId="16" fillId="0" borderId="50" xfId="1" applyNumberFormat="1" applyFont="1" applyBorder="1" applyAlignment="1">
      <alignment horizontal="center" vertical="center" wrapText="1"/>
    </xf>
    <xf numFmtId="164" fontId="19" fillId="0" borderId="50" xfId="1" applyNumberFormat="1" applyFont="1" applyBorder="1" applyAlignment="1">
      <alignment horizontal="center" vertical="center" wrapText="1"/>
    </xf>
    <xf numFmtId="0" fontId="16" fillId="0" borderId="50" xfId="1" applyFont="1" applyBorder="1" applyAlignment="1">
      <alignment horizontal="left" vertical="center" wrapText="1"/>
    </xf>
    <xf numFmtId="0" fontId="16" fillId="0" borderId="52" xfId="1" applyFont="1" applyBorder="1" applyAlignment="1">
      <alignment horizontal="left" vertical="center" wrapText="1"/>
    </xf>
    <xf numFmtId="0" fontId="11" fillId="0" borderId="50" xfId="1" applyFont="1" applyBorder="1" applyAlignment="1">
      <alignment horizontal="left" vertical="center" wrapText="1"/>
    </xf>
    <xf numFmtId="164" fontId="19" fillId="0" borderId="50" xfId="1" applyNumberFormat="1" applyFont="1" applyBorder="1" applyAlignment="1">
      <alignment horizontal="left" vertical="center" wrapText="1"/>
    </xf>
    <xf numFmtId="0" fontId="11" fillId="0" borderId="51" xfId="1" applyFont="1" applyBorder="1" applyAlignment="1">
      <alignment horizontal="center" vertical="center"/>
    </xf>
    <xf numFmtId="0" fontId="11" fillId="0" borderId="50" xfId="1" applyFont="1" applyBorder="1" applyAlignment="1">
      <alignment vertical="center" wrapText="1"/>
    </xf>
    <xf numFmtId="3" fontId="17" fillId="2" borderId="50" xfId="1" applyNumberFormat="1" applyFont="1" applyFill="1" applyBorder="1" applyAlignment="1">
      <alignment horizontal="center" vertical="center"/>
    </xf>
    <xf numFmtId="3" fontId="17" fillId="0" borderId="50" xfId="1" applyNumberFormat="1" applyFont="1" applyBorder="1" applyAlignment="1">
      <alignment horizontal="center" vertical="center"/>
    </xf>
    <xf numFmtId="6" fontId="17" fillId="0" borderId="50" xfId="1" applyNumberFormat="1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 wrapText="1"/>
    </xf>
    <xf numFmtId="0" fontId="17" fillId="0" borderId="50" xfId="1" applyFont="1" applyBorder="1" applyAlignment="1">
      <alignment horizontal="left" vertical="center" wrapText="1"/>
    </xf>
    <xf numFmtId="0" fontId="11" fillId="7" borderId="51" xfId="1" applyFont="1" applyFill="1" applyBorder="1" applyAlignment="1">
      <alignment horizontal="center" vertical="center"/>
    </xf>
    <xf numFmtId="0" fontId="13" fillId="7" borderId="50" xfId="1" applyFont="1" applyFill="1" applyBorder="1" applyAlignment="1">
      <alignment horizontal="center" vertical="center" wrapText="1"/>
    </xf>
    <xf numFmtId="0" fontId="11" fillId="7" borderId="50" xfId="1" applyFont="1" applyFill="1" applyBorder="1" applyAlignment="1">
      <alignment vertical="center" wrapText="1"/>
    </xf>
    <xf numFmtId="0" fontId="16" fillId="7" borderId="50" xfId="1" applyFont="1" applyFill="1" applyBorder="1" applyAlignment="1">
      <alignment horizontal="center" vertical="center" wrapText="1"/>
    </xf>
    <xf numFmtId="0" fontId="17" fillId="7" borderId="50" xfId="1" applyFont="1" applyFill="1" applyBorder="1" applyAlignment="1">
      <alignment horizontal="center" vertical="center" wrapText="1"/>
    </xf>
    <xf numFmtId="3" fontId="17" fillId="7" borderId="50" xfId="1" applyNumberFormat="1" applyFont="1" applyFill="1" applyBorder="1" applyAlignment="1">
      <alignment horizontal="center" vertical="center"/>
    </xf>
    <xf numFmtId="164" fontId="16" fillId="7" borderId="50" xfId="1" applyNumberFormat="1" applyFont="1" applyFill="1" applyBorder="1" applyAlignment="1">
      <alignment horizontal="center" vertical="center" wrapText="1"/>
    </xf>
    <xf numFmtId="6" fontId="17" fillId="7" borderId="50" xfId="1" applyNumberFormat="1" applyFont="1" applyFill="1" applyBorder="1" applyAlignment="1">
      <alignment horizontal="center" vertical="center"/>
    </xf>
    <xf numFmtId="14" fontId="23" fillId="7" borderId="50" xfId="1" applyNumberFormat="1" applyFont="1" applyFill="1" applyBorder="1" applyAlignment="1">
      <alignment horizontal="center" vertical="center" wrapText="1"/>
    </xf>
    <xf numFmtId="0" fontId="24" fillId="7" borderId="50" xfId="1" applyFont="1" applyFill="1" applyBorder="1" applyAlignment="1">
      <alignment horizontal="center" vertical="center" wrapText="1"/>
    </xf>
    <xf numFmtId="0" fontId="17" fillId="7" borderId="50" xfId="1" applyFont="1" applyFill="1" applyBorder="1" applyAlignment="1">
      <alignment horizontal="left" vertical="center" wrapText="1"/>
    </xf>
    <xf numFmtId="0" fontId="16" fillId="7" borderId="52" xfId="1" applyFont="1" applyFill="1" applyBorder="1" applyAlignment="1">
      <alignment horizontal="left" vertical="center" wrapText="1"/>
    </xf>
    <xf numFmtId="0" fontId="19" fillId="0" borderId="50" xfId="1" applyFont="1" applyBorder="1" applyAlignment="1">
      <alignment horizontal="center" vertical="center" wrapText="1"/>
    </xf>
    <xf numFmtId="0" fontId="11" fillId="2" borderId="51" xfId="1" applyFont="1" applyFill="1" applyBorder="1" applyAlignment="1">
      <alignment horizontal="center" vertical="center"/>
    </xf>
    <xf numFmtId="0" fontId="13" fillId="2" borderId="50" xfId="1" applyFont="1" applyFill="1" applyBorder="1" applyAlignment="1">
      <alignment horizontal="center" vertical="center" wrapText="1"/>
    </xf>
    <xf numFmtId="0" fontId="11" fillId="2" borderId="50" xfId="1" applyFont="1" applyFill="1" applyBorder="1" applyAlignment="1">
      <alignment vertical="center" wrapText="1"/>
    </xf>
    <xf numFmtId="6" fontId="17" fillId="2" borderId="50" xfId="1" applyNumberFormat="1" applyFont="1" applyFill="1" applyBorder="1" applyAlignment="1">
      <alignment horizontal="center" vertical="center"/>
    </xf>
    <xf numFmtId="0" fontId="19" fillId="2" borderId="50" xfId="1" applyFont="1" applyFill="1" applyBorder="1" applyAlignment="1">
      <alignment horizontal="center" vertical="center" wrapText="1"/>
    </xf>
    <xf numFmtId="0" fontId="17" fillId="2" borderId="50" xfId="1" applyFont="1" applyFill="1" applyBorder="1" applyAlignment="1">
      <alignment horizontal="center" vertical="center" wrapText="1"/>
    </xf>
    <xf numFmtId="0" fontId="11" fillId="0" borderId="53" xfId="1" applyFont="1" applyBorder="1" applyAlignment="1">
      <alignment horizontal="center" vertical="center"/>
    </xf>
    <xf numFmtId="0" fontId="13" fillId="0" borderId="54" xfId="1" applyFont="1" applyBorder="1" applyAlignment="1">
      <alignment horizontal="center" vertical="center" wrapText="1"/>
    </xf>
    <xf numFmtId="0" fontId="11" fillId="0" borderId="54" xfId="1" applyFont="1" applyBorder="1" applyAlignment="1">
      <alignment vertical="center" wrapText="1"/>
    </xf>
    <xf numFmtId="0" fontId="17" fillId="0" borderId="54" xfId="1" applyFont="1" applyBorder="1" applyAlignment="1">
      <alignment horizontal="center" vertical="center" wrapText="1"/>
    </xf>
    <xf numFmtId="3" fontId="17" fillId="0" borderId="54" xfId="1" applyNumberFormat="1" applyFont="1" applyBorder="1" applyAlignment="1">
      <alignment horizontal="center" vertical="center"/>
    </xf>
    <xf numFmtId="3" fontId="16" fillId="0" borderId="54" xfId="1" applyNumberFormat="1" applyFont="1" applyBorder="1" applyAlignment="1">
      <alignment horizontal="center" vertical="center" wrapText="1"/>
    </xf>
    <xf numFmtId="0" fontId="16" fillId="0" borderId="54" xfId="1" applyFont="1" applyBorder="1" applyAlignment="1">
      <alignment horizontal="center" vertical="center" wrapText="1"/>
    </xf>
    <xf numFmtId="164" fontId="16" fillId="0" borderId="54" xfId="1" applyNumberFormat="1" applyFont="1" applyBorder="1" applyAlignment="1">
      <alignment horizontal="center" vertical="center" wrapText="1"/>
    </xf>
    <xf numFmtId="6" fontId="17" fillId="0" borderId="54" xfId="1" applyNumberFormat="1" applyFont="1" applyBorder="1" applyAlignment="1">
      <alignment horizontal="center" vertical="center"/>
    </xf>
    <xf numFmtId="0" fontId="7" fillId="0" borderId="54" xfId="1" applyFont="1" applyBorder="1" applyAlignment="1">
      <alignment horizontal="center" vertical="center" wrapText="1"/>
    </xf>
    <xf numFmtId="0" fontId="17" fillId="2" borderId="54" xfId="1" applyFont="1" applyFill="1" applyBorder="1" applyAlignment="1">
      <alignment horizontal="center" vertical="center" wrapText="1"/>
    </xf>
    <xf numFmtId="0" fontId="16" fillId="0" borderId="55" xfId="1" applyFont="1" applyBorder="1" applyAlignment="1">
      <alignment horizontal="left" vertical="center" wrapText="1"/>
    </xf>
    <xf numFmtId="0" fontId="59" fillId="49" borderId="56" xfId="0" applyFont="1" applyFill="1" applyBorder="1" applyAlignment="1">
      <alignment horizontal="center" vertical="center" wrapText="1"/>
    </xf>
    <xf numFmtId="0" fontId="59" fillId="50" borderId="56" xfId="0" applyFont="1" applyFill="1" applyBorder="1" applyAlignment="1">
      <alignment horizontal="center" vertical="center" wrapText="1"/>
    </xf>
    <xf numFmtId="0" fontId="59" fillId="51" borderId="56" xfId="0" applyFont="1" applyFill="1" applyBorder="1" applyAlignment="1">
      <alignment horizontal="center" vertical="center" wrapText="1"/>
    </xf>
    <xf numFmtId="0" fontId="59" fillId="49" borderId="56" xfId="0" applyFont="1" applyFill="1" applyBorder="1" applyAlignment="1">
      <alignment horizontal="center" vertical="center"/>
    </xf>
    <xf numFmtId="0" fontId="60" fillId="49" borderId="56" xfId="0" applyFont="1" applyFill="1" applyBorder="1" applyAlignment="1">
      <alignment horizontal="center" vertical="center" wrapText="1"/>
    </xf>
    <xf numFmtId="0" fontId="62" fillId="0" borderId="50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62" fillId="0" borderId="50" xfId="0" applyFont="1" applyBorder="1" applyAlignment="1">
      <alignment horizontal="center" vertical="center"/>
    </xf>
    <xf numFmtId="0" fontId="81" fillId="0" borderId="50" xfId="0" applyFont="1" applyBorder="1" applyAlignment="1">
      <alignment horizontal="center" vertical="center" wrapText="1" readingOrder="1"/>
    </xf>
    <xf numFmtId="0" fontId="63" fillId="0" borderId="50" xfId="0" applyFont="1" applyBorder="1" applyAlignment="1">
      <alignment horizontal="left" vertical="center" wrapText="1"/>
    </xf>
    <xf numFmtId="0" fontId="56" fillId="0" borderId="50" xfId="0" applyFont="1" applyBorder="1" applyAlignment="1">
      <alignment horizontal="center" vertical="center" wrapText="1"/>
    </xf>
    <xf numFmtId="3" fontId="83" fillId="0" borderId="50" xfId="0" applyNumberFormat="1" applyFont="1" applyBorder="1" applyAlignment="1">
      <alignment horizontal="center" vertical="center" wrapText="1"/>
    </xf>
    <xf numFmtId="3" fontId="84" fillId="0" borderId="50" xfId="0" applyNumberFormat="1" applyFont="1" applyBorder="1" applyAlignment="1">
      <alignment horizontal="center" vertical="center"/>
    </xf>
    <xf numFmtId="165" fontId="11" fillId="0" borderId="50" xfId="0" applyNumberFormat="1" applyFont="1" applyBorder="1" applyAlignment="1">
      <alignment horizontal="center" vertical="center" wrapText="1" readingOrder="1"/>
    </xf>
    <xf numFmtId="14" fontId="64" fillId="0" borderId="50" xfId="0" applyNumberFormat="1" applyFont="1" applyBorder="1" applyAlignment="1">
      <alignment horizontal="center" vertical="center" wrapText="1"/>
    </xf>
    <xf numFmtId="6" fontId="63" fillId="0" borderId="50" xfId="0" applyNumberFormat="1" applyFont="1" applyBorder="1" applyAlignment="1">
      <alignment horizontal="center" vertical="center" wrapText="1"/>
    </xf>
    <xf numFmtId="0" fontId="90" fillId="0" borderId="50" xfId="0" applyFont="1" applyBorder="1" applyAlignment="1">
      <alignment horizontal="center" vertical="center" wrapText="1"/>
    </xf>
    <xf numFmtId="0" fontId="62" fillId="57" borderId="50" xfId="0" applyFont="1" applyFill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/>
    </xf>
    <xf numFmtId="0" fontId="80" fillId="0" borderId="50" xfId="0" applyFont="1" applyBorder="1" applyAlignment="1">
      <alignment horizontal="center" vertical="center" wrapText="1"/>
    </xf>
    <xf numFmtId="3" fontId="86" fillId="0" borderId="50" xfId="0" applyNumberFormat="1" applyFont="1" applyBorder="1" applyAlignment="1">
      <alignment horizontal="center" vertical="center" wrapText="1"/>
    </xf>
    <xf numFmtId="14" fontId="63" fillId="0" borderId="50" xfId="0" applyNumberFormat="1" applyFont="1" applyBorder="1" applyAlignment="1">
      <alignment horizontal="center" vertical="center" wrapText="1"/>
    </xf>
    <xf numFmtId="0" fontId="61" fillId="49" borderId="51" xfId="0" applyFont="1" applyFill="1" applyBorder="1" applyAlignment="1">
      <alignment horizontal="center" vertical="center" textRotation="90" wrapText="1"/>
    </xf>
    <xf numFmtId="0" fontId="65" fillId="0" borderId="50" xfId="0" applyFont="1" applyBorder="1" applyAlignment="1">
      <alignment horizontal="center" vertical="center"/>
    </xf>
    <xf numFmtId="3" fontId="83" fillId="0" borderId="50" xfId="0" applyNumberFormat="1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62" fillId="7" borderId="50" xfId="0" applyFont="1" applyFill="1" applyBorder="1" applyAlignment="1">
      <alignment horizontal="center" vertical="center" wrapText="1"/>
    </xf>
    <xf numFmtId="0" fontId="32" fillId="7" borderId="50" xfId="0" applyFont="1" applyFill="1" applyBorder="1" applyAlignment="1">
      <alignment horizontal="center" vertical="center"/>
    </xf>
    <xf numFmtId="0" fontId="63" fillId="7" borderId="50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65" fillId="7" borderId="50" xfId="0" applyFont="1" applyFill="1" applyBorder="1" applyAlignment="1">
      <alignment horizontal="center" vertical="center"/>
    </xf>
    <xf numFmtId="0" fontId="81" fillId="7" borderId="50" xfId="0" applyFont="1" applyFill="1" applyBorder="1" applyAlignment="1">
      <alignment horizontal="center" vertical="center" wrapText="1" readingOrder="1"/>
    </xf>
    <xf numFmtId="0" fontId="63" fillId="7" borderId="50" xfId="0" applyFont="1" applyFill="1" applyBorder="1" applyAlignment="1">
      <alignment horizontal="left" vertical="center" wrapText="1"/>
    </xf>
    <xf numFmtId="0" fontId="56" fillId="7" borderId="50" xfId="0" applyFont="1" applyFill="1" applyBorder="1" applyAlignment="1">
      <alignment horizontal="center" vertical="center" wrapText="1"/>
    </xf>
    <xf numFmtId="3" fontId="83" fillId="7" borderId="50" xfId="0" applyNumberFormat="1" applyFont="1" applyFill="1" applyBorder="1" applyAlignment="1">
      <alignment horizontal="center" vertical="center"/>
    </xf>
    <xf numFmtId="3" fontId="84" fillId="7" borderId="50" xfId="0" applyNumberFormat="1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14" fontId="64" fillId="7" borderId="50" xfId="0" applyNumberFormat="1" applyFont="1" applyFill="1" applyBorder="1" applyAlignment="1">
      <alignment horizontal="center" vertical="center" wrapText="1"/>
    </xf>
    <xf numFmtId="6" fontId="63" fillId="7" borderId="50" xfId="0" applyNumberFormat="1" applyFont="1" applyFill="1" applyBorder="1" applyAlignment="1">
      <alignment horizontal="center" vertical="center" wrapText="1"/>
    </xf>
    <xf numFmtId="0" fontId="87" fillId="50" borderId="51" xfId="0" applyFont="1" applyFill="1" applyBorder="1" applyAlignment="1">
      <alignment horizontal="center" vertical="center" textRotation="90" wrapText="1"/>
    </xf>
    <xf numFmtId="0" fontId="88" fillId="0" borderId="50" xfId="0" applyFont="1" applyBorder="1" applyAlignment="1">
      <alignment horizontal="center" vertical="center" wrapText="1"/>
    </xf>
    <xf numFmtId="3" fontId="89" fillId="0" borderId="50" xfId="0" applyNumberFormat="1" applyFont="1" applyBorder="1" applyAlignment="1">
      <alignment horizontal="center" vertical="center"/>
    </xf>
    <xf numFmtId="0" fontId="61" fillId="50" borderId="51" xfId="0" applyFont="1" applyFill="1" applyBorder="1" applyAlignment="1">
      <alignment horizontal="center" vertical="center" textRotation="90"/>
    </xf>
    <xf numFmtId="3" fontId="83" fillId="48" borderId="50" xfId="0" applyNumberFormat="1" applyFont="1" applyFill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6" fontId="56" fillId="0" borderId="50" xfId="0" applyNumberFormat="1" applyFont="1" applyBorder="1" applyAlignment="1">
      <alignment horizontal="center" vertical="center"/>
    </xf>
    <xf numFmtId="0" fontId="61" fillId="50" borderId="51" xfId="0" applyFont="1" applyFill="1" applyBorder="1" applyAlignment="1">
      <alignment horizontal="center" vertical="center" textRotation="90" wrapText="1"/>
    </xf>
    <xf numFmtId="0" fontId="16" fillId="54" borderId="50" xfId="0" applyFont="1" applyFill="1" applyBorder="1" applyAlignment="1">
      <alignment horizontal="center" vertical="center" wrapText="1"/>
    </xf>
    <xf numFmtId="0" fontId="88" fillId="7" borderId="50" xfId="0" applyFont="1" applyFill="1" applyBorder="1" applyAlignment="1">
      <alignment horizontal="center" vertical="center" wrapText="1"/>
    </xf>
    <xf numFmtId="3" fontId="83" fillId="54" borderId="50" xfId="0" applyNumberFormat="1" applyFont="1" applyFill="1" applyBorder="1" applyAlignment="1">
      <alignment horizontal="center" vertical="center"/>
    </xf>
    <xf numFmtId="0" fontId="56" fillId="7" borderId="50" xfId="0" applyFont="1" applyFill="1" applyBorder="1" applyAlignment="1">
      <alignment horizontal="center" vertical="center"/>
    </xf>
    <xf numFmtId="165" fontId="11" fillId="7" borderId="50" xfId="0" applyNumberFormat="1" applyFont="1" applyFill="1" applyBorder="1" applyAlignment="1">
      <alignment horizontal="center" vertical="center" wrapText="1" readingOrder="1"/>
    </xf>
    <xf numFmtId="6" fontId="56" fillId="7" borderId="50" xfId="0" applyNumberFormat="1" applyFont="1" applyFill="1" applyBorder="1" applyAlignment="1">
      <alignment horizontal="center" vertical="center"/>
    </xf>
    <xf numFmtId="3" fontId="9" fillId="0" borderId="54" xfId="0" applyNumberFormat="1" applyFont="1" applyBorder="1" applyAlignment="1">
      <alignment horizontal="center"/>
    </xf>
    <xf numFmtId="3" fontId="32" fillId="0" borderId="54" xfId="0" applyNumberFormat="1" applyFont="1" applyBorder="1" applyAlignment="1">
      <alignment horizontal="center"/>
    </xf>
    <xf numFmtId="0" fontId="59" fillId="49" borderId="56" xfId="0" applyFont="1" applyFill="1" applyBorder="1" applyAlignment="1">
      <alignment horizontal="center" wrapText="1"/>
    </xf>
    <xf numFmtId="0" fontId="75" fillId="55" borderId="59" xfId="0" applyFont="1" applyFill="1" applyBorder="1" applyAlignment="1">
      <alignment textRotation="90" wrapText="1"/>
    </xf>
    <xf numFmtId="0" fontId="63" fillId="0" borderId="50" xfId="0" applyFont="1" applyBorder="1" applyAlignment="1">
      <alignment horizontal="left"/>
    </xf>
    <xf numFmtId="0" fontId="63" fillId="0" borderId="50" xfId="0" applyFont="1" applyBorder="1" applyAlignment="1">
      <alignment wrapText="1"/>
    </xf>
    <xf numFmtId="0" fontId="0" fillId="0" borderId="50" xfId="0" applyBorder="1"/>
    <xf numFmtId="3" fontId="17" fillId="0" borderId="50" xfId="0" applyNumberFormat="1" applyFont="1" applyBorder="1" applyAlignment="1">
      <alignment horizontal="center"/>
    </xf>
    <xf numFmtId="0" fontId="17" fillId="0" borderId="50" xfId="0" applyFont="1" applyBorder="1"/>
    <xf numFmtId="14" fontId="17" fillId="0" borderId="50" xfId="0" applyNumberFormat="1" applyFont="1" applyBorder="1" applyAlignment="1">
      <alignment horizontal="center"/>
    </xf>
    <xf numFmtId="0" fontId="17" fillId="0" borderId="52" xfId="0" applyFont="1" applyBorder="1"/>
    <xf numFmtId="0" fontId="76" fillId="56" borderId="59" xfId="0" applyFont="1" applyFill="1" applyBorder="1" applyAlignment="1">
      <alignment textRotation="90" wrapText="1"/>
    </xf>
    <xf numFmtId="0" fontId="75" fillId="48" borderId="59" xfId="0" applyFont="1" applyFill="1" applyBorder="1" applyAlignment="1">
      <alignment textRotation="90" wrapText="1"/>
    </xf>
    <xf numFmtId="0" fontId="75" fillId="48" borderId="59" xfId="0" applyFont="1" applyFill="1" applyBorder="1" applyAlignment="1">
      <alignment horizontal="right" textRotation="90" wrapText="1"/>
    </xf>
    <xf numFmtId="0" fontId="1" fillId="0" borderId="50" xfId="0" applyFont="1" applyBorder="1" applyAlignment="1">
      <alignment wrapText="1"/>
    </xf>
    <xf numFmtId="0" fontId="0" fillId="0" borderId="50" xfId="0" applyBorder="1" applyAlignment="1">
      <alignment wrapText="1"/>
    </xf>
    <xf numFmtId="0" fontId="76" fillId="56" borderId="59" xfId="0" applyFont="1" applyFill="1" applyBorder="1" applyAlignment="1">
      <alignment horizontal="right" vertical="center" textRotation="90"/>
    </xf>
    <xf numFmtId="0" fontId="17" fillId="0" borderId="50" xfId="0" applyFont="1" applyBorder="1" applyAlignment="1">
      <alignment horizontal="center" vertical="center" wrapText="1"/>
    </xf>
    <xf numFmtId="0" fontId="76" fillId="56" borderId="59" xfId="0" applyFont="1" applyFill="1" applyBorder="1" applyAlignment="1">
      <alignment horizontal="right" textRotation="90" wrapText="1"/>
    </xf>
    <xf numFmtId="0" fontId="63" fillId="0" borderId="50" xfId="0" applyFont="1" applyBorder="1"/>
    <xf numFmtId="0" fontId="63" fillId="0" borderId="54" xfId="0" applyFont="1" applyBorder="1"/>
    <xf numFmtId="0" fontId="63" fillId="0" borderId="54" xfId="0" applyFont="1" applyBorder="1" applyAlignment="1">
      <alignment wrapText="1"/>
    </xf>
    <xf numFmtId="0" fontId="0" fillId="0" borderId="54" xfId="0" applyBorder="1"/>
    <xf numFmtId="0" fontId="0" fillId="0" borderId="54" xfId="0" applyBorder="1" applyAlignment="1">
      <alignment wrapText="1"/>
    </xf>
    <xf numFmtId="3" fontId="17" fillId="0" borderId="54" xfId="0" applyNumberFormat="1" applyFont="1" applyBorder="1" applyAlignment="1">
      <alignment horizontal="center"/>
    </xf>
    <xf numFmtId="0" fontId="17" fillId="0" borderId="54" xfId="0" applyFont="1" applyBorder="1" applyAlignment="1">
      <alignment horizontal="center" vertical="center"/>
    </xf>
    <xf numFmtId="0" fontId="17" fillId="0" borderId="54" xfId="0" applyFont="1" applyBorder="1"/>
    <xf numFmtId="14" fontId="17" fillId="0" borderId="54" xfId="0" applyNumberFormat="1" applyFont="1" applyBorder="1" applyAlignment="1">
      <alignment horizontal="center"/>
    </xf>
    <xf numFmtId="0" fontId="17" fillId="0" borderId="55" xfId="0" applyFont="1" applyBorder="1"/>
    <xf numFmtId="0" fontId="66" fillId="54" borderId="50" xfId="0" applyFont="1" applyFill="1" applyBorder="1"/>
    <xf numFmtId="0" fontId="66" fillId="54" borderId="59" xfId="0" applyFont="1" applyFill="1" applyBorder="1"/>
    <xf numFmtId="0" fontId="66" fillId="54" borderId="7" xfId="0" applyFont="1" applyFill="1" applyBorder="1"/>
    <xf numFmtId="3" fontId="66" fillId="54" borderId="62" xfId="0" applyNumberFormat="1" applyFont="1" applyFill="1" applyBorder="1"/>
    <xf numFmtId="6" fontId="66" fillId="54" borderId="62" xfId="0" applyNumberFormat="1" applyFont="1" applyFill="1" applyBorder="1"/>
    <xf numFmtId="0" fontId="50" fillId="58" borderId="0" xfId="0" applyFont="1" applyFill="1"/>
    <xf numFmtId="0" fontId="66" fillId="58" borderId="0" xfId="0" applyFont="1" applyFill="1"/>
    <xf numFmtId="0" fontId="50" fillId="58" borderId="0" xfId="0" quotePrefix="1" applyFont="1" applyFill="1"/>
    <xf numFmtId="0" fontId="0" fillId="2" borderId="0" xfId="0" applyFill="1"/>
    <xf numFmtId="0" fontId="0" fillId="60" borderId="0" xfId="0" applyFill="1"/>
    <xf numFmtId="0" fontId="50" fillId="60" borderId="0" xfId="0" applyFont="1" applyFill="1"/>
    <xf numFmtId="0" fontId="50" fillId="60" borderId="0" xfId="0" quotePrefix="1" applyFont="1" applyFill="1"/>
    <xf numFmtId="0" fontId="0" fillId="61" borderId="0" xfId="0" applyFill="1"/>
    <xf numFmtId="0" fontId="50" fillId="61" borderId="0" xfId="0" applyFont="1" applyFill="1"/>
    <xf numFmtId="0" fontId="50" fillId="61" borderId="0" xfId="0" quotePrefix="1" applyFont="1" applyFill="1"/>
    <xf numFmtId="0" fontId="0" fillId="62" borderId="0" xfId="0" applyFill="1"/>
    <xf numFmtId="0" fontId="50" fillId="62" borderId="0" xfId="0" applyFont="1" applyFill="1"/>
    <xf numFmtId="0" fontId="50" fillId="62" borderId="0" xfId="0" quotePrefix="1" applyFont="1" applyFill="1"/>
    <xf numFmtId="0" fontId="66" fillId="62" borderId="0" xfId="0" applyFont="1" applyFill="1"/>
    <xf numFmtId="0" fontId="0" fillId="62" borderId="0" xfId="0" quotePrefix="1" applyFill="1"/>
    <xf numFmtId="0" fontId="78" fillId="62" borderId="0" xfId="0" applyFont="1" applyFill="1"/>
    <xf numFmtId="0" fontId="66" fillId="62" borderId="0" xfId="0" quotePrefix="1" applyFont="1" applyFill="1"/>
    <xf numFmtId="0" fontId="79" fillId="62" borderId="0" xfId="0" applyFont="1" applyFill="1"/>
    <xf numFmtId="0" fontId="0" fillId="0" borderId="50" xfId="0" applyBorder="1" applyAlignment="1">
      <alignment horizontal="center" vertical="center"/>
    </xf>
    <xf numFmtId="0" fontId="0" fillId="0" borderId="58" xfId="0" applyBorder="1"/>
    <xf numFmtId="0" fontId="0" fillId="0" borderId="63" xfId="0" applyBorder="1"/>
    <xf numFmtId="0" fontId="0" fillId="63" borderId="0" xfId="0" applyFill="1"/>
    <xf numFmtId="0" fontId="9" fillId="4" borderId="14" xfId="1" applyFont="1" applyFill="1" applyBorder="1" applyAlignment="1">
      <alignment horizontal="center" vertical="center" textRotation="90" wrapText="1"/>
    </xf>
    <xf numFmtId="0" fontId="9" fillId="4" borderId="17" xfId="1" applyFont="1" applyFill="1" applyBorder="1" applyAlignment="1">
      <alignment horizontal="center" vertical="center" textRotation="90" wrapText="1"/>
    </xf>
    <xf numFmtId="0" fontId="9" fillId="4" borderId="21" xfId="1" applyFont="1" applyFill="1" applyBorder="1" applyAlignment="1">
      <alignment horizontal="center" vertical="center" textRotation="90" wrapText="1"/>
    </xf>
    <xf numFmtId="0" fontId="10" fillId="16" borderId="18" xfId="1" applyFont="1" applyFill="1" applyBorder="1" applyAlignment="1">
      <alignment horizontal="center" vertical="center" textRotation="90" wrapText="1"/>
    </xf>
    <xf numFmtId="0" fontId="10" fillId="16" borderId="20" xfId="1" applyFont="1" applyFill="1" applyBorder="1" applyAlignment="1">
      <alignment horizontal="center" vertical="center" textRotation="90" wrapText="1"/>
    </xf>
    <xf numFmtId="0" fontId="9" fillId="4" borderId="4" xfId="1" applyFont="1" applyFill="1" applyBorder="1" applyAlignment="1">
      <alignment horizontal="center" vertical="center" textRotation="90" wrapText="1"/>
    </xf>
    <xf numFmtId="0" fontId="10" fillId="5" borderId="9" xfId="1" applyFont="1" applyFill="1" applyBorder="1" applyAlignment="1">
      <alignment horizontal="center" vertical="center" textRotation="90"/>
    </xf>
    <xf numFmtId="0" fontId="10" fillId="5" borderId="10" xfId="1" applyFont="1" applyFill="1" applyBorder="1" applyAlignment="1">
      <alignment horizontal="center" vertical="center" textRotation="90"/>
    </xf>
    <xf numFmtId="0" fontId="10" fillId="3" borderId="5" xfId="1" applyFont="1" applyFill="1" applyBorder="1" applyAlignment="1">
      <alignment horizontal="center" vertical="center" textRotation="90"/>
    </xf>
    <xf numFmtId="0" fontId="10" fillId="6" borderId="5" xfId="1" applyFont="1" applyFill="1" applyBorder="1" applyAlignment="1">
      <alignment horizontal="center" vertical="center" textRotation="90"/>
    </xf>
    <xf numFmtId="0" fontId="10" fillId="8" borderId="5" xfId="1" applyFont="1" applyFill="1" applyBorder="1" applyAlignment="1">
      <alignment horizontal="center" vertical="center" textRotation="90"/>
    </xf>
    <xf numFmtId="0" fontId="9" fillId="0" borderId="9" xfId="0" applyFont="1" applyBorder="1" applyAlignment="1">
      <alignment horizontal="center" vertical="center" textRotation="90"/>
    </xf>
    <xf numFmtId="0" fontId="9" fillId="0" borderId="46" xfId="0" applyFont="1" applyBorder="1" applyAlignment="1">
      <alignment horizontal="center" vertical="center" textRotation="90"/>
    </xf>
    <xf numFmtId="0" fontId="9" fillId="0" borderId="10" xfId="0" applyFont="1" applyBorder="1" applyAlignment="1">
      <alignment horizontal="center" vertical="center" textRotation="90"/>
    </xf>
    <xf numFmtId="0" fontId="76" fillId="56" borderId="59" xfId="0" applyFont="1" applyFill="1" applyBorder="1" applyAlignment="1">
      <alignment horizontal="right" vertical="center" textRotation="90" wrapText="1"/>
    </xf>
    <xf numFmtId="0" fontId="75" fillId="48" borderId="59" xfId="0" applyFont="1" applyFill="1" applyBorder="1" applyAlignment="1">
      <alignment horizontal="right" vertical="center" textRotation="90" wrapText="1"/>
    </xf>
    <xf numFmtId="0" fontId="76" fillId="56" borderId="61" xfId="0" applyFont="1" applyFill="1" applyBorder="1" applyAlignment="1">
      <alignment horizontal="right" vertical="center" textRotation="90" wrapText="1"/>
    </xf>
    <xf numFmtId="0" fontId="76" fillId="56" borderId="48" xfId="0" applyFont="1" applyFill="1" applyBorder="1" applyAlignment="1">
      <alignment horizontal="right" vertical="center" textRotation="90" wrapText="1"/>
    </xf>
    <xf numFmtId="0" fontId="76" fillId="56" borderId="49" xfId="0" applyFont="1" applyFill="1" applyBorder="1" applyAlignment="1">
      <alignment horizontal="right" vertical="center" textRotation="90" wrapText="1"/>
    </xf>
    <xf numFmtId="0" fontId="56" fillId="0" borderId="33" xfId="0" applyFont="1" applyBorder="1" applyAlignment="1">
      <alignment horizontal="center"/>
    </xf>
    <xf numFmtId="0" fontId="60" fillId="52" borderId="34" xfId="0" applyFont="1" applyFill="1" applyBorder="1" applyAlignment="1">
      <alignment horizontal="center" vertical="center" textRotation="90" wrapText="1"/>
    </xf>
    <xf numFmtId="0" fontId="60" fillId="52" borderId="35" xfId="0" applyFont="1" applyFill="1" applyBorder="1" applyAlignment="1">
      <alignment horizontal="center" vertical="center" textRotation="90" wrapText="1"/>
    </xf>
    <xf numFmtId="0" fontId="61" fillId="53" borderId="38" xfId="0" applyFont="1" applyFill="1" applyBorder="1" applyAlignment="1">
      <alignment horizontal="center" vertical="center" textRotation="90"/>
    </xf>
    <xf numFmtId="0" fontId="61" fillId="53" borderId="39" xfId="0" applyFont="1" applyFill="1" applyBorder="1" applyAlignment="1">
      <alignment horizontal="center" vertical="center" textRotation="90"/>
    </xf>
    <xf numFmtId="0" fontId="85" fillId="57" borderId="57" xfId="0" applyFont="1" applyFill="1" applyBorder="1" applyAlignment="1">
      <alignment horizontal="center" vertical="center"/>
    </xf>
    <xf numFmtId="0" fontId="9" fillId="57" borderId="58" xfId="0" applyFont="1" applyFill="1" applyBorder="1" applyAlignment="1">
      <alignment horizontal="center" vertical="center"/>
    </xf>
    <xf numFmtId="0" fontId="9" fillId="57" borderId="59" xfId="0" applyFont="1" applyFill="1" applyBorder="1" applyAlignment="1">
      <alignment horizontal="center" vertical="center"/>
    </xf>
    <xf numFmtId="0" fontId="61" fillId="49" borderId="60" xfId="0" applyFont="1" applyFill="1" applyBorder="1" applyAlignment="1">
      <alignment horizontal="center" vertical="center" textRotation="90" wrapText="1"/>
    </xf>
    <xf numFmtId="0" fontId="61" fillId="49" borderId="6" xfId="0" applyFont="1" applyFill="1" applyBorder="1" applyAlignment="1">
      <alignment horizontal="center" vertical="center" textRotation="90" wrapText="1"/>
    </xf>
    <xf numFmtId="0" fontId="61" fillId="54" borderId="51" xfId="0" applyFont="1" applyFill="1" applyBorder="1" applyAlignment="1">
      <alignment horizontal="center" vertical="center" textRotation="90" wrapText="1"/>
    </xf>
  </cellXfs>
  <cellStyles count="43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00000000-0005-0000-0000-00000C000000}"/>
    <cellStyle name="60% - Accent2 2" xfId="38" xr:uid="{00000000-0005-0000-0000-00000D000000}"/>
    <cellStyle name="60% - Accent3 2" xfId="39" xr:uid="{00000000-0005-0000-0000-00000E000000}"/>
    <cellStyle name="60% - Accent4 2" xfId="40" xr:uid="{00000000-0005-0000-0000-00000F000000}"/>
    <cellStyle name="60% - Accent5 2" xfId="41" xr:uid="{00000000-0005-0000-0000-000010000000}"/>
    <cellStyle name="60% - Accent6 2" xfId="42" xr:uid="{00000000-0005-0000-0000-00001100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36" xr:uid="{00000000-0005-0000-0000-000023000000}"/>
    <cellStyle name="Normal" xfId="0" builtinId="0"/>
    <cellStyle name="Normal 2" xfId="1" xr:uid="{00000000-0005-0000-0000-000025000000}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auto="1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, Bingxin" id="{7DBD1A05-B941-4417-A16D-224F5CEBEC32}" userId="bge@bjs.com" providerId="PeoplePicker"/>
  <person displayName="Ge, Bingxin" id="{1D81D20A-C017-4607-BE23-58805793F8C5}" userId="S::bge@bjs.com::a4671b94-0a16-465b-baed-bf69dd988e19" providerId="AD"/>
  <person displayName="Przybyszewski, Przemyslaw" id="{1705ED2A-09BB-4889-99D3-0973B391A999}" userId="S::pprzybyszewski@bjs.com::0f755435-45ad-4298-b156-a40c184122c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7F306-48BE-45BE-AE7C-3F7C59A5C8B7}" name="Table1" displayName="Table1" ref="D4:E11" totalsRowShown="0">
  <autoFilter ref="D4:E11" xr:uid="{AE87F306-48BE-45BE-AE7C-3F7C59A5C8B7}"/>
  <tableColumns count="2">
    <tableColumn id="1" xr3:uid="{0EEE38D3-B102-467B-AEDE-A45DD06534E2}" name="Cells"/>
    <tableColumn id="2" xr3:uid="{A16CA804-82B3-46F2-B08B-12F835B69AD7}" name="Counts" dataDxfId="7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6F8574-9BD1-4EEE-8AA8-E761696C963F}" name="Table24" displayName="Table24" ref="B2:B11" totalsRowShown="0" headerRowDxfId="78" headerRowBorderDxfId="77" tableBorderDxfId="76">
  <autoFilter ref="B2:B11" xr:uid="{EB4D11F0-50AD-42D8-89D5-D49C0C0B76F9}"/>
  <tableColumns count="1">
    <tableColumn id="1" xr3:uid="{60FCB8C9-9198-45D0-B682-0FE0E9E8F628}" name="Test Column" dataDxfId="7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2" dT="2022-07-20T18:09:29.11" personId="{1D81D20A-C017-4607-BE23-58805793F8C5}" id="{71F3CDEC-BC08-48CD-A509-9EF49C6C54EE}">
    <text>is 235 supposed to be excluded for regular offer lapsed cells ?</text>
  </threadedComment>
  <threadedComment ref="H14" dT="2022-07-20T18:09:39.59" personId="{1D81D20A-C017-4607-BE23-58805793F8C5}" id="{516C711B-9D5E-4707-AB0D-5083C8B782A3}">
    <text xml:space="preserve">is 235 included here?
</text>
  </threadedComment>
  <threadedComment ref="G16" dT="2022-07-20T18:09:39.59" personId="{1D81D20A-C017-4607-BE23-58805793F8C5}" id="{FC18E0C3-FAC3-4260-8956-60010A4EBF5E}">
    <text xml:space="preserve">is 235 included here?
</text>
  </threadedComment>
  <threadedComment ref="H16" dT="2022-07-20T18:09:39.59" personId="{1D81D20A-C017-4607-BE23-58805793F8C5}" id="{E5495CC8-E491-4404-B084-3387D9A2992E}">
    <text xml:space="preserve">is 235 included here?
</text>
  </threadedComment>
  <threadedComment ref="H17" dT="2022-07-20T18:09:39.59" personId="{1D81D20A-C017-4607-BE23-58805793F8C5}" id="{9520CBA4-DF5E-45F6-9182-F22CF1F71AEE}">
    <text xml:space="preserve">is 235 included here?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dT="2022-08-31T20:58:22.34" personId="{1D81D20A-C017-4607-BE23-58805793F8C5}" id="{CC6B703A-8DC3-4EE1-AF72-B944793BBBB3}">
    <text>CELL03 is the hero cell for Nov2022</text>
  </threadedComment>
  <threadedComment ref="A15" dT="2022-08-31T20:58:05.28" personId="{1D81D20A-C017-4607-BE23-58805793F8C5}" id="{3BC50592-F869-4434-8B2A-1D40E3A8068E}">
    <text>CELL03 is the hero cell for Nov2022</text>
  </threadedComment>
  <threadedComment ref="F65" dT="2022-09-30T15:54:45.71" personId="{1705ED2A-09BB-4889-99D3-0973B391A999}" id="{EF9F230E-239F-457C-A29E-C7018F2B23DD}">
    <text>Change to CELL29</text>
  </threadedComment>
  <threadedComment ref="F66" dT="2022-09-30T15:54:59.32" personId="{1705ED2A-09BB-4889-99D3-0973B391A999}" id="{ED633BC5-E99E-45B2-B14B-13684B0CBA21}">
    <text>Change to CELL29_BNZD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5" dT="2022-09-30T14:37:06.57" personId="{1705ED2A-09BB-4889-99D3-0973B391A999}" id="{E68D6935-3A30-45D6-A561-73A28A576698}">
    <text>I know it is in the design matrix data, but @Ge, Bingxin should ($20 award) be part of mkt_cd</text>
    <mentions>
      <mention mentionpersonId="{7DBD1A05-B941-4417-A16D-224F5CEBEC32}" mentionId="{0575561F-8BBE-4B2E-9A8A-57B1AD41E6E7}" startIndex="44" length="12"/>
    </mentions>
  </threadedComment>
  <threadedComment ref="Q5" dT="2022-09-30T15:41:12.66" personId="{1D81D20A-C017-4607-BE23-58805793F8C5}" id="{CF7A4A13-142E-4F21-9C63-2A9680CAB1D5}" parentId="{E68D6935-3A30-45D6-A561-73A28A576698}">
    <text>I think we can delete the parenthesis info</text>
  </threadedComment>
  <threadedComment ref="K26" dT="2022-09-30T14:39:52.90" personId="{1705ED2A-09BB-4889-99D3-0973B391A999}" id="{A48A1C92-0BE5-4044-8D5A-FFD8942C58A5}">
    <text>cannot start with colon. I think some changes in the formulas needed in 'cell parameters' sheet (can be manually updated for now I think)</text>
  </threadedComment>
  <threadedComment ref="K27" dT="2022-09-30T14:40:00.29" personId="{1705ED2A-09BB-4889-99D3-0973B391A999}" id="{735BC025-6AC6-49AE-A565-8C621451795D}">
    <text>cannot start with colon. I think some changes in the formulas needed in 'cell parameters' sheet (can be manually updated for now I think)</text>
  </threadedComment>
  <threadedComment ref="A65" dT="2022-09-30T14:43:17.20" personId="{1705ED2A-09BB-4889-99D3-0973B391A999}" id="{05DA60E9-134B-4DFE-9919-F801FA1F1FEC}">
    <text>@Ge, Bingxin Is this triple touch? Is it ok to treat it as two double touches? (more that 2 touches are not supported in the code I think)</text>
    <mentions>
      <mention mentionpersonId="{7DBD1A05-B941-4417-A16D-224F5CEBEC32}" mentionId="{E302D162-B552-457F-BCEE-0B26CD3A95B8}" startIndex="0" length="12"/>
    </mentions>
  </threadedComment>
  <threadedComment ref="A65" dT="2022-09-30T15:43:40.93" personId="{1D81D20A-C017-4607-BE23-58805793F8C5}" id="{008B3C7A-AAD4-4AB4-9142-EB6CE923C80D}" parentId="{05DA60E9-134B-4DFE-9919-F801FA1F1FEC}">
    <text xml:space="preserve">yes! this is a triple touch. </text>
  </threadedComment>
  <threadedComment ref="K65" dT="2022-09-30T15:56:24.55" personId="{1705ED2A-09BB-4889-99D3-0973B391A999}" id="{ABDB13EC-6AF8-45E6-9E8A-2866E73F0847}">
    <text>CHange to CELL29</text>
  </threadedComment>
  <threadedComment ref="K66" dT="2022-09-30T15:56:36.68" personId="{1705ED2A-09BB-4889-99D3-0973B391A999}" id="{85833EC7-B7CF-4517-83E7-943EEFDADB83}">
    <text>CHange to CELL29_BNZD</text>
  </threadedComment>
  <threadedComment ref="R67" dT="2022-09-30T14:45:12.09" personId="{1705ED2A-09BB-4889-99D3-0973B391A999}" id="{33153464-A482-4103-8C0D-13E9BC1AD28C}">
    <text>Missing test groups</text>
  </threadedComment>
  <threadedComment ref="R69" dT="2022-09-30T14:45:18.23" personId="{1705ED2A-09BB-4889-99D3-0973B391A999}" id="{E7E95B3A-12A0-43BB-A37D-D29EFC711338}">
    <text>Missing test groups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HI27"/>
  <sheetViews>
    <sheetView zoomScale="60" zoomScaleNormal="60" zoomScaleSheetLayoutView="33" workbookViewId="0">
      <pane ySplit="2" topLeftCell="A3" activePane="bottomLeft" state="frozen"/>
      <selection activeCell="E1" sqref="E1"/>
      <selection pane="bottomLeft" activeCell="C3" sqref="C3"/>
    </sheetView>
  </sheetViews>
  <sheetFormatPr defaultColWidth="23.54296875" defaultRowHeight="14.5" x14ac:dyDescent="0.35"/>
  <cols>
    <col min="1" max="1" width="5.1796875" style="36" customWidth="1"/>
    <col min="2" max="2" width="14.453125" style="105" customWidth="1"/>
    <col min="3" max="3" width="29.7265625" style="11" customWidth="1"/>
    <col min="4" max="4" width="27" style="11" customWidth="1"/>
    <col min="5" max="5" width="58.7265625" style="107" customWidth="1"/>
    <col min="6" max="6" width="95.7265625" style="11" customWidth="1"/>
    <col min="7" max="7" width="64" style="11" customWidth="1"/>
    <col min="8" max="8" width="45.26953125" style="11" customWidth="1"/>
    <col min="9" max="9" width="37.81640625" style="108" customWidth="1"/>
    <col min="10" max="17" width="37.81640625" style="11" customWidth="1"/>
    <col min="18" max="19" width="39" style="109" customWidth="1"/>
    <col min="20" max="20" width="31" style="11" customWidth="1"/>
    <col min="21" max="21" width="40.26953125" style="11" customWidth="1"/>
    <col min="22" max="22" width="98" style="11" customWidth="1"/>
    <col min="23" max="23" width="46.1796875" style="11" customWidth="1"/>
    <col min="24" max="24" width="24.54296875" style="11" customWidth="1"/>
    <col min="25" max="25" width="22.453125" style="11" customWidth="1"/>
    <col min="26" max="16384" width="23.54296875" style="11"/>
  </cols>
  <sheetData>
    <row r="1" spans="1:217" s="9" customFormat="1" ht="34" thickBot="1" x14ac:dyDescent="0.8">
      <c r="A1" s="1"/>
      <c r="B1" s="2"/>
      <c r="C1" s="3" t="s">
        <v>0</v>
      </c>
      <c r="D1" s="3"/>
      <c r="E1" s="4"/>
      <c r="F1" s="5"/>
      <c r="G1" s="6"/>
      <c r="H1" s="7"/>
      <c r="I1" s="8"/>
      <c r="R1" s="10"/>
      <c r="S1" s="10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</row>
    <row r="2" spans="1:217" s="9" customFormat="1" ht="70.5" customHeight="1" thickBot="1" x14ac:dyDescent="0.7">
      <c r="A2" s="1"/>
      <c r="B2" s="2"/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4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3" t="s">
        <v>14</v>
      </c>
      <c r="R2" s="15" t="s">
        <v>15</v>
      </c>
      <c r="S2" s="15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6" t="s">
        <v>22</v>
      </c>
      <c r="Z2" s="16" t="s">
        <v>23</v>
      </c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</row>
    <row r="3" spans="1:217" s="31" customFormat="1" ht="101.25" customHeight="1" thickBot="1" x14ac:dyDescent="0.4">
      <c r="A3" s="340" t="s">
        <v>24</v>
      </c>
      <c r="B3" s="17" t="s">
        <v>25</v>
      </c>
      <c r="C3" s="18" t="s">
        <v>26</v>
      </c>
      <c r="D3" s="19">
        <v>21463422</v>
      </c>
      <c r="E3" s="20" t="s">
        <v>27</v>
      </c>
      <c r="F3" s="21" t="s">
        <v>28</v>
      </c>
      <c r="G3" s="172" t="s">
        <v>29</v>
      </c>
      <c r="H3" s="22" t="s">
        <v>30</v>
      </c>
      <c r="I3" s="23">
        <v>4067000</v>
      </c>
      <c r="J3" s="23"/>
      <c r="K3" s="23" t="s">
        <v>31</v>
      </c>
      <c r="L3" s="23"/>
      <c r="M3" s="23"/>
      <c r="N3" s="24"/>
      <c r="O3" s="24"/>
      <c r="P3" s="25"/>
      <c r="Q3" s="25"/>
      <c r="R3" s="26" t="s">
        <v>32</v>
      </c>
      <c r="S3" s="26" t="s">
        <v>33</v>
      </c>
      <c r="T3" s="27">
        <v>44598</v>
      </c>
      <c r="U3" s="26">
        <v>40</v>
      </c>
      <c r="V3" s="28" t="s">
        <v>34</v>
      </c>
      <c r="W3" s="29" t="s">
        <v>35</v>
      </c>
      <c r="X3" s="22" t="s">
        <v>36</v>
      </c>
      <c r="Y3" s="30" t="s">
        <v>37</v>
      </c>
      <c r="Z3" s="30" t="s">
        <v>38</v>
      </c>
    </row>
    <row r="4" spans="1:217" s="31" customFormat="1" ht="101.25" customHeight="1" thickBot="1" x14ac:dyDescent="0.4">
      <c r="A4" s="340"/>
      <c r="B4" s="341" t="s">
        <v>39</v>
      </c>
      <c r="C4" s="173" t="s">
        <v>40</v>
      </c>
      <c r="D4" s="19">
        <v>21463422</v>
      </c>
      <c r="E4" s="174" t="s">
        <v>41</v>
      </c>
      <c r="F4" s="175" t="s">
        <v>42</v>
      </c>
      <c r="G4" s="172" t="s">
        <v>29</v>
      </c>
      <c r="H4" s="176" t="s">
        <v>43</v>
      </c>
      <c r="I4" s="177">
        <v>500000</v>
      </c>
      <c r="J4" s="177"/>
      <c r="K4" s="177" t="s">
        <v>31</v>
      </c>
      <c r="L4" s="177"/>
      <c r="M4" s="177"/>
      <c r="N4" s="172"/>
      <c r="O4" s="172"/>
      <c r="P4" s="178"/>
      <c r="Q4" s="178"/>
      <c r="R4" s="26" t="s">
        <v>44</v>
      </c>
      <c r="S4" s="26" t="s">
        <v>45</v>
      </c>
      <c r="T4" s="27">
        <v>44598</v>
      </c>
      <c r="U4" s="179">
        <v>40</v>
      </c>
      <c r="V4" s="180" t="s">
        <v>46</v>
      </c>
      <c r="W4" s="181"/>
      <c r="X4" s="176" t="s">
        <v>36</v>
      </c>
      <c r="Y4" s="182" t="s">
        <v>37</v>
      </c>
      <c r="Z4" s="30" t="s">
        <v>38</v>
      </c>
    </row>
    <row r="5" spans="1:217" s="31" customFormat="1" ht="140.25" customHeight="1" thickBot="1" x14ac:dyDescent="0.4">
      <c r="A5" s="340"/>
      <c r="B5" s="342"/>
      <c r="C5" s="173" t="s">
        <v>47</v>
      </c>
      <c r="D5" s="19">
        <v>21463422</v>
      </c>
      <c r="E5" s="32" t="s">
        <v>48</v>
      </c>
      <c r="F5" s="183" t="s">
        <v>49</v>
      </c>
      <c r="G5" s="172" t="s">
        <v>29</v>
      </c>
      <c r="H5" s="176" t="s">
        <v>50</v>
      </c>
      <c r="I5" s="177">
        <v>1575000</v>
      </c>
      <c r="J5" s="177"/>
      <c r="K5" s="177" t="s">
        <v>31</v>
      </c>
      <c r="L5" s="177"/>
      <c r="M5" s="177"/>
      <c r="N5" s="172"/>
      <c r="O5" s="172"/>
      <c r="P5" s="178"/>
      <c r="Q5" s="178"/>
      <c r="R5" s="26" t="s">
        <v>51</v>
      </c>
      <c r="S5" s="26" t="s">
        <v>52</v>
      </c>
      <c r="T5" s="27">
        <v>44598</v>
      </c>
      <c r="U5" s="179"/>
      <c r="V5" s="184" t="s">
        <v>53</v>
      </c>
      <c r="W5" s="181" t="s">
        <v>54</v>
      </c>
      <c r="X5" s="176"/>
      <c r="Y5" s="182"/>
      <c r="Z5" s="30"/>
    </row>
    <row r="6" spans="1:217" s="31" customFormat="1" ht="88.5" customHeight="1" thickBot="1" x14ac:dyDescent="0.4">
      <c r="A6" s="340"/>
      <c r="B6" s="343" t="s">
        <v>25</v>
      </c>
      <c r="C6" s="173" t="s">
        <v>55</v>
      </c>
      <c r="D6" s="19">
        <v>21463422</v>
      </c>
      <c r="E6" s="174" t="s">
        <v>56</v>
      </c>
      <c r="F6" s="175" t="s">
        <v>57</v>
      </c>
      <c r="G6" s="172" t="s">
        <v>29</v>
      </c>
      <c r="H6" s="176" t="s">
        <v>58</v>
      </c>
      <c r="I6" s="177">
        <v>120000</v>
      </c>
      <c r="J6" s="177"/>
      <c r="K6" s="177" t="s">
        <v>31</v>
      </c>
      <c r="L6" s="177"/>
      <c r="M6" s="177"/>
      <c r="N6" s="172"/>
      <c r="O6" s="172"/>
      <c r="P6" s="178"/>
      <c r="Q6" s="178"/>
      <c r="R6" s="179" t="s">
        <v>59</v>
      </c>
      <c r="S6" s="179" t="s">
        <v>60</v>
      </c>
      <c r="T6" s="27">
        <v>44598</v>
      </c>
      <c r="U6" s="179"/>
      <c r="V6" s="180" t="s">
        <v>61</v>
      </c>
      <c r="W6" s="181" t="s">
        <v>62</v>
      </c>
      <c r="X6" s="176" t="s">
        <v>36</v>
      </c>
      <c r="Y6" s="182" t="s">
        <v>37</v>
      </c>
      <c r="Z6" s="30" t="s">
        <v>38</v>
      </c>
    </row>
    <row r="7" spans="1:217" s="31" customFormat="1" ht="93" customHeight="1" thickBot="1" x14ac:dyDescent="0.4">
      <c r="A7" s="340"/>
      <c r="B7" s="343"/>
      <c r="C7" s="173" t="s">
        <v>63</v>
      </c>
      <c r="D7" s="19">
        <v>21463422</v>
      </c>
      <c r="E7" s="174" t="s">
        <v>64</v>
      </c>
      <c r="F7" s="175" t="s">
        <v>65</v>
      </c>
      <c r="G7" s="172" t="s">
        <v>29</v>
      </c>
      <c r="H7" s="176" t="s">
        <v>66</v>
      </c>
      <c r="I7" s="177">
        <v>50000</v>
      </c>
      <c r="J7" s="177"/>
      <c r="K7" s="177" t="s">
        <v>31</v>
      </c>
      <c r="L7" s="177"/>
      <c r="M7" s="177"/>
      <c r="N7" s="172"/>
      <c r="O7" s="172"/>
      <c r="P7" s="178"/>
      <c r="Q7" s="178"/>
      <c r="R7" s="179" t="s">
        <v>67</v>
      </c>
      <c r="S7" s="179" t="s">
        <v>68</v>
      </c>
      <c r="T7" s="27">
        <v>44598</v>
      </c>
      <c r="U7" s="179"/>
      <c r="V7" s="180" t="s">
        <v>46</v>
      </c>
      <c r="W7" s="181"/>
      <c r="X7" s="176" t="s">
        <v>36</v>
      </c>
      <c r="Y7" s="182" t="s">
        <v>37</v>
      </c>
      <c r="Z7" s="30" t="s">
        <v>38</v>
      </c>
    </row>
    <row r="8" spans="1:217" s="31" customFormat="1" ht="143.25" customHeight="1" thickBot="1" x14ac:dyDescent="0.4">
      <c r="A8" s="340"/>
      <c r="B8" s="344" t="s">
        <v>69</v>
      </c>
      <c r="C8" s="185" t="s">
        <v>70</v>
      </c>
      <c r="D8" s="19">
        <v>21463422</v>
      </c>
      <c r="E8" s="174" t="s">
        <v>71</v>
      </c>
      <c r="F8" s="186" t="s">
        <v>72</v>
      </c>
      <c r="G8" s="172" t="s">
        <v>29</v>
      </c>
      <c r="H8" s="176" t="s">
        <v>73</v>
      </c>
      <c r="I8" s="187">
        <v>915681</v>
      </c>
      <c r="J8" s="188"/>
      <c r="K8" s="177" t="s">
        <v>31</v>
      </c>
      <c r="L8" s="177"/>
      <c r="M8" s="177"/>
      <c r="N8" s="172"/>
      <c r="O8" s="172"/>
      <c r="P8" s="178"/>
      <c r="Q8" s="178"/>
      <c r="R8" s="189" t="s">
        <v>74</v>
      </c>
      <c r="S8" s="189" t="s">
        <v>75</v>
      </c>
      <c r="T8" s="27">
        <v>44598</v>
      </c>
      <c r="U8" s="189">
        <v>40</v>
      </c>
      <c r="V8" s="190" t="s">
        <v>76</v>
      </c>
      <c r="W8" s="191" t="s">
        <v>77</v>
      </c>
      <c r="X8" s="176" t="s">
        <v>36</v>
      </c>
      <c r="Y8" s="182" t="s">
        <v>37</v>
      </c>
      <c r="Z8" s="30" t="s">
        <v>38</v>
      </c>
    </row>
    <row r="9" spans="1:217" s="31" customFormat="1" ht="124.5" customHeight="1" thickBot="1" x14ac:dyDescent="0.4">
      <c r="A9" s="340"/>
      <c r="B9" s="344"/>
      <c r="C9" s="192" t="s">
        <v>78</v>
      </c>
      <c r="D9" s="33">
        <v>21463422</v>
      </c>
      <c r="E9" s="193" t="s">
        <v>79</v>
      </c>
      <c r="F9" s="194" t="s">
        <v>80</v>
      </c>
      <c r="G9" s="195" t="s">
        <v>29</v>
      </c>
      <c r="H9" s="196" t="s">
        <v>73</v>
      </c>
      <c r="I9" s="197">
        <v>400000</v>
      </c>
      <c r="J9" s="197"/>
      <c r="K9" s="197"/>
      <c r="L9" s="197"/>
      <c r="M9" s="197" t="s">
        <v>31</v>
      </c>
      <c r="N9" s="195"/>
      <c r="O9" s="195"/>
      <c r="P9" s="198"/>
      <c r="Q9" s="198"/>
      <c r="R9" s="199" t="s">
        <v>81</v>
      </c>
      <c r="S9" s="199" t="s">
        <v>82</v>
      </c>
      <c r="T9" s="200">
        <v>44612</v>
      </c>
      <c r="U9" s="199">
        <v>40</v>
      </c>
      <c r="V9" s="201" t="s">
        <v>83</v>
      </c>
      <c r="W9" s="202" t="s">
        <v>84</v>
      </c>
      <c r="X9" s="196" t="s">
        <v>36</v>
      </c>
      <c r="Y9" s="203" t="s">
        <v>37</v>
      </c>
      <c r="Z9" s="34" t="s">
        <v>38</v>
      </c>
    </row>
    <row r="10" spans="1:217" s="31" customFormat="1" ht="124.5" customHeight="1" thickBot="1" x14ac:dyDescent="0.4">
      <c r="A10" s="340"/>
      <c r="B10" s="344"/>
      <c r="C10" s="185" t="s">
        <v>85</v>
      </c>
      <c r="D10" s="19">
        <v>21463422</v>
      </c>
      <c r="E10" s="174" t="s">
        <v>86</v>
      </c>
      <c r="F10" s="186" t="s">
        <v>87</v>
      </c>
      <c r="G10" s="172" t="s">
        <v>29</v>
      </c>
      <c r="H10" s="176" t="s">
        <v>50</v>
      </c>
      <c r="I10" s="188">
        <v>199319</v>
      </c>
      <c r="J10" s="188"/>
      <c r="K10" s="177" t="s">
        <v>31</v>
      </c>
      <c r="L10" s="177"/>
      <c r="M10" s="188"/>
      <c r="N10" s="172"/>
      <c r="O10" s="172"/>
      <c r="P10" s="178"/>
      <c r="Q10" s="178"/>
      <c r="R10" s="189" t="s">
        <v>88</v>
      </c>
      <c r="S10" s="189" t="s">
        <v>89</v>
      </c>
      <c r="T10" s="35"/>
      <c r="U10" s="189"/>
      <c r="V10" s="204" t="s">
        <v>90</v>
      </c>
      <c r="W10" s="191" t="s">
        <v>91</v>
      </c>
      <c r="X10" s="176"/>
      <c r="Y10" s="182"/>
      <c r="Z10" s="30"/>
    </row>
    <row r="11" spans="1:217" s="31" customFormat="1" ht="87.65" customHeight="1" thickBot="1" x14ac:dyDescent="0.4">
      <c r="A11" s="340"/>
      <c r="B11" s="344"/>
      <c r="C11" s="185" t="s">
        <v>92</v>
      </c>
      <c r="D11" s="19">
        <v>21463422</v>
      </c>
      <c r="E11" s="174" t="s">
        <v>93</v>
      </c>
      <c r="F11" s="186" t="s">
        <v>94</v>
      </c>
      <c r="G11" s="172" t="s">
        <v>29</v>
      </c>
      <c r="H11" s="176" t="s">
        <v>58</v>
      </c>
      <c r="I11" s="188">
        <v>50000</v>
      </c>
      <c r="J11" s="188"/>
      <c r="K11" s="177" t="s">
        <v>31</v>
      </c>
      <c r="L11" s="177"/>
      <c r="M11" s="177"/>
      <c r="N11" s="172"/>
      <c r="O11" s="172"/>
      <c r="P11" s="178"/>
      <c r="Q11" s="178"/>
      <c r="R11" s="189" t="s">
        <v>95</v>
      </c>
      <c r="S11" s="189" t="s">
        <v>96</v>
      </c>
      <c r="T11" s="27">
        <v>44598</v>
      </c>
      <c r="U11" s="189"/>
      <c r="V11" s="190" t="s">
        <v>97</v>
      </c>
      <c r="W11" s="191"/>
      <c r="X11" s="176" t="s">
        <v>36</v>
      </c>
      <c r="Y11" s="182" t="s">
        <v>37</v>
      </c>
      <c r="Z11" s="30" t="s">
        <v>38</v>
      </c>
    </row>
    <row r="12" spans="1:217" s="31" customFormat="1" ht="87.65" customHeight="1" thickBot="1" x14ac:dyDescent="0.4">
      <c r="A12" s="340"/>
      <c r="B12" s="345" t="s">
        <v>98</v>
      </c>
      <c r="C12" s="205" t="s">
        <v>99</v>
      </c>
      <c r="D12" s="19">
        <v>21463422</v>
      </c>
      <c r="E12" s="206" t="s">
        <v>100</v>
      </c>
      <c r="F12" s="207" t="s">
        <v>101</v>
      </c>
      <c r="G12" s="172" t="s">
        <v>29</v>
      </c>
      <c r="H12" s="176" t="s">
        <v>30</v>
      </c>
      <c r="I12" s="188">
        <v>160000</v>
      </c>
      <c r="J12" s="187"/>
      <c r="K12" s="177" t="s">
        <v>31</v>
      </c>
      <c r="L12" s="177"/>
      <c r="M12" s="177"/>
      <c r="N12" s="172"/>
      <c r="O12" s="172"/>
      <c r="P12" s="178"/>
      <c r="Q12" s="178"/>
      <c r="R12" s="208" t="s">
        <v>102</v>
      </c>
      <c r="S12" s="208"/>
      <c r="T12" s="27">
        <v>44598</v>
      </c>
      <c r="U12" s="208">
        <v>40</v>
      </c>
      <c r="V12" s="209" t="s">
        <v>103</v>
      </c>
      <c r="W12" s="210" t="s">
        <v>104</v>
      </c>
      <c r="X12" s="176" t="s">
        <v>36</v>
      </c>
      <c r="Y12" s="182" t="s">
        <v>37</v>
      </c>
      <c r="Z12" s="30" t="s">
        <v>38</v>
      </c>
    </row>
    <row r="13" spans="1:217" s="31" customFormat="1" ht="87.65" customHeight="1" thickBot="1" x14ac:dyDescent="0.4">
      <c r="A13" s="340"/>
      <c r="B13" s="345"/>
      <c r="C13" s="211" t="s">
        <v>105</v>
      </c>
      <c r="D13" s="19">
        <v>21463422</v>
      </c>
      <c r="E13" s="212" t="s">
        <v>106</v>
      </c>
      <c r="F13" s="213" t="s">
        <v>107</v>
      </c>
      <c r="G13" s="172" t="s">
        <v>29</v>
      </c>
      <c r="H13" s="214" t="s">
        <v>30</v>
      </c>
      <c r="I13" s="215">
        <v>21375</v>
      </c>
      <c r="J13" s="215"/>
      <c r="K13" s="216" t="s">
        <v>31</v>
      </c>
      <c r="L13" s="216"/>
      <c r="M13" s="216"/>
      <c r="N13" s="217"/>
      <c r="O13" s="217"/>
      <c r="P13" s="218"/>
      <c r="Q13" s="218"/>
      <c r="R13" s="219" t="s">
        <v>108</v>
      </c>
      <c r="S13" s="189" t="s">
        <v>109</v>
      </c>
      <c r="T13" s="27">
        <v>44598</v>
      </c>
      <c r="U13" s="219">
        <v>40</v>
      </c>
      <c r="V13" s="220" t="s">
        <v>110</v>
      </c>
      <c r="W13" s="221" t="s">
        <v>104</v>
      </c>
      <c r="X13" s="214" t="s">
        <v>36</v>
      </c>
      <c r="Y13" s="222" t="s">
        <v>37</v>
      </c>
      <c r="Z13" s="30" t="s">
        <v>38</v>
      </c>
    </row>
    <row r="14" spans="1:217" s="31" customFormat="1" ht="93.75" customHeight="1" thickBot="1" x14ac:dyDescent="0.4">
      <c r="A14" s="340"/>
      <c r="B14" s="345"/>
      <c r="C14" s="211" t="s">
        <v>111</v>
      </c>
      <c r="D14" s="19">
        <v>21463422</v>
      </c>
      <c r="E14" s="212" t="s">
        <v>106</v>
      </c>
      <c r="F14" s="213" t="s">
        <v>112</v>
      </c>
      <c r="G14" s="172" t="s">
        <v>29</v>
      </c>
      <c r="H14" s="214" t="s">
        <v>50</v>
      </c>
      <c r="I14" s="215">
        <v>13625</v>
      </c>
      <c r="J14" s="215"/>
      <c r="K14" s="216" t="s">
        <v>31</v>
      </c>
      <c r="L14" s="216"/>
      <c r="M14" s="216"/>
      <c r="N14" s="217"/>
      <c r="O14" s="217"/>
      <c r="P14" s="218"/>
      <c r="Q14" s="218"/>
      <c r="R14" s="219" t="s">
        <v>113</v>
      </c>
      <c r="S14" s="189" t="s">
        <v>114</v>
      </c>
      <c r="T14" s="27">
        <v>44598</v>
      </c>
      <c r="U14" s="219">
        <v>40</v>
      </c>
      <c r="V14" s="220" t="s">
        <v>115</v>
      </c>
      <c r="W14" s="191" t="s">
        <v>91</v>
      </c>
      <c r="X14" s="214" t="s">
        <v>36</v>
      </c>
      <c r="Y14" s="222" t="s">
        <v>37</v>
      </c>
      <c r="Z14" s="30" t="s">
        <v>38</v>
      </c>
    </row>
    <row r="15" spans="1:217" ht="33.75" customHeight="1" x14ac:dyDescent="0.75">
      <c r="B15" s="37"/>
      <c r="C15" s="38" t="s">
        <v>116</v>
      </c>
      <c r="D15" s="39" t="s">
        <v>117</v>
      </c>
      <c r="E15" s="38"/>
      <c r="F15" s="40"/>
      <c r="H15" s="41" t="s">
        <v>118</v>
      </c>
      <c r="I15" s="42">
        <f>SUM(I3:I14)</f>
        <v>8072000</v>
      </c>
      <c r="J15" s="42">
        <f>SUM(J3:J14)</f>
        <v>0</v>
      </c>
      <c r="K15" s="42"/>
      <c r="L15" s="42"/>
      <c r="M15" s="42"/>
      <c r="N15" s="42"/>
      <c r="O15" s="42"/>
      <c r="P15" s="42"/>
      <c r="Q15" s="42"/>
      <c r="R15" s="43"/>
      <c r="S15" s="43"/>
      <c r="T15" s="44"/>
      <c r="U15" s="45"/>
      <c r="X15" s="46"/>
      <c r="Y15" s="47"/>
    </row>
    <row r="16" spans="1:217" ht="33.75" customHeight="1" thickBot="1" x14ac:dyDescent="0.8">
      <c r="B16" s="37"/>
      <c r="C16" s="48"/>
      <c r="D16" s="48"/>
      <c r="E16" s="48"/>
      <c r="F16" s="49"/>
      <c r="G16" s="50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3"/>
      <c r="S16" s="53"/>
      <c r="T16" s="54"/>
      <c r="U16" s="55"/>
      <c r="V16" s="50"/>
      <c r="W16" s="50"/>
      <c r="X16" s="56"/>
      <c r="Y16" s="57"/>
    </row>
    <row r="17" spans="1:25" ht="59.5" thickBot="1" x14ac:dyDescent="0.7">
      <c r="A17" s="58"/>
      <c r="B17" s="59"/>
      <c r="C17" s="60" t="s">
        <v>1</v>
      </c>
      <c r="D17" s="61" t="s">
        <v>2</v>
      </c>
      <c r="E17" s="62" t="s">
        <v>3</v>
      </c>
      <c r="F17" s="63" t="s">
        <v>4</v>
      </c>
      <c r="G17" s="63" t="s">
        <v>5</v>
      </c>
      <c r="H17" s="63" t="s">
        <v>6</v>
      </c>
      <c r="I17" s="60" t="s">
        <v>7</v>
      </c>
      <c r="J17" s="60" t="s">
        <v>8</v>
      </c>
      <c r="K17" s="13" t="s">
        <v>9</v>
      </c>
      <c r="L17" s="13" t="s">
        <v>10</v>
      </c>
      <c r="M17" s="13" t="s">
        <v>11</v>
      </c>
      <c r="N17" s="13" t="s">
        <v>12</v>
      </c>
      <c r="O17" s="13" t="s">
        <v>13</v>
      </c>
      <c r="P17" s="13" t="s">
        <v>14</v>
      </c>
      <c r="Q17" s="64"/>
      <c r="R17" s="65" t="s">
        <v>15</v>
      </c>
      <c r="S17" s="65" t="s">
        <v>16</v>
      </c>
      <c r="T17" s="60" t="s">
        <v>17</v>
      </c>
      <c r="U17" s="60" t="s">
        <v>18</v>
      </c>
      <c r="V17" s="60" t="s">
        <v>19</v>
      </c>
      <c r="W17" s="60" t="s">
        <v>20</v>
      </c>
      <c r="X17" s="60" t="s">
        <v>21</v>
      </c>
      <c r="Y17" s="60" t="s">
        <v>22</v>
      </c>
    </row>
    <row r="18" spans="1:25" ht="88.5" x14ac:dyDescent="0.35">
      <c r="A18" s="335" t="s">
        <v>119</v>
      </c>
      <c r="B18" s="66" t="s">
        <v>120</v>
      </c>
      <c r="C18" s="67" t="s">
        <v>121</v>
      </c>
      <c r="D18" s="67">
        <v>21564422</v>
      </c>
      <c r="E18" s="68" t="s">
        <v>122</v>
      </c>
      <c r="F18" s="69" t="s">
        <v>123</v>
      </c>
      <c r="G18" s="69" t="s">
        <v>29</v>
      </c>
      <c r="H18" s="70" t="s">
        <v>124</v>
      </c>
      <c r="I18" s="71">
        <v>92861</v>
      </c>
      <c r="J18" s="71"/>
      <c r="K18" s="71"/>
      <c r="L18" s="71"/>
      <c r="M18" s="71" t="s">
        <v>31</v>
      </c>
      <c r="N18" s="71"/>
      <c r="O18" s="71"/>
      <c r="P18" s="71"/>
      <c r="Q18" s="71"/>
      <c r="R18" s="72" t="s">
        <v>125</v>
      </c>
      <c r="S18" s="72"/>
      <c r="T18" s="73">
        <v>44240</v>
      </c>
      <c r="U18" s="71"/>
      <c r="V18" s="74" t="s">
        <v>126</v>
      </c>
      <c r="W18" s="72"/>
      <c r="X18" s="70"/>
      <c r="Y18" s="75" t="s">
        <v>37</v>
      </c>
    </row>
    <row r="19" spans="1:25" ht="88.5" x14ac:dyDescent="0.35">
      <c r="A19" s="336"/>
      <c r="B19" s="76" t="s">
        <v>127</v>
      </c>
      <c r="C19" s="77" t="s">
        <v>128</v>
      </c>
      <c r="D19" s="77">
        <v>21546222</v>
      </c>
      <c r="E19" s="78" t="s">
        <v>129</v>
      </c>
      <c r="F19" s="79" t="s">
        <v>123</v>
      </c>
      <c r="G19" s="79" t="s">
        <v>29</v>
      </c>
      <c r="H19" s="80" t="s">
        <v>124</v>
      </c>
      <c r="I19" s="81">
        <v>41677</v>
      </c>
      <c r="J19" s="82"/>
      <c r="K19" s="82"/>
      <c r="L19" s="82" t="s">
        <v>31</v>
      </c>
      <c r="M19" s="82"/>
      <c r="N19" s="82"/>
      <c r="O19" s="82"/>
      <c r="P19" s="83"/>
      <c r="Q19" s="83"/>
      <c r="R19" s="80" t="s">
        <v>130</v>
      </c>
      <c r="S19" s="80"/>
      <c r="T19" s="84">
        <v>44598</v>
      </c>
      <c r="U19" s="82"/>
      <c r="V19" s="85" t="s">
        <v>131</v>
      </c>
      <c r="W19" s="86"/>
      <c r="X19" s="80"/>
      <c r="Y19" s="87" t="s">
        <v>37</v>
      </c>
    </row>
    <row r="20" spans="1:25" ht="118" x14ac:dyDescent="0.35">
      <c r="A20" s="336"/>
      <c r="B20" s="88" t="s">
        <v>132</v>
      </c>
      <c r="C20" s="77" t="s">
        <v>133</v>
      </c>
      <c r="D20" s="77" t="s">
        <v>50</v>
      </c>
      <c r="E20" s="78" t="s">
        <v>134</v>
      </c>
      <c r="F20" s="79" t="s">
        <v>135</v>
      </c>
      <c r="G20" s="79" t="s">
        <v>29</v>
      </c>
      <c r="H20" s="80" t="s">
        <v>124</v>
      </c>
      <c r="I20" s="81">
        <v>99426</v>
      </c>
      <c r="J20" s="82"/>
      <c r="K20" s="82"/>
      <c r="L20" s="82" t="s">
        <v>31</v>
      </c>
      <c r="M20" s="82"/>
      <c r="N20" s="82"/>
      <c r="O20" s="82"/>
      <c r="P20" s="83"/>
      <c r="Q20" s="83"/>
      <c r="R20" s="80" t="s">
        <v>136</v>
      </c>
      <c r="S20" s="80"/>
      <c r="T20" s="84">
        <v>44598</v>
      </c>
      <c r="U20" s="82"/>
      <c r="V20" s="85" t="s">
        <v>137</v>
      </c>
      <c r="W20" s="86"/>
      <c r="X20" s="89"/>
      <c r="Y20" s="90" t="s">
        <v>37</v>
      </c>
    </row>
    <row r="21" spans="1:25" ht="118" x14ac:dyDescent="0.35">
      <c r="A21" s="336"/>
      <c r="B21" s="91" t="s">
        <v>138</v>
      </c>
      <c r="C21" s="77" t="s">
        <v>139</v>
      </c>
      <c r="D21" s="77">
        <v>21486622</v>
      </c>
      <c r="E21" s="78" t="s">
        <v>140</v>
      </c>
      <c r="F21" s="79" t="s">
        <v>135</v>
      </c>
      <c r="G21" s="79" t="s">
        <v>141</v>
      </c>
      <c r="H21" s="80" t="s">
        <v>142</v>
      </c>
      <c r="I21" s="81">
        <v>124780</v>
      </c>
      <c r="J21" s="82"/>
      <c r="K21" s="82"/>
      <c r="L21" s="82"/>
      <c r="M21" s="82" t="s">
        <v>31</v>
      </c>
      <c r="N21" s="82"/>
      <c r="O21" s="82"/>
      <c r="P21" s="83"/>
      <c r="Q21" s="83"/>
      <c r="R21" s="80" t="s">
        <v>143</v>
      </c>
      <c r="S21" s="80"/>
      <c r="T21" s="84">
        <v>44605</v>
      </c>
      <c r="U21" s="82"/>
      <c r="V21" s="85" t="s">
        <v>144</v>
      </c>
      <c r="W21" s="86"/>
      <c r="X21" s="85"/>
      <c r="Y21" s="87" t="s">
        <v>37</v>
      </c>
    </row>
    <row r="22" spans="1:25" ht="118" x14ac:dyDescent="0.35">
      <c r="A22" s="336"/>
      <c r="B22" s="92" t="s">
        <v>145</v>
      </c>
      <c r="C22" s="77" t="s">
        <v>146</v>
      </c>
      <c r="D22" s="77">
        <v>21580122</v>
      </c>
      <c r="E22" s="78" t="s">
        <v>147</v>
      </c>
      <c r="F22" s="79" t="s">
        <v>135</v>
      </c>
      <c r="G22" s="79" t="s">
        <v>141</v>
      </c>
      <c r="H22" s="80" t="s">
        <v>142</v>
      </c>
      <c r="I22" s="81">
        <v>111360</v>
      </c>
      <c r="J22" s="82"/>
      <c r="K22" s="82"/>
      <c r="L22" s="82"/>
      <c r="M22" s="82" t="s">
        <v>31</v>
      </c>
      <c r="N22" s="82"/>
      <c r="O22" s="82"/>
      <c r="P22" s="82"/>
      <c r="Q22" s="82"/>
      <c r="R22" s="80" t="s">
        <v>148</v>
      </c>
      <c r="S22" s="80"/>
      <c r="T22" s="84">
        <v>44605</v>
      </c>
      <c r="U22" s="82"/>
      <c r="V22" s="85" t="s">
        <v>149</v>
      </c>
      <c r="W22" s="86"/>
      <c r="X22" s="80"/>
      <c r="Y22" s="87" t="s">
        <v>37</v>
      </c>
    </row>
    <row r="23" spans="1:25" ht="118" x14ac:dyDescent="0.35">
      <c r="A23" s="336"/>
      <c r="B23" s="93" t="s">
        <v>150</v>
      </c>
      <c r="C23" s="77" t="s">
        <v>151</v>
      </c>
      <c r="D23" s="77">
        <v>21580322</v>
      </c>
      <c r="E23" s="78" t="s">
        <v>152</v>
      </c>
      <c r="F23" s="79" t="s">
        <v>135</v>
      </c>
      <c r="G23" s="79" t="s">
        <v>141</v>
      </c>
      <c r="H23" s="80" t="s">
        <v>142</v>
      </c>
      <c r="I23" s="81">
        <v>115277</v>
      </c>
      <c r="J23" s="82"/>
      <c r="K23" s="82"/>
      <c r="L23" s="82"/>
      <c r="M23" s="82"/>
      <c r="N23" s="82" t="s">
        <v>31</v>
      </c>
      <c r="O23" s="82"/>
      <c r="P23" s="82"/>
      <c r="Q23" s="82"/>
      <c r="R23" s="80" t="s">
        <v>153</v>
      </c>
      <c r="S23" s="80"/>
      <c r="T23" s="84">
        <v>44612</v>
      </c>
      <c r="U23" s="82"/>
      <c r="V23" s="85" t="s">
        <v>154</v>
      </c>
      <c r="W23" s="86"/>
      <c r="X23" s="80"/>
      <c r="Y23" s="87" t="s">
        <v>37</v>
      </c>
    </row>
    <row r="24" spans="1:25" ht="118" x14ac:dyDescent="0.35">
      <c r="A24" s="336"/>
      <c r="B24" s="94" t="s">
        <v>155</v>
      </c>
      <c r="C24" s="77" t="s">
        <v>156</v>
      </c>
      <c r="D24" s="77" t="s">
        <v>50</v>
      </c>
      <c r="E24" s="78" t="s">
        <v>157</v>
      </c>
      <c r="F24" s="79" t="s">
        <v>123</v>
      </c>
      <c r="G24" s="79" t="s">
        <v>29</v>
      </c>
      <c r="H24" s="80" t="s">
        <v>124</v>
      </c>
      <c r="I24" s="81">
        <v>74261</v>
      </c>
      <c r="J24" s="82"/>
      <c r="K24" s="82"/>
      <c r="L24" s="82"/>
      <c r="M24" s="82"/>
      <c r="N24" s="82" t="s">
        <v>31</v>
      </c>
      <c r="O24" s="82"/>
      <c r="P24" s="82"/>
      <c r="Q24" s="82"/>
      <c r="R24" s="80" t="s">
        <v>158</v>
      </c>
      <c r="S24" s="80"/>
      <c r="T24" s="84">
        <v>44612</v>
      </c>
      <c r="U24" s="82"/>
      <c r="V24" s="85" t="s">
        <v>159</v>
      </c>
      <c r="W24" s="86"/>
      <c r="X24" s="80"/>
      <c r="Y24" s="87" t="s">
        <v>37</v>
      </c>
    </row>
    <row r="25" spans="1:25" ht="118.5" thickBot="1" x14ac:dyDescent="0.4">
      <c r="A25" s="336"/>
      <c r="B25" s="338" t="s">
        <v>160</v>
      </c>
      <c r="C25" s="95" t="s">
        <v>161</v>
      </c>
      <c r="D25" s="77" t="s">
        <v>50</v>
      </c>
      <c r="E25" s="78" t="s">
        <v>162</v>
      </c>
      <c r="F25" s="79" t="s">
        <v>123</v>
      </c>
      <c r="G25" s="79" t="s">
        <v>29</v>
      </c>
      <c r="H25" s="80" t="s">
        <v>142</v>
      </c>
      <c r="I25" s="81">
        <v>97973</v>
      </c>
      <c r="J25" s="82"/>
      <c r="K25" s="81"/>
      <c r="L25" s="81" t="s">
        <v>163</v>
      </c>
      <c r="M25" s="82"/>
      <c r="N25" s="82"/>
      <c r="O25" s="82"/>
      <c r="P25" s="82"/>
      <c r="Q25" s="82"/>
      <c r="R25" s="80" t="s">
        <v>164</v>
      </c>
      <c r="S25" s="80"/>
      <c r="T25" s="84">
        <v>44605</v>
      </c>
      <c r="U25" s="82"/>
      <c r="V25" s="85" t="s">
        <v>165</v>
      </c>
      <c r="W25" s="86"/>
      <c r="X25" s="80"/>
      <c r="Y25" s="87" t="s">
        <v>37</v>
      </c>
    </row>
    <row r="26" spans="1:25" ht="118.5" thickBot="1" x14ac:dyDescent="0.4">
      <c r="A26" s="337"/>
      <c r="B26" s="339"/>
      <c r="C26" s="95" t="s">
        <v>166</v>
      </c>
      <c r="D26" s="96" t="s">
        <v>50</v>
      </c>
      <c r="E26" s="97" t="s">
        <v>167</v>
      </c>
      <c r="F26" s="96" t="s">
        <v>123</v>
      </c>
      <c r="G26" s="96" t="s">
        <v>29</v>
      </c>
      <c r="H26" s="98" t="s">
        <v>142</v>
      </c>
      <c r="I26" s="99">
        <v>97973</v>
      </c>
      <c r="J26" s="100"/>
      <c r="K26" s="100"/>
      <c r="L26" s="100"/>
      <c r="M26" s="100"/>
      <c r="N26" s="100"/>
      <c r="O26" s="100" t="s">
        <v>31</v>
      </c>
      <c r="P26" s="100"/>
      <c r="Q26" s="100"/>
      <c r="R26" s="98" t="s">
        <v>168</v>
      </c>
      <c r="S26" s="98"/>
      <c r="T26" s="101">
        <v>44619</v>
      </c>
      <c r="U26" s="100"/>
      <c r="V26" s="102" t="s">
        <v>165</v>
      </c>
      <c r="W26" s="103"/>
      <c r="X26" s="98"/>
      <c r="Y26" s="104" t="s">
        <v>37</v>
      </c>
    </row>
    <row r="27" spans="1:25" ht="29.5" x14ac:dyDescent="0.5">
      <c r="C27" s="106"/>
    </row>
  </sheetData>
  <mergeCells count="7">
    <mergeCell ref="A18:A26"/>
    <mergeCell ref="B25:B26"/>
    <mergeCell ref="A3:A14"/>
    <mergeCell ref="B4:B5"/>
    <mergeCell ref="B6:B7"/>
    <mergeCell ref="B8:B11"/>
    <mergeCell ref="B12:B14"/>
  </mergeCells>
  <printOptions horizontalCentered="1"/>
  <pageMargins left="0" right="0" top="0.25" bottom="0.25" header="0.25" footer="0.3"/>
  <pageSetup scale="1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33EA-7053-4425-8939-5A7979C06AA2}">
  <dimension ref="D4:E13"/>
  <sheetViews>
    <sheetView workbookViewId="0">
      <selection activeCell="L21" sqref="L21"/>
    </sheetView>
  </sheetViews>
  <sheetFormatPr defaultRowHeight="14.5" x14ac:dyDescent="0.35"/>
  <cols>
    <col min="4" max="4" width="26.81640625" customWidth="1"/>
    <col min="5" max="5" width="13.7265625" bestFit="1" customWidth="1"/>
    <col min="8" max="8" width="16.1796875" customWidth="1"/>
  </cols>
  <sheetData>
    <row r="4" spans="4:5" x14ac:dyDescent="0.35">
      <c r="D4" t="s">
        <v>169</v>
      </c>
      <c r="E4" t="s">
        <v>170</v>
      </c>
    </row>
    <row r="5" spans="4:5" x14ac:dyDescent="0.35">
      <c r="D5" t="s">
        <v>171</v>
      </c>
      <c r="E5" s="120">
        <v>500000</v>
      </c>
    </row>
    <row r="6" spans="4:5" x14ac:dyDescent="0.35">
      <c r="D6" t="s">
        <v>172</v>
      </c>
      <c r="E6" s="120">
        <v>1000000</v>
      </c>
    </row>
    <row r="7" spans="4:5" x14ac:dyDescent="0.35">
      <c r="D7" t="s">
        <v>173</v>
      </c>
      <c r="E7" s="120">
        <v>1100000</v>
      </c>
    </row>
    <row r="8" spans="4:5" x14ac:dyDescent="0.35">
      <c r="D8" t="s">
        <v>174</v>
      </c>
      <c r="E8" s="120">
        <v>1600000</v>
      </c>
    </row>
    <row r="9" spans="4:5" x14ac:dyDescent="0.35">
      <c r="D9" t="s">
        <v>175</v>
      </c>
      <c r="E9" s="120">
        <v>1500000</v>
      </c>
    </row>
    <row r="10" spans="4:5" x14ac:dyDescent="0.35">
      <c r="D10" t="s">
        <v>176</v>
      </c>
      <c r="E10" s="120">
        <v>1000000</v>
      </c>
    </row>
    <row r="11" spans="4:5" x14ac:dyDescent="0.35">
      <c r="D11" s="121" t="s">
        <v>118</v>
      </c>
      <c r="E11" s="122">
        <f>SUM(E5:E10)</f>
        <v>6700000</v>
      </c>
    </row>
    <row r="12" spans="4:5" x14ac:dyDescent="0.35">
      <c r="E12" s="119"/>
    </row>
    <row r="13" spans="4:5" x14ac:dyDescent="0.35">
      <c r="E13" s="1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B324-E798-42F2-B714-489FC9ED3B36}">
  <dimension ref="A1:HQ75"/>
  <sheetViews>
    <sheetView zoomScale="40" zoomScaleNormal="40" workbookViewId="0">
      <pane xSplit="3" ySplit="3" topLeftCell="D5" activePane="bottomRight" state="frozen"/>
      <selection pane="topRight" activeCell="D1" sqref="D1"/>
      <selection pane="bottomLeft" activeCell="A4" sqref="A4"/>
      <selection pane="bottomRight" activeCell="H6" sqref="H6"/>
    </sheetView>
  </sheetViews>
  <sheetFormatPr defaultColWidth="9.1796875" defaultRowHeight="14.5" x14ac:dyDescent="0.35"/>
  <cols>
    <col min="2" max="2" width="33.453125" customWidth="1"/>
    <col min="3" max="3" width="39.1796875" customWidth="1"/>
    <col min="4" max="4" width="54.453125" customWidth="1"/>
    <col min="5" max="5" width="28.54296875" customWidth="1"/>
    <col min="6" max="6" width="55.1796875" customWidth="1"/>
    <col min="7" max="7" width="79" style="110" customWidth="1"/>
    <col min="8" max="8" width="85.81640625" customWidth="1"/>
    <col min="9" max="9" width="60.1796875" customWidth="1"/>
    <col min="10" max="10" width="65.453125" customWidth="1"/>
    <col min="11" max="11" width="121.1796875" customWidth="1"/>
    <col min="12" max="12" width="48" customWidth="1"/>
    <col min="13" max="13" width="29.81640625" customWidth="1"/>
    <col min="14" max="14" width="27.453125" customWidth="1"/>
    <col min="15" max="15" width="38" customWidth="1"/>
    <col min="16" max="16" width="86.81640625" customWidth="1"/>
    <col min="17" max="17" width="163.81640625" customWidth="1"/>
    <col min="18" max="18" width="66.453125" customWidth="1"/>
    <col min="19" max="19" width="110.81640625" customWidth="1"/>
    <col min="20" max="21" width="44.54296875" customWidth="1"/>
    <col min="22" max="30" width="40.54296875" customWidth="1"/>
    <col min="31" max="31" width="25.54296875" customWidth="1"/>
    <col min="32" max="32" width="21.81640625" customWidth="1"/>
    <col min="33" max="33" width="22.54296875" customWidth="1"/>
    <col min="34" max="34" width="20" customWidth="1"/>
  </cols>
  <sheetData>
    <row r="1" spans="1:225" ht="30" customHeight="1" x14ac:dyDescent="0.6">
      <c r="B1" s="132" t="s">
        <v>177</v>
      </c>
    </row>
    <row r="2" spans="1:225" ht="105" customHeight="1" x14ac:dyDescent="0.65">
      <c r="A2" s="123"/>
      <c r="B2" s="124"/>
      <c r="C2" s="125"/>
      <c r="D2" s="126"/>
      <c r="E2" s="127"/>
      <c r="F2" s="127"/>
      <c r="G2" s="128"/>
      <c r="H2" s="127"/>
      <c r="I2" s="127"/>
      <c r="J2" s="127"/>
      <c r="K2" s="354" t="s">
        <v>178</v>
      </c>
      <c r="L2" s="354"/>
      <c r="M2" s="354"/>
      <c r="N2" s="354"/>
      <c r="O2" s="354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9"/>
      <c r="AD2" s="129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127"/>
      <c r="EV2" s="127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  <c r="GC2" s="127"/>
      <c r="GD2" s="127"/>
      <c r="GE2" s="127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7"/>
      <c r="HB2" s="127"/>
      <c r="HC2" s="127"/>
      <c r="HD2" s="127"/>
      <c r="HE2" s="127"/>
      <c r="HF2" s="127"/>
      <c r="HG2" s="127"/>
      <c r="HH2" s="127"/>
      <c r="HI2" s="127"/>
      <c r="HJ2" s="127"/>
      <c r="HK2" s="127"/>
      <c r="HL2" s="127"/>
      <c r="HM2" s="127"/>
      <c r="HN2" s="127"/>
      <c r="HO2" s="127"/>
      <c r="HP2" s="127"/>
      <c r="HQ2" s="127"/>
    </row>
    <row r="3" spans="1:225" ht="101.5" customHeight="1" x14ac:dyDescent="0.35">
      <c r="A3" s="125" t="s">
        <v>179</v>
      </c>
      <c r="B3" s="130"/>
      <c r="C3" s="223" t="s">
        <v>1</v>
      </c>
      <c r="D3" s="223" t="s">
        <v>2</v>
      </c>
      <c r="E3" s="224" t="s">
        <v>180</v>
      </c>
      <c r="F3" s="224" t="s">
        <v>181</v>
      </c>
      <c r="G3" s="224" t="s">
        <v>182</v>
      </c>
      <c r="H3" s="224" t="s">
        <v>183</v>
      </c>
      <c r="I3" s="224" t="s">
        <v>184</v>
      </c>
      <c r="J3" s="224" t="s">
        <v>185</v>
      </c>
      <c r="K3" s="225" t="s">
        <v>186</v>
      </c>
      <c r="L3" s="225" t="s">
        <v>187</v>
      </c>
      <c r="M3" s="225" t="s">
        <v>188</v>
      </c>
      <c r="N3" s="225" t="s">
        <v>189</v>
      </c>
      <c r="O3" s="225" t="s">
        <v>190</v>
      </c>
      <c r="P3" s="226" t="s">
        <v>3</v>
      </c>
      <c r="Q3" s="226" t="s">
        <v>4</v>
      </c>
      <c r="R3" s="226" t="s">
        <v>5</v>
      </c>
      <c r="S3" s="226" t="s">
        <v>6</v>
      </c>
      <c r="T3" s="223" t="s">
        <v>7</v>
      </c>
      <c r="U3" s="223" t="s">
        <v>8</v>
      </c>
      <c r="V3" s="223" t="s">
        <v>191</v>
      </c>
      <c r="W3" s="223" t="s">
        <v>192</v>
      </c>
      <c r="X3" s="223" t="s">
        <v>193</v>
      </c>
      <c r="Y3" s="223" t="s">
        <v>194</v>
      </c>
      <c r="Z3" s="223" t="s">
        <v>195</v>
      </c>
      <c r="AA3" s="223" t="s">
        <v>14</v>
      </c>
      <c r="AB3" s="223" t="s">
        <v>15</v>
      </c>
      <c r="AC3" s="227" t="s">
        <v>16</v>
      </c>
      <c r="AD3" s="223" t="s">
        <v>17</v>
      </c>
      <c r="AE3" s="223" t="s">
        <v>18</v>
      </c>
      <c r="AF3" s="223" t="s">
        <v>19</v>
      </c>
      <c r="AG3" s="223" t="s">
        <v>21</v>
      </c>
      <c r="AH3" s="223" t="s">
        <v>22</v>
      </c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  <c r="CT3" s="127"/>
      <c r="CU3" s="127"/>
      <c r="CV3" s="127"/>
      <c r="CW3" s="127"/>
      <c r="CX3" s="127"/>
      <c r="CY3" s="127"/>
      <c r="CZ3" s="127"/>
      <c r="DA3" s="127"/>
      <c r="DB3" s="127"/>
      <c r="DC3" s="127"/>
      <c r="DD3" s="127"/>
      <c r="DE3" s="127"/>
      <c r="DF3" s="127"/>
      <c r="DG3" s="127"/>
      <c r="DH3" s="127"/>
      <c r="DI3" s="127"/>
      <c r="DJ3" s="127"/>
      <c r="DK3" s="127"/>
      <c r="DL3" s="127"/>
      <c r="DM3" s="127"/>
      <c r="DN3" s="127"/>
      <c r="DO3" s="127"/>
      <c r="DP3" s="127"/>
      <c r="DQ3" s="127"/>
      <c r="DR3" s="127"/>
      <c r="DS3" s="127"/>
      <c r="DT3" s="127"/>
      <c r="DU3" s="127"/>
      <c r="DV3" s="127"/>
      <c r="DW3" s="127"/>
      <c r="DX3" s="127"/>
      <c r="DY3" s="127"/>
      <c r="DZ3" s="127"/>
      <c r="EA3" s="127"/>
      <c r="EB3" s="127"/>
      <c r="EC3" s="127"/>
      <c r="ED3" s="127"/>
      <c r="EE3" s="127"/>
      <c r="EF3" s="127"/>
      <c r="EG3" s="127"/>
      <c r="EH3" s="127"/>
      <c r="EI3" s="127"/>
      <c r="EJ3" s="127"/>
      <c r="EK3" s="127"/>
      <c r="EL3" s="127"/>
      <c r="EM3" s="127"/>
      <c r="EN3" s="127"/>
      <c r="EO3" s="127"/>
      <c r="EP3" s="127"/>
      <c r="EQ3" s="127"/>
      <c r="ER3" s="127"/>
      <c r="ES3" s="127"/>
      <c r="ET3" s="127"/>
      <c r="EU3" s="127"/>
      <c r="EV3" s="127"/>
      <c r="EW3" s="127"/>
      <c r="EX3" s="127"/>
      <c r="EY3" s="127"/>
      <c r="EZ3" s="127"/>
      <c r="FA3" s="127"/>
      <c r="FB3" s="127"/>
      <c r="FC3" s="127"/>
      <c r="FD3" s="127"/>
      <c r="FE3" s="127"/>
      <c r="FF3" s="127"/>
      <c r="FG3" s="127"/>
      <c r="FH3" s="127"/>
      <c r="FI3" s="127"/>
      <c r="FJ3" s="127"/>
      <c r="FK3" s="127"/>
      <c r="FL3" s="127"/>
      <c r="FM3" s="127"/>
      <c r="FN3" s="127"/>
      <c r="FO3" s="127"/>
      <c r="FP3" s="127"/>
      <c r="FQ3" s="127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  <c r="GC3" s="127"/>
      <c r="GD3" s="127"/>
      <c r="GE3" s="127"/>
      <c r="GF3" s="127"/>
      <c r="GG3" s="127"/>
      <c r="GH3" s="127"/>
      <c r="GI3" s="127"/>
      <c r="GJ3" s="127"/>
      <c r="GK3" s="127"/>
      <c r="GL3" s="127"/>
      <c r="GM3" s="127"/>
      <c r="GN3" s="127"/>
      <c r="GO3" s="127"/>
      <c r="GP3" s="127"/>
      <c r="GQ3" s="127"/>
      <c r="GR3" s="127"/>
      <c r="GS3" s="127"/>
      <c r="GT3" s="127"/>
      <c r="GU3" s="127"/>
      <c r="GV3" s="127"/>
      <c r="GW3" s="127"/>
      <c r="GX3" s="127"/>
      <c r="GY3" s="127"/>
      <c r="GZ3" s="127"/>
      <c r="HA3" s="127"/>
      <c r="HB3" s="127"/>
      <c r="HC3" s="127"/>
      <c r="HD3" s="127"/>
      <c r="HE3" s="127"/>
      <c r="HF3" s="127"/>
      <c r="HG3" s="127"/>
      <c r="HH3" s="127"/>
      <c r="HI3" s="127"/>
      <c r="HJ3" s="127"/>
      <c r="HK3" s="127"/>
      <c r="HL3" s="127"/>
      <c r="HM3" s="127"/>
      <c r="HN3" s="127"/>
      <c r="HO3" s="127"/>
      <c r="HP3" s="127"/>
      <c r="HQ3" s="127"/>
    </row>
    <row r="4" spans="1:225" ht="101.5" customHeight="1" thickBot="1" x14ac:dyDescent="0.4">
      <c r="A4" s="125"/>
      <c r="B4" s="130"/>
      <c r="C4" s="223"/>
      <c r="D4" s="223"/>
      <c r="E4" s="224"/>
      <c r="F4" s="224"/>
      <c r="G4" s="224"/>
      <c r="H4" s="224"/>
      <c r="I4" s="224"/>
      <c r="J4" s="224"/>
      <c r="K4" s="225"/>
      <c r="L4" s="225"/>
      <c r="M4" s="225"/>
      <c r="N4" s="225"/>
      <c r="O4" s="225"/>
      <c r="P4" s="226"/>
      <c r="Q4" s="226"/>
      <c r="R4" s="226"/>
      <c r="S4" s="226"/>
      <c r="T4" s="223"/>
      <c r="U4" s="223"/>
      <c r="V4" s="223"/>
      <c r="W4" s="223"/>
      <c r="X4" s="223"/>
      <c r="Y4" s="223"/>
      <c r="Z4" s="223"/>
      <c r="AA4" s="223"/>
      <c r="AB4" s="223"/>
      <c r="AC4" s="227"/>
      <c r="AD4" s="223"/>
      <c r="AE4" s="223"/>
      <c r="AF4" s="223"/>
      <c r="AG4" s="223"/>
      <c r="AH4" s="223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7"/>
      <c r="FQ4" s="127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  <c r="GC4" s="127"/>
      <c r="GD4" s="127"/>
      <c r="GE4" s="127"/>
      <c r="GF4" s="127"/>
      <c r="GG4" s="127"/>
      <c r="GH4" s="127"/>
      <c r="GI4" s="127"/>
      <c r="GJ4" s="127"/>
      <c r="GK4" s="127"/>
      <c r="GL4" s="127"/>
      <c r="GM4" s="127"/>
      <c r="GN4" s="127"/>
      <c r="GO4" s="127"/>
      <c r="GP4" s="127"/>
      <c r="GQ4" s="127"/>
      <c r="GR4" s="127"/>
      <c r="GS4" s="127"/>
      <c r="GT4" s="127"/>
      <c r="GU4" s="127"/>
      <c r="GV4" s="127"/>
      <c r="GW4" s="127"/>
      <c r="GX4" s="127"/>
      <c r="GY4" s="127"/>
      <c r="GZ4" s="127"/>
      <c r="HA4" s="127"/>
      <c r="HB4" s="127"/>
      <c r="HC4" s="127"/>
      <c r="HD4" s="127"/>
      <c r="HE4" s="127"/>
      <c r="HF4" s="127"/>
      <c r="HG4" s="127"/>
      <c r="HH4" s="127"/>
      <c r="HI4" s="127"/>
      <c r="HJ4" s="127"/>
      <c r="HK4" s="127"/>
      <c r="HL4" s="127"/>
      <c r="HM4" s="127"/>
      <c r="HN4" s="127"/>
      <c r="HO4" s="127"/>
      <c r="HP4" s="127"/>
      <c r="HQ4" s="127"/>
    </row>
    <row r="5" spans="1:225" ht="306" customHeight="1" x14ac:dyDescent="0.35">
      <c r="A5" s="355" t="s">
        <v>24</v>
      </c>
      <c r="B5" s="357" t="s">
        <v>196</v>
      </c>
      <c r="C5" s="228" t="s">
        <v>26</v>
      </c>
      <c r="D5" s="229">
        <v>21416323</v>
      </c>
      <c r="E5" s="230" t="s">
        <v>197</v>
      </c>
      <c r="F5" s="231" t="s">
        <v>198</v>
      </c>
      <c r="G5" s="231" t="s">
        <v>199</v>
      </c>
      <c r="H5" s="230"/>
      <c r="I5" s="230"/>
      <c r="J5" s="231" t="s">
        <v>200</v>
      </c>
      <c r="K5" s="232" t="s">
        <v>201</v>
      </c>
      <c r="L5" s="230"/>
      <c r="M5" s="230" t="s">
        <v>202</v>
      </c>
      <c r="N5" s="230"/>
      <c r="O5" s="230"/>
      <c r="P5" s="233"/>
      <c r="Q5" s="234" t="s">
        <v>203</v>
      </c>
      <c r="R5" s="235" t="s">
        <v>204</v>
      </c>
      <c r="S5" s="236" t="s">
        <v>205</v>
      </c>
      <c r="T5" s="237">
        <v>500000</v>
      </c>
      <c r="U5" s="238"/>
      <c r="V5" s="230" t="s">
        <v>31</v>
      </c>
      <c r="W5" s="230"/>
      <c r="X5" s="230"/>
      <c r="Y5" s="230"/>
      <c r="Z5" s="230"/>
      <c r="AA5" s="230"/>
      <c r="AB5" s="239" t="s">
        <v>206</v>
      </c>
      <c r="AC5" s="239" t="s">
        <v>207</v>
      </c>
      <c r="AD5" s="240">
        <v>44934</v>
      </c>
      <c r="AE5" s="241">
        <v>40</v>
      </c>
      <c r="AF5" s="230"/>
      <c r="AG5" s="236" t="s">
        <v>36</v>
      </c>
      <c r="AH5" s="230" t="s">
        <v>37</v>
      </c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  <c r="DO5" s="127"/>
      <c r="DP5" s="127"/>
      <c r="DQ5" s="127"/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7"/>
      <c r="EK5" s="127"/>
      <c r="EL5" s="127"/>
      <c r="EM5" s="127"/>
      <c r="EN5" s="127"/>
      <c r="EO5" s="127"/>
      <c r="EP5" s="127"/>
      <c r="EQ5" s="127"/>
      <c r="ER5" s="127"/>
      <c r="ES5" s="127"/>
      <c r="ET5" s="127"/>
      <c r="EU5" s="127"/>
      <c r="EV5" s="127"/>
      <c r="EW5" s="127"/>
      <c r="EX5" s="127"/>
      <c r="EY5" s="127"/>
      <c r="EZ5" s="127"/>
      <c r="FA5" s="127"/>
      <c r="FB5" s="127"/>
      <c r="FC5" s="127"/>
      <c r="FD5" s="127"/>
      <c r="FE5" s="127"/>
      <c r="FF5" s="127"/>
      <c r="FG5" s="127"/>
      <c r="FH5" s="127"/>
      <c r="FI5" s="127"/>
      <c r="FJ5" s="127"/>
      <c r="FK5" s="127"/>
      <c r="FL5" s="127"/>
      <c r="FM5" s="127"/>
      <c r="FN5" s="127"/>
      <c r="FO5" s="127"/>
      <c r="FP5" s="127"/>
      <c r="FQ5" s="127"/>
      <c r="FR5" s="127"/>
      <c r="FS5" s="127"/>
      <c r="FT5" s="127"/>
      <c r="FU5" s="127"/>
      <c r="FV5" s="127"/>
      <c r="FW5" s="127"/>
      <c r="FX5" s="127"/>
      <c r="FY5" s="127"/>
      <c r="FZ5" s="127"/>
      <c r="GA5" s="127"/>
      <c r="GB5" s="127"/>
      <c r="GC5" s="127"/>
      <c r="GD5" s="127"/>
      <c r="GE5" s="127"/>
      <c r="GF5" s="127"/>
      <c r="GG5" s="127"/>
      <c r="GH5" s="127"/>
      <c r="GI5" s="127"/>
      <c r="GJ5" s="127"/>
      <c r="GK5" s="127"/>
      <c r="GL5" s="127"/>
      <c r="GM5" s="127"/>
      <c r="GN5" s="127"/>
      <c r="GO5" s="127"/>
      <c r="GP5" s="127"/>
      <c r="GQ5" s="127"/>
      <c r="GR5" s="127"/>
      <c r="GS5" s="127"/>
      <c r="GT5" s="127"/>
      <c r="GU5" s="127"/>
      <c r="GV5" s="127"/>
      <c r="GW5" s="127"/>
      <c r="GX5" s="127"/>
      <c r="GY5" s="127"/>
      <c r="GZ5" s="127"/>
      <c r="HA5" s="127"/>
      <c r="HB5" s="127"/>
      <c r="HC5" s="127"/>
      <c r="HD5" s="127"/>
      <c r="HE5" s="127"/>
      <c r="HF5" s="127"/>
      <c r="HG5" s="127"/>
      <c r="HH5" s="127"/>
      <c r="HI5" s="127"/>
      <c r="HJ5" s="127"/>
      <c r="HK5" s="127"/>
      <c r="HL5" s="127"/>
      <c r="HM5" s="127"/>
      <c r="HN5" s="127"/>
      <c r="HO5" s="127"/>
      <c r="HP5" s="127"/>
      <c r="HQ5" s="127"/>
    </row>
    <row r="6" spans="1:225" ht="306" customHeight="1" x14ac:dyDescent="0.35">
      <c r="A6" s="356"/>
      <c r="B6" s="358"/>
      <c r="C6" s="228" t="s">
        <v>40</v>
      </c>
      <c r="D6" s="229">
        <v>21416323</v>
      </c>
      <c r="E6" s="230" t="s">
        <v>197</v>
      </c>
      <c r="F6" s="231" t="s">
        <v>198</v>
      </c>
      <c r="G6" s="231" t="s">
        <v>199</v>
      </c>
      <c r="H6" s="230"/>
      <c r="I6" s="230"/>
      <c r="J6" s="231" t="s">
        <v>200</v>
      </c>
      <c r="K6" s="232" t="s">
        <v>208</v>
      </c>
      <c r="L6" s="230"/>
      <c r="M6" s="230" t="s">
        <v>202</v>
      </c>
      <c r="N6" s="230"/>
      <c r="O6" s="230"/>
      <c r="P6" s="233"/>
      <c r="Q6" s="234" t="s">
        <v>209</v>
      </c>
      <c r="R6" s="235" t="s">
        <v>204</v>
      </c>
      <c r="S6" s="236" t="s">
        <v>205</v>
      </c>
      <c r="T6" s="237">
        <v>500000</v>
      </c>
      <c r="U6" s="238"/>
      <c r="V6" s="230" t="s">
        <v>31</v>
      </c>
      <c r="W6" s="230"/>
      <c r="X6" s="230"/>
      <c r="Y6" s="230"/>
      <c r="Z6" s="230"/>
      <c r="AA6" s="230"/>
      <c r="AB6" s="239" t="s">
        <v>210</v>
      </c>
      <c r="AC6" s="239" t="s">
        <v>211</v>
      </c>
      <c r="AD6" s="240">
        <v>44948</v>
      </c>
      <c r="AE6" s="241">
        <v>40</v>
      </c>
      <c r="AF6" s="230"/>
      <c r="AG6" s="236" t="s">
        <v>36</v>
      </c>
      <c r="AH6" s="230" t="s">
        <v>37</v>
      </c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  <c r="DO6" s="127"/>
      <c r="DP6" s="127"/>
      <c r="DQ6" s="127"/>
      <c r="DR6" s="127"/>
      <c r="DS6" s="127"/>
      <c r="DT6" s="127"/>
      <c r="DU6" s="127"/>
      <c r="DV6" s="127"/>
      <c r="DW6" s="127"/>
      <c r="DX6" s="127"/>
      <c r="DY6" s="127"/>
      <c r="DZ6" s="127"/>
      <c r="EA6" s="127"/>
      <c r="EB6" s="127"/>
      <c r="EC6" s="127"/>
      <c r="ED6" s="127"/>
      <c r="EE6" s="127"/>
      <c r="EF6" s="127"/>
      <c r="EG6" s="127"/>
      <c r="EH6" s="127"/>
      <c r="EI6" s="127"/>
      <c r="EJ6" s="127"/>
      <c r="EK6" s="127"/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7"/>
      <c r="FC6" s="127"/>
      <c r="FD6" s="127"/>
      <c r="FE6" s="127"/>
      <c r="FF6" s="127"/>
      <c r="FG6" s="127"/>
      <c r="FH6" s="127"/>
      <c r="FI6" s="127"/>
      <c r="FJ6" s="127"/>
      <c r="FK6" s="127"/>
      <c r="FL6" s="127"/>
      <c r="FM6" s="127"/>
      <c r="FN6" s="127"/>
      <c r="FO6" s="127"/>
      <c r="FP6" s="127"/>
      <c r="FQ6" s="127"/>
      <c r="FR6" s="127"/>
      <c r="FS6" s="127"/>
      <c r="FT6" s="127"/>
      <c r="FU6" s="127"/>
      <c r="FV6" s="127"/>
      <c r="FW6" s="127"/>
      <c r="FX6" s="127"/>
      <c r="FY6" s="127"/>
      <c r="FZ6" s="127"/>
      <c r="GA6" s="127"/>
      <c r="GB6" s="127"/>
      <c r="GC6" s="127"/>
      <c r="GD6" s="127"/>
      <c r="GE6" s="127"/>
      <c r="GF6" s="127"/>
      <c r="GG6" s="127"/>
      <c r="GH6" s="127"/>
      <c r="GI6" s="127"/>
      <c r="GJ6" s="127"/>
      <c r="GK6" s="127"/>
      <c r="GL6" s="127"/>
      <c r="GM6" s="127"/>
      <c r="GN6" s="127"/>
      <c r="GO6" s="127"/>
      <c r="GP6" s="127"/>
      <c r="GQ6" s="127"/>
      <c r="GR6" s="127"/>
      <c r="GS6" s="127"/>
      <c r="GT6" s="127"/>
      <c r="GU6" s="127"/>
      <c r="GV6" s="127"/>
      <c r="GW6" s="127"/>
      <c r="GX6" s="127"/>
      <c r="GY6" s="127"/>
      <c r="GZ6" s="127"/>
      <c r="HA6" s="127"/>
      <c r="HB6" s="127"/>
      <c r="HC6" s="127"/>
      <c r="HD6" s="127"/>
      <c r="HE6" s="127"/>
      <c r="HF6" s="127"/>
      <c r="HG6" s="127"/>
      <c r="HH6" s="127"/>
      <c r="HI6" s="127"/>
      <c r="HJ6" s="127"/>
      <c r="HK6" s="127"/>
      <c r="HL6" s="127"/>
      <c r="HM6" s="127"/>
      <c r="HN6" s="127"/>
      <c r="HO6" s="127"/>
      <c r="HP6" s="127"/>
      <c r="HQ6" s="127"/>
    </row>
    <row r="7" spans="1:225" ht="306" customHeight="1" x14ac:dyDescent="0.35">
      <c r="A7" s="356"/>
      <c r="B7" s="358"/>
      <c r="C7" s="228" t="s">
        <v>47</v>
      </c>
      <c r="D7" s="229">
        <v>21416323</v>
      </c>
      <c r="E7" s="230" t="s">
        <v>197</v>
      </c>
      <c r="F7" s="231" t="s">
        <v>212</v>
      </c>
      <c r="G7" s="231" t="s">
        <v>199</v>
      </c>
      <c r="H7" s="230" t="s">
        <v>213</v>
      </c>
      <c r="I7" s="230"/>
      <c r="J7" s="231" t="s">
        <v>214</v>
      </c>
      <c r="K7" s="242" t="s">
        <v>215</v>
      </c>
      <c r="L7" s="230" t="s">
        <v>187</v>
      </c>
      <c r="M7" s="230" t="s">
        <v>216</v>
      </c>
      <c r="N7" s="230"/>
      <c r="O7" s="230"/>
      <c r="P7" s="228" t="s">
        <v>217</v>
      </c>
      <c r="Q7" s="234" t="s">
        <v>218</v>
      </c>
      <c r="R7" s="235" t="s">
        <v>204</v>
      </c>
      <c r="S7" s="236" t="s">
        <v>205</v>
      </c>
      <c r="T7" s="237">
        <v>4730647</v>
      </c>
      <c r="U7" s="238"/>
      <c r="V7" s="230" t="s">
        <v>31</v>
      </c>
      <c r="W7" s="230"/>
      <c r="X7" s="230"/>
      <c r="Y7" s="230"/>
      <c r="Z7" s="230"/>
      <c r="AA7" s="230"/>
      <c r="AB7" s="239" t="s">
        <v>219</v>
      </c>
      <c r="AC7" s="239" t="s">
        <v>220</v>
      </c>
      <c r="AD7" s="240">
        <v>44934</v>
      </c>
      <c r="AE7" s="241">
        <v>40</v>
      </c>
      <c r="AF7" s="230"/>
      <c r="AG7" s="236" t="s">
        <v>36</v>
      </c>
      <c r="AH7" s="230" t="s">
        <v>37</v>
      </c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  <c r="DO7" s="127"/>
      <c r="DP7" s="127"/>
      <c r="DQ7" s="127"/>
      <c r="DR7" s="127"/>
      <c r="DS7" s="127"/>
      <c r="DT7" s="127"/>
      <c r="DU7" s="127"/>
      <c r="DV7" s="127"/>
      <c r="DW7" s="127"/>
      <c r="DX7" s="127"/>
      <c r="DY7" s="127"/>
      <c r="DZ7" s="127"/>
      <c r="EA7" s="127"/>
      <c r="EB7" s="127"/>
      <c r="EC7" s="127"/>
      <c r="ED7" s="127"/>
      <c r="EE7" s="127"/>
      <c r="EF7" s="127"/>
      <c r="EG7" s="127"/>
      <c r="EH7" s="127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7"/>
      <c r="FJ7" s="127"/>
      <c r="FK7" s="127"/>
      <c r="FL7" s="127"/>
      <c r="FM7" s="127"/>
      <c r="FN7" s="127"/>
      <c r="FO7" s="127"/>
      <c r="FP7" s="127"/>
      <c r="FQ7" s="127"/>
      <c r="FR7" s="127"/>
      <c r="FS7" s="127"/>
      <c r="FT7" s="127"/>
      <c r="FU7" s="127"/>
      <c r="FV7" s="127"/>
      <c r="FW7" s="127"/>
      <c r="FX7" s="127"/>
      <c r="FY7" s="127"/>
      <c r="FZ7" s="127"/>
      <c r="GA7" s="127"/>
      <c r="GB7" s="127"/>
      <c r="GC7" s="127"/>
      <c r="GD7" s="127"/>
      <c r="GE7" s="127"/>
      <c r="GF7" s="127"/>
      <c r="GG7" s="127"/>
      <c r="GH7" s="127"/>
      <c r="GI7" s="127"/>
      <c r="GJ7" s="127"/>
      <c r="GK7" s="127"/>
      <c r="GL7" s="127"/>
      <c r="GM7" s="127"/>
      <c r="GN7" s="127"/>
      <c r="GO7" s="127"/>
      <c r="GP7" s="127"/>
      <c r="GQ7" s="127"/>
      <c r="GR7" s="127"/>
      <c r="GS7" s="127"/>
      <c r="GT7" s="127"/>
      <c r="GU7" s="127"/>
      <c r="GV7" s="127"/>
      <c r="GW7" s="127"/>
      <c r="GX7" s="127"/>
      <c r="GY7" s="127"/>
      <c r="GZ7" s="127"/>
      <c r="HA7" s="127"/>
      <c r="HB7" s="127"/>
      <c r="HC7" s="127"/>
      <c r="HD7" s="127"/>
      <c r="HE7" s="127"/>
      <c r="HF7" s="127"/>
      <c r="HG7" s="127"/>
      <c r="HH7" s="127"/>
      <c r="HI7" s="127"/>
      <c r="HJ7" s="127"/>
      <c r="HK7" s="127"/>
      <c r="HL7" s="127"/>
      <c r="HM7" s="127"/>
      <c r="HN7" s="127"/>
      <c r="HO7" s="127"/>
      <c r="HP7" s="127"/>
      <c r="HQ7" s="127"/>
    </row>
    <row r="8" spans="1:225" ht="357.65" customHeight="1" x14ac:dyDescent="0.35">
      <c r="A8" s="356"/>
      <c r="B8" s="133"/>
      <c r="C8" s="243" t="s">
        <v>221</v>
      </c>
      <c r="D8" s="359" t="s">
        <v>222</v>
      </c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360"/>
      <c r="T8" s="360"/>
      <c r="U8" s="360"/>
      <c r="V8" s="360"/>
      <c r="W8" s="360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1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  <c r="DO8" s="127"/>
      <c r="DP8" s="127"/>
      <c r="DQ8" s="127"/>
      <c r="DR8" s="127"/>
      <c r="DS8" s="127"/>
      <c r="DT8" s="127"/>
      <c r="DU8" s="127"/>
      <c r="DV8" s="127"/>
      <c r="DW8" s="127"/>
      <c r="DX8" s="127"/>
      <c r="DY8" s="127"/>
      <c r="DZ8" s="127"/>
      <c r="EA8" s="127"/>
      <c r="EB8" s="127"/>
      <c r="EC8" s="127"/>
      <c r="ED8" s="127"/>
      <c r="EE8" s="127"/>
      <c r="EF8" s="127"/>
      <c r="EG8" s="127"/>
      <c r="EH8" s="127"/>
      <c r="EI8" s="127"/>
      <c r="EJ8" s="127"/>
      <c r="EK8" s="127"/>
      <c r="EL8" s="127"/>
      <c r="EM8" s="127"/>
      <c r="EN8" s="127"/>
      <c r="EO8" s="127"/>
      <c r="EP8" s="127"/>
      <c r="EQ8" s="127"/>
      <c r="ER8" s="127"/>
      <c r="ES8" s="127"/>
      <c r="ET8" s="127"/>
      <c r="EU8" s="127"/>
      <c r="EV8" s="127"/>
      <c r="EW8" s="127"/>
      <c r="EX8" s="127"/>
      <c r="EY8" s="127"/>
      <c r="EZ8" s="127"/>
      <c r="FA8" s="127"/>
      <c r="FB8" s="127"/>
      <c r="FC8" s="127"/>
      <c r="FD8" s="127"/>
      <c r="FE8" s="127"/>
      <c r="FF8" s="127"/>
      <c r="FG8" s="127"/>
      <c r="FH8" s="127"/>
      <c r="FI8" s="127"/>
      <c r="FJ8" s="127"/>
      <c r="FK8" s="127"/>
      <c r="FL8" s="127"/>
      <c r="FM8" s="127"/>
      <c r="FN8" s="127"/>
      <c r="FO8" s="127"/>
      <c r="FP8" s="127"/>
      <c r="FQ8" s="127"/>
      <c r="FR8" s="127"/>
      <c r="FS8" s="127"/>
      <c r="FT8" s="127"/>
      <c r="FU8" s="127"/>
      <c r="FV8" s="127"/>
      <c r="FW8" s="127"/>
      <c r="FX8" s="127"/>
      <c r="FY8" s="127"/>
      <c r="FZ8" s="127"/>
      <c r="GA8" s="127"/>
      <c r="GB8" s="127"/>
      <c r="GC8" s="127"/>
      <c r="GD8" s="127"/>
      <c r="GE8" s="127"/>
      <c r="GF8" s="127"/>
      <c r="GG8" s="127"/>
      <c r="GH8" s="127"/>
      <c r="GI8" s="127"/>
      <c r="GJ8" s="127"/>
      <c r="GK8" s="127"/>
      <c r="GL8" s="127"/>
      <c r="GM8" s="127"/>
      <c r="GN8" s="127"/>
      <c r="GO8" s="127"/>
      <c r="GP8" s="127"/>
      <c r="GQ8" s="127"/>
      <c r="GR8" s="127"/>
      <c r="GS8" s="127"/>
      <c r="GT8" s="127"/>
      <c r="GU8" s="127"/>
      <c r="GV8" s="127"/>
      <c r="GW8" s="127"/>
      <c r="GX8" s="127"/>
      <c r="GY8" s="127"/>
      <c r="GZ8" s="127"/>
      <c r="HA8" s="127"/>
      <c r="HB8" s="127"/>
      <c r="HC8" s="127"/>
      <c r="HD8" s="127"/>
      <c r="HE8" s="127"/>
      <c r="HF8" s="127"/>
      <c r="HG8" s="127"/>
      <c r="HH8" s="127"/>
      <c r="HI8" s="127"/>
      <c r="HJ8" s="127"/>
      <c r="HK8" s="127"/>
      <c r="HL8" s="127"/>
      <c r="HM8" s="127"/>
      <c r="HN8" s="127"/>
      <c r="HO8" s="127"/>
      <c r="HP8" s="127"/>
      <c r="HQ8" s="127"/>
    </row>
    <row r="9" spans="1:225" ht="149.15" customHeight="1" x14ac:dyDescent="0.35">
      <c r="A9" s="356"/>
      <c r="B9" s="362" t="s">
        <v>223</v>
      </c>
      <c r="C9" s="228" t="s">
        <v>63</v>
      </c>
      <c r="D9" s="244">
        <v>21416323</v>
      </c>
      <c r="E9" s="230" t="s">
        <v>197</v>
      </c>
      <c r="F9" s="231" t="s">
        <v>224</v>
      </c>
      <c r="G9" s="231"/>
      <c r="H9" s="230" t="s">
        <v>225</v>
      </c>
      <c r="I9" s="230" t="s">
        <v>179</v>
      </c>
      <c r="J9" s="230" t="s">
        <v>226</v>
      </c>
      <c r="K9" s="245" t="s">
        <v>227</v>
      </c>
      <c r="L9" s="230"/>
      <c r="M9" s="230" t="s">
        <v>228</v>
      </c>
      <c r="N9" s="230"/>
      <c r="O9" s="230"/>
      <c r="P9" s="233" t="s">
        <v>179</v>
      </c>
      <c r="Q9" s="234" t="s">
        <v>229</v>
      </c>
      <c r="R9" s="235" t="s">
        <v>204</v>
      </c>
      <c r="S9" s="236"/>
      <c r="T9" s="246">
        <v>100000</v>
      </c>
      <c r="U9" s="238"/>
      <c r="V9" s="230" t="s">
        <v>31</v>
      </c>
      <c r="W9" s="230"/>
      <c r="X9" s="230"/>
      <c r="Y9" s="230"/>
      <c r="Z9" s="230"/>
      <c r="AA9" s="230"/>
      <c r="AB9" s="228" t="s">
        <v>230</v>
      </c>
      <c r="AC9" s="228" t="s">
        <v>231</v>
      </c>
      <c r="AD9" s="240">
        <v>44934</v>
      </c>
      <c r="AE9" s="241">
        <v>55</v>
      </c>
      <c r="AF9" s="230" t="s">
        <v>179</v>
      </c>
      <c r="AG9" s="236" t="s">
        <v>36</v>
      </c>
      <c r="AH9" s="230" t="s">
        <v>37</v>
      </c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  <c r="DO9" s="127"/>
      <c r="DP9" s="127"/>
      <c r="DQ9" s="127"/>
      <c r="DR9" s="127"/>
      <c r="DS9" s="127"/>
      <c r="DT9" s="127"/>
      <c r="DU9" s="127"/>
      <c r="DV9" s="127"/>
      <c r="DW9" s="127"/>
      <c r="DX9" s="127"/>
      <c r="DY9" s="127"/>
      <c r="DZ9" s="127"/>
      <c r="EA9" s="127"/>
      <c r="EB9" s="127"/>
      <c r="EC9" s="127"/>
      <c r="ED9" s="127"/>
      <c r="EE9" s="127"/>
      <c r="EF9" s="127"/>
      <c r="EG9" s="127"/>
      <c r="EH9" s="127"/>
      <c r="EI9" s="127"/>
      <c r="EJ9" s="127"/>
      <c r="EK9" s="127"/>
      <c r="EL9" s="127"/>
      <c r="EM9" s="127"/>
      <c r="EN9" s="127"/>
      <c r="EO9" s="127"/>
      <c r="EP9" s="127"/>
      <c r="EQ9" s="127"/>
      <c r="ER9" s="127"/>
      <c r="ES9" s="127"/>
      <c r="ET9" s="127"/>
      <c r="EU9" s="127"/>
      <c r="EV9" s="127"/>
      <c r="EW9" s="127"/>
      <c r="EX9" s="127"/>
      <c r="EY9" s="127"/>
      <c r="EZ9" s="127"/>
      <c r="FA9" s="127"/>
      <c r="FB9" s="127"/>
      <c r="FC9" s="127"/>
      <c r="FD9" s="127"/>
      <c r="FE9" s="127"/>
      <c r="FF9" s="127"/>
      <c r="FG9" s="127"/>
      <c r="FH9" s="127"/>
      <c r="FI9" s="127"/>
      <c r="FJ9" s="127"/>
      <c r="FK9" s="127"/>
      <c r="FL9" s="127"/>
      <c r="FM9" s="127"/>
      <c r="FN9" s="127"/>
      <c r="FO9" s="127"/>
      <c r="FP9" s="127"/>
      <c r="FQ9" s="127"/>
      <c r="FR9" s="127"/>
      <c r="FS9" s="127"/>
      <c r="FT9" s="127"/>
      <c r="FU9" s="127"/>
      <c r="FV9" s="127"/>
      <c r="FW9" s="127"/>
      <c r="FX9" s="127"/>
      <c r="FY9" s="127"/>
      <c r="FZ9" s="127"/>
      <c r="GA9" s="127"/>
      <c r="GB9" s="127"/>
      <c r="GC9" s="127"/>
      <c r="GD9" s="127"/>
      <c r="GE9" s="127"/>
      <c r="GF9" s="127"/>
      <c r="GG9" s="127"/>
      <c r="GH9" s="127"/>
      <c r="GI9" s="127"/>
      <c r="GJ9" s="127"/>
      <c r="GK9" s="127"/>
      <c r="GL9" s="127"/>
      <c r="GM9" s="127"/>
      <c r="GN9" s="127"/>
      <c r="GO9" s="127"/>
      <c r="GP9" s="127"/>
      <c r="GQ9" s="127"/>
      <c r="GR9" s="127"/>
      <c r="GS9" s="127"/>
      <c r="GT9" s="127"/>
      <c r="GU9" s="127"/>
      <c r="GV9" s="127"/>
      <c r="GW9" s="127"/>
      <c r="GX9" s="127"/>
      <c r="GY9" s="127"/>
      <c r="GZ9" s="127"/>
      <c r="HA9" s="127"/>
      <c r="HB9" s="127"/>
      <c r="HC9" s="127"/>
      <c r="HD9" s="127"/>
      <c r="HE9" s="127"/>
      <c r="HF9" s="127"/>
      <c r="HG9" s="127"/>
      <c r="HH9" s="127"/>
      <c r="HI9" s="127"/>
      <c r="HJ9" s="127"/>
      <c r="HK9" s="127"/>
      <c r="HL9" s="127"/>
      <c r="HM9" s="127"/>
      <c r="HN9" s="127"/>
      <c r="HO9" s="127"/>
      <c r="HP9" s="127"/>
      <c r="HQ9" s="127"/>
    </row>
    <row r="10" spans="1:225" ht="149.15" customHeight="1" x14ac:dyDescent="0.35">
      <c r="A10" s="356"/>
      <c r="B10" s="363"/>
      <c r="C10" s="228" t="s">
        <v>70</v>
      </c>
      <c r="D10" s="244">
        <v>21416323</v>
      </c>
      <c r="E10" s="230" t="s">
        <v>197</v>
      </c>
      <c r="F10" s="231" t="s">
        <v>224</v>
      </c>
      <c r="G10" s="231"/>
      <c r="H10" s="247" t="s">
        <v>225</v>
      </c>
      <c r="I10" s="230"/>
      <c r="J10" s="230" t="s">
        <v>226</v>
      </c>
      <c r="K10" s="245" t="s">
        <v>232</v>
      </c>
      <c r="L10" s="230"/>
      <c r="M10" s="230" t="s">
        <v>228</v>
      </c>
      <c r="N10" s="230"/>
      <c r="O10" s="230"/>
      <c r="P10" s="233"/>
      <c r="Q10" s="234" t="s">
        <v>233</v>
      </c>
      <c r="R10" s="235" t="s">
        <v>204</v>
      </c>
      <c r="S10" s="236"/>
      <c r="T10" s="246">
        <v>100000</v>
      </c>
      <c r="U10" s="238"/>
      <c r="V10" s="230" t="s">
        <v>31</v>
      </c>
      <c r="W10" s="230"/>
      <c r="X10" s="230"/>
      <c r="Y10" s="230"/>
      <c r="Z10" s="230"/>
      <c r="AA10" s="230"/>
      <c r="AB10" s="228" t="s">
        <v>234</v>
      </c>
      <c r="AC10" s="228" t="s">
        <v>235</v>
      </c>
      <c r="AD10" s="240">
        <v>44948</v>
      </c>
      <c r="AE10" s="241">
        <v>55</v>
      </c>
      <c r="AF10" s="230"/>
      <c r="AG10" s="236" t="s">
        <v>36</v>
      </c>
      <c r="AH10" s="230" t="s">
        <v>37</v>
      </c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  <c r="DO10" s="127"/>
      <c r="DP10" s="127"/>
      <c r="DQ10" s="127"/>
      <c r="DR10" s="127"/>
      <c r="DS10" s="127"/>
      <c r="DT10" s="127"/>
      <c r="DU10" s="127"/>
      <c r="DV10" s="127"/>
      <c r="DW10" s="127"/>
      <c r="DX10" s="127"/>
      <c r="DY10" s="127"/>
      <c r="DZ10" s="127"/>
      <c r="EA10" s="127"/>
      <c r="EB10" s="127"/>
      <c r="EC10" s="127"/>
      <c r="ED10" s="127"/>
      <c r="EE10" s="127"/>
      <c r="EF10" s="127"/>
      <c r="EG10" s="127"/>
      <c r="EH10" s="127"/>
      <c r="EI10" s="127"/>
      <c r="EJ10" s="127"/>
      <c r="EK10" s="127"/>
      <c r="EL10" s="127"/>
      <c r="EM10" s="127"/>
      <c r="EN10" s="127"/>
      <c r="EO10" s="127"/>
      <c r="EP10" s="127"/>
      <c r="EQ10" s="127"/>
      <c r="ER10" s="127"/>
      <c r="ES10" s="127"/>
      <c r="ET10" s="127"/>
      <c r="EU10" s="127"/>
      <c r="EV10" s="127"/>
      <c r="EW10" s="127"/>
      <c r="EX10" s="127"/>
      <c r="EY10" s="127"/>
      <c r="EZ10" s="127"/>
      <c r="FA10" s="127"/>
      <c r="FB10" s="127"/>
      <c r="FC10" s="127"/>
      <c r="FD10" s="127"/>
      <c r="FE10" s="127"/>
      <c r="FF10" s="127"/>
      <c r="FG10" s="127"/>
      <c r="FH10" s="127"/>
      <c r="FI10" s="127"/>
      <c r="FJ10" s="127"/>
      <c r="FK10" s="127"/>
      <c r="FL10" s="127"/>
      <c r="FM10" s="127"/>
      <c r="FN10" s="127"/>
      <c r="FO10" s="127"/>
      <c r="FP10" s="127"/>
      <c r="FQ10" s="127"/>
      <c r="FR10" s="127"/>
      <c r="FS10" s="127"/>
      <c r="FT10" s="127"/>
      <c r="FU10" s="127"/>
      <c r="FV10" s="127"/>
      <c r="FW10" s="127"/>
      <c r="FX10" s="127"/>
      <c r="FY10" s="127"/>
      <c r="FZ10" s="127"/>
      <c r="GA10" s="127"/>
      <c r="GB10" s="127"/>
      <c r="GC10" s="127"/>
      <c r="GD10" s="127"/>
      <c r="GE10" s="127"/>
      <c r="GF10" s="127"/>
      <c r="GG10" s="127"/>
      <c r="GH10" s="127"/>
      <c r="GI10" s="127"/>
      <c r="GJ10" s="127"/>
      <c r="GK10" s="127"/>
      <c r="GL10" s="127"/>
      <c r="GM10" s="127"/>
      <c r="GN10" s="127"/>
      <c r="GO10" s="127"/>
      <c r="GP10" s="127"/>
      <c r="GQ10" s="127"/>
      <c r="GR10" s="127"/>
      <c r="GS10" s="127"/>
      <c r="GT10" s="127"/>
      <c r="GU10" s="127"/>
      <c r="GV10" s="127"/>
      <c r="GW10" s="127"/>
      <c r="GX10" s="127"/>
      <c r="GY10" s="127"/>
      <c r="GZ10" s="127"/>
      <c r="HA10" s="127"/>
      <c r="HB10" s="127"/>
      <c r="HC10" s="127"/>
      <c r="HD10" s="127"/>
      <c r="HE10" s="127"/>
      <c r="HF10" s="127"/>
      <c r="HG10" s="127"/>
      <c r="HH10" s="127"/>
      <c r="HI10" s="127"/>
      <c r="HJ10" s="127"/>
      <c r="HK10" s="127"/>
      <c r="HL10" s="127"/>
      <c r="HM10" s="127"/>
      <c r="HN10" s="127"/>
      <c r="HO10" s="127"/>
      <c r="HP10" s="127"/>
      <c r="HQ10" s="127"/>
    </row>
    <row r="11" spans="1:225" ht="96.65" customHeight="1" x14ac:dyDescent="0.35">
      <c r="A11" s="356"/>
      <c r="B11" s="248" t="s">
        <v>236</v>
      </c>
      <c r="C11" s="228" t="s">
        <v>78</v>
      </c>
      <c r="D11" s="244">
        <v>21416323</v>
      </c>
      <c r="E11" s="230" t="s">
        <v>197</v>
      </c>
      <c r="F11" s="231" t="s">
        <v>224</v>
      </c>
      <c r="G11" s="231"/>
      <c r="H11" s="230" t="s">
        <v>237</v>
      </c>
      <c r="I11" s="230" t="s">
        <v>179</v>
      </c>
      <c r="J11" s="230" t="s">
        <v>238</v>
      </c>
      <c r="K11" s="230"/>
      <c r="L11" s="230"/>
      <c r="M11" s="230" t="s">
        <v>239</v>
      </c>
      <c r="N11" s="230"/>
      <c r="O11" s="230"/>
      <c r="P11" s="233" t="s">
        <v>179</v>
      </c>
      <c r="Q11" s="234" t="s">
        <v>240</v>
      </c>
      <c r="R11" s="235" t="s">
        <v>204</v>
      </c>
      <c r="S11" s="236"/>
      <c r="T11" s="246">
        <v>100486</v>
      </c>
      <c r="U11" s="238"/>
      <c r="V11" s="230" t="s">
        <v>31</v>
      </c>
      <c r="W11" s="230"/>
      <c r="X11" s="230"/>
      <c r="Y11" s="230"/>
      <c r="Z11" s="230"/>
      <c r="AA11" s="230"/>
      <c r="AB11" s="228" t="s">
        <v>241</v>
      </c>
      <c r="AC11" s="228" t="s">
        <v>242</v>
      </c>
      <c r="AD11" s="240">
        <v>44934</v>
      </c>
      <c r="AE11" s="241">
        <v>55</v>
      </c>
      <c r="AF11" s="230" t="s">
        <v>179</v>
      </c>
      <c r="AG11" s="236" t="s">
        <v>36</v>
      </c>
      <c r="AH11" s="230" t="s">
        <v>37</v>
      </c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  <c r="DO11" s="127"/>
      <c r="DP11" s="127"/>
      <c r="DQ11" s="127"/>
      <c r="DR11" s="127"/>
      <c r="DS11" s="127"/>
      <c r="DT11" s="127"/>
      <c r="DU11" s="127"/>
      <c r="DV11" s="127"/>
      <c r="DW11" s="127"/>
      <c r="DX11" s="127"/>
      <c r="DY11" s="127"/>
      <c r="DZ11" s="127"/>
      <c r="EA11" s="127"/>
      <c r="EB11" s="127"/>
      <c r="EC11" s="127"/>
      <c r="ED11" s="127"/>
      <c r="EE11" s="127"/>
      <c r="EF11" s="127"/>
      <c r="EG11" s="127"/>
      <c r="EH11" s="127"/>
      <c r="EI11" s="127"/>
      <c r="EJ11" s="127"/>
      <c r="EK11" s="127"/>
      <c r="EL11" s="127"/>
      <c r="EM11" s="127"/>
      <c r="EN11" s="127"/>
      <c r="EO11" s="127"/>
      <c r="EP11" s="127"/>
      <c r="EQ11" s="127"/>
      <c r="ER11" s="127"/>
      <c r="ES11" s="127"/>
      <c r="ET11" s="127"/>
      <c r="EU11" s="127"/>
      <c r="EV11" s="127"/>
      <c r="EW11" s="127"/>
      <c r="EX11" s="127"/>
      <c r="EY11" s="127"/>
      <c r="EZ11" s="127"/>
      <c r="FA11" s="127"/>
      <c r="FB11" s="127"/>
      <c r="FC11" s="127"/>
      <c r="FD11" s="127"/>
      <c r="FE11" s="127"/>
      <c r="FF11" s="127"/>
      <c r="FG11" s="127"/>
      <c r="FH11" s="127"/>
      <c r="FI11" s="127"/>
      <c r="FJ11" s="127"/>
      <c r="FK11" s="127"/>
      <c r="FL11" s="127"/>
      <c r="FM11" s="127"/>
      <c r="FN11" s="127"/>
      <c r="FO11" s="127"/>
      <c r="FP11" s="127"/>
      <c r="FQ11" s="127"/>
      <c r="FR11" s="127"/>
      <c r="FS11" s="127"/>
      <c r="FT11" s="127"/>
      <c r="FU11" s="127"/>
      <c r="FV11" s="127"/>
      <c r="FW11" s="127"/>
      <c r="FX11" s="127"/>
      <c r="FY11" s="127"/>
      <c r="FZ11" s="127"/>
      <c r="GA11" s="127"/>
      <c r="GB11" s="127"/>
      <c r="GC11" s="127"/>
      <c r="GD11" s="127"/>
      <c r="GE11" s="127"/>
      <c r="GF11" s="127"/>
      <c r="GG11" s="127"/>
      <c r="GH11" s="127"/>
      <c r="GI11" s="127"/>
      <c r="GJ11" s="127"/>
      <c r="GK11" s="127"/>
      <c r="GL11" s="127"/>
      <c r="GM11" s="127"/>
      <c r="GN11" s="127"/>
      <c r="GO11" s="127"/>
      <c r="GP11" s="127"/>
      <c r="GQ11" s="127"/>
      <c r="GR11" s="127"/>
      <c r="GS11" s="127"/>
      <c r="GT11" s="127"/>
      <c r="GU11" s="127"/>
      <c r="GV11" s="127"/>
      <c r="GW11" s="127"/>
      <c r="GX11" s="127"/>
      <c r="GY11" s="127"/>
      <c r="GZ11" s="127"/>
      <c r="HA11" s="127"/>
      <c r="HB11" s="127"/>
      <c r="HC11" s="127"/>
      <c r="HD11" s="127"/>
      <c r="HE11" s="127"/>
      <c r="HF11" s="127"/>
      <c r="HG11" s="127"/>
      <c r="HH11" s="127"/>
      <c r="HI11" s="127"/>
      <c r="HJ11" s="127"/>
      <c r="HK11" s="127"/>
      <c r="HL11" s="127"/>
      <c r="HM11" s="127"/>
      <c r="HN11" s="127"/>
      <c r="HO11" s="127"/>
      <c r="HP11" s="127"/>
      <c r="HQ11" s="127"/>
    </row>
    <row r="12" spans="1:225" ht="133.5" customHeight="1" x14ac:dyDescent="0.35">
      <c r="A12" s="356"/>
      <c r="B12" s="364" t="s">
        <v>243</v>
      </c>
      <c r="C12" s="228" t="s">
        <v>85</v>
      </c>
      <c r="D12" s="244">
        <v>21416323</v>
      </c>
      <c r="E12" s="230" t="s">
        <v>197</v>
      </c>
      <c r="F12" s="231" t="s">
        <v>244</v>
      </c>
      <c r="G12" s="231"/>
      <c r="H12" s="230"/>
      <c r="I12" s="230"/>
      <c r="J12" s="230"/>
      <c r="K12" s="230" t="s">
        <v>245</v>
      </c>
      <c r="L12" s="230"/>
      <c r="M12" s="230" t="s">
        <v>228</v>
      </c>
      <c r="N12" s="230"/>
      <c r="O12" s="230"/>
      <c r="P12" s="249" t="s">
        <v>246</v>
      </c>
      <c r="Q12" s="234" t="s">
        <v>247</v>
      </c>
      <c r="R12" s="235" t="s">
        <v>204</v>
      </c>
      <c r="S12" s="236"/>
      <c r="T12" s="250">
        <v>265555</v>
      </c>
      <c r="U12" s="238"/>
      <c r="V12" s="230" t="s">
        <v>31</v>
      </c>
      <c r="W12" s="230"/>
      <c r="X12" s="230"/>
      <c r="Y12" s="230"/>
      <c r="Z12" s="230"/>
      <c r="AA12" s="230"/>
      <c r="AB12" s="251" t="s">
        <v>248</v>
      </c>
      <c r="AC12" s="251" t="s">
        <v>249</v>
      </c>
      <c r="AD12" s="240">
        <v>44934</v>
      </c>
      <c r="AE12" s="241">
        <v>40</v>
      </c>
      <c r="AF12" s="230"/>
      <c r="AG12" s="236" t="s">
        <v>36</v>
      </c>
      <c r="AH12" s="230" t="s">
        <v>37</v>
      </c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  <c r="DO12" s="127"/>
      <c r="DP12" s="127"/>
      <c r="DQ12" s="127"/>
      <c r="DR12" s="127"/>
      <c r="DS12" s="127"/>
      <c r="DT12" s="127"/>
      <c r="DU12" s="127"/>
      <c r="DV12" s="127"/>
      <c r="DW12" s="127"/>
      <c r="DX12" s="127"/>
      <c r="DY12" s="127"/>
      <c r="DZ12" s="127"/>
      <c r="EA12" s="127"/>
      <c r="EB12" s="12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7"/>
      <c r="ET12" s="127"/>
      <c r="EU12" s="127"/>
      <c r="EV12" s="127"/>
      <c r="EW12" s="127"/>
      <c r="EX12" s="127"/>
      <c r="EY12" s="127"/>
      <c r="EZ12" s="127"/>
      <c r="FA12" s="127"/>
      <c r="FB12" s="127"/>
      <c r="FC12" s="127"/>
      <c r="FD12" s="127"/>
      <c r="FE12" s="127"/>
      <c r="FF12" s="127"/>
      <c r="FG12" s="127"/>
      <c r="FH12" s="127"/>
      <c r="FI12" s="127"/>
      <c r="FJ12" s="127"/>
      <c r="FK12" s="127"/>
      <c r="FL12" s="127"/>
      <c r="FM12" s="127"/>
      <c r="FN12" s="127"/>
      <c r="FO12" s="127"/>
      <c r="FP12" s="127"/>
      <c r="FQ12" s="127"/>
      <c r="FR12" s="127"/>
      <c r="FS12" s="127"/>
      <c r="FT12" s="127"/>
      <c r="FU12" s="127"/>
      <c r="FV12" s="127"/>
      <c r="FW12" s="127"/>
      <c r="FX12" s="127"/>
      <c r="FY12" s="127"/>
      <c r="FZ12" s="127"/>
      <c r="GA12" s="127"/>
      <c r="GB12" s="127"/>
      <c r="GC12" s="127"/>
      <c r="GD12" s="127"/>
      <c r="GE12" s="127"/>
      <c r="GF12" s="127"/>
      <c r="GG12" s="127"/>
      <c r="GH12" s="127"/>
      <c r="GI12" s="127"/>
      <c r="GJ12" s="127"/>
      <c r="GK12" s="127"/>
      <c r="GL12" s="127"/>
      <c r="GM12" s="127"/>
      <c r="GN12" s="127"/>
      <c r="GO12" s="127"/>
      <c r="GP12" s="127"/>
      <c r="GQ12" s="127"/>
      <c r="GR12" s="127"/>
      <c r="GS12" s="127"/>
      <c r="GT12" s="127"/>
      <c r="GU12" s="127"/>
      <c r="GV12" s="127"/>
      <c r="GW12" s="127"/>
      <c r="GX12" s="127"/>
      <c r="GY12" s="127"/>
      <c r="GZ12" s="127"/>
      <c r="HA12" s="127"/>
      <c r="HB12" s="127"/>
      <c r="HC12" s="127"/>
      <c r="HD12" s="127"/>
      <c r="HE12" s="127"/>
      <c r="HF12" s="127"/>
      <c r="HG12" s="127"/>
      <c r="HH12" s="127"/>
      <c r="HI12" s="127"/>
      <c r="HJ12" s="127"/>
      <c r="HK12" s="127"/>
      <c r="HL12" s="127"/>
      <c r="HM12" s="127"/>
      <c r="HN12" s="127"/>
      <c r="HO12" s="127"/>
      <c r="HP12" s="127"/>
      <c r="HQ12" s="127"/>
    </row>
    <row r="13" spans="1:225" ht="133.5" customHeight="1" x14ac:dyDescent="0.35">
      <c r="A13" s="356"/>
      <c r="B13" s="364"/>
      <c r="C13" s="252" t="s">
        <v>92</v>
      </c>
      <c r="D13" s="253">
        <v>21416323</v>
      </c>
      <c r="E13" s="254" t="s">
        <v>197</v>
      </c>
      <c r="F13" s="255" t="s">
        <v>250</v>
      </c>
      <c r="G13" s="255"/>
      <c r="H13" s="254"/>
      <c r="I13" s="254"/>
      <c r="J13" s="254"/>
      <c r="K13" s="254" t="s">
        <v>251</v>
      </c>
      <c r="L13" s="254"/>
      <c r="M13" s="254" t="s">
        <v>228</v>
      </c>
      <c r="N13" s="254"/>
      <c r="O13" s="254"/>
      <c r="P13" s="256" t="s">
        <v>246</v>
      </c>
      <c r="Q13" s="257" t="s">
        <v>252</v>
      </c>
      <c r="R13" s="258" t="s">
        <v>204</v>
      </c>
      <c r="S13" s="259"/>
      <c r="T13" s="260">
        <v>265555</v>
      </c>
      <c r="U13" s="261"/>
      <c r="V13" s="254"/>
      <c r="W13" s="254"/>
      <c r="X13" s="254" t="s">
        <v>253</v>
      </c>
      <c r="Y13" s="254"/>
      <c r="Z13" s="254"/>
      <c r="AA13" s="254"/>
      <c r="AB13" s="262" t="s">
        <v>254</v>
      </c>
      <c r="AC13" s="262" t="s">
        <v>249</v>
      </c>
      <c r="AD13" s="263">
        <v>44948</v>
      </c>
      <c r="AE13" s="264">
        <v>40</v>
      </c>
      <c r="AF13" s="254"/>
      <c r="AG13" s="259" t="s">
        <v>36</v>
      </c>
      <c r="AH13" s="254" t="s">
        <v>37</v>
      </c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27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127"/>
      <c r="EX13" s="127"/>
      <c r="EY13" s="127"/>
      <c r="EZ13" s="127"/>
      <c r="FA13" s="127"/>
      <c r="FB13" s="127"/>
      <c r="FC13" s="127"/>
      <c r="FD13" s="127"/>
      <c r="FE13" s="127"/>
      <c r="FF13" s="127"/>
      <c r="FG13" s="127"/>
      <c r="FH13" s="127"/>
      <c r="FI13" s="127"/>
      <c r="FJ13" s="127"/>
      <c r="FK13" s="127"/>
      <c r="FL13" s="127"/>
      <c r="FM13" s="127"/>
      <c r="FN13" s="127"/>
      <c r="FO13" s="127"/>
      <c r="FP13" s="127"/>
      <c r="FQ13" s="127"/>
      <c r="FR13" s="127"/>
      <c r="FS13" s="127"/>
      <c r="FT13" s="127"/>
      <c r="FU13" s="127"/>
      <c r="FV13" s="127"/>
      <c r="FW13" s="127"/>
      <c r="FX13" s="127"/>
      <c r="FY13" s="127"/>
      <c r="FZ13" s="127"/>
      <c r="GA13" s="127"/>
      <c r="GB13" s="127"/>
      <c r="GC13" s="127"/>
      <c r="GD13" s="127"/>
      <c r="GE13" s="127"/>
      <c r="GF13" s="127"/>
      <c r="GG13" s="127"/>
      <c r="GH13" s="127"/>
      <c r="GI13" s="127"/>
      <c r="GJ13" s="127"/>
      <c r="GK13" s="127"/>
      <c r="GL13" s="127"/>
      <c r="GM13" s="127"/>
      <c r="GN13" s="127"/>
      <c r="GO13" s="127"/>
      <c r="GP13" s="127"/>
      <c r="GQ13" s="127"/>
      <c r="GR13" s="127"/>
      <c r="GS13" s="127"/>
      <c r="GT13" s="127"/>
      <c r="GU13" s="127"/>
      <c r="GV13" s="127"/>
      <c r="GW13" s="127"/>
      <c r="GX13" s="127"/>
      <c r="GY13" s="127"/>
      <c r="GZ13" s="127"/>
      <c r="HA13" s="127"/>
      <c r="HB13" s="127"/>
      <c r="HC13" s="127"/>
      <c r="HD13" s="127"/>
      <c r="HE13" s="127"/>
      <c r="HF13" s="127"/>
      <c r="HG13" s="127"/>
      <c r="HH13" s="127"/>
      <c r="HI13" s="127"/>
      <c r="HJ13" s="127"/>
      <c r="HK13" s="127"/>
      <c r="HL13" s="127"/>
      <c r="HM13" s="127"/>
      <c r="HN13" s="127"/>
      <c r="HO13" s="127"/>
      <c r="HP13" s="127"/>
      <c r="HQ13" s="127"/>
    </row>
    <row r="14" spans="1:225" ht="156" customHeight="1" x14ac:dyDescent="0.35">
      <c r="A14" s="356"/>
      <c r="B14" s="265" t="s">
        <v>255</v>
      </c>
      <c r="C14" s="228" t="s">
        <v>256</v>
      </c>
      <c r="D14" s="244">
        <v>21416323</v>
      </c>
      <c r="E14" s="230" t="s">
        <v>197</v>
      </c>
      <c r="F14" s="231" t="s">
        <v>257</v>
      </c>
      <c r="G14" s="231"/>
      <c r="H14" s="266" t="s">
        <v>258</v>
      </c>
      <c r="I14" s="230"/>
      <c r="J14" s="230"/>
      <c r="K14" s="230"/>
      <c r="L14" s="230"/>
      <c r="M14" s="230" t="s">
        <v>228</v>
      </c>
      <c r="N14" s="230"/>
      <c r="O14" s="230"/>
      <c r="P14" s="249"/>
      <c r="Q14" s="234" t="s">
        <v>259</v>
      </c>
      <c r="R14" s="235" t="s">
        <v>204</v>
      </c>
      <c r="S14" s="236"/>
      <c r="T14" s="267">
        <v>55707</v>
      </c>
      <c r="U14" s="238"/>
      <c r="V14" s="230" t="s">
        <v>31</v>
      </c>
      <c r="W14" s="230"/>
      <c r="X14" s="230"/>
      <c r="Y14" s="230"/>
      <c r="Z14" s="230"/>
      <c r="AA14" s="230"/>
      <c r="AB14" s="233" t="s">
        <v>95</v>
      </c>
      <c r="AC14" s="233" t="s">
        <v>96</v>
      </c>
      <c r="AD14" s="240">
        <v>44934</v>
      </c>
      <c r="AE14" s="241">
        <v>55</v>
      </c>
      <c r="AF14" s="230"/>
      <c r="AG14" s="236" t="s">
        <v>36</v>
      </c>
      <c r="AH14" s="230" t="s">
        <v>37</v>
      </c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  <c r="DO14" s="127"/>
      <c r="DP14" s="127"/>
      <c r="DQ14" s="127"/>
      <c r="DR14" s="127"/>
      <c r="DS14" s="127"/>
      <c r="DT14" s="127"/>
      <c r="DU14" s="127"/>
      <c r="DV14" s="127"/>
      <c r="DW14" s="127"/>
      <c r="DX14" s="127"/>
      <c r="DY14" s="127"/>
      <c r="DZ14" s="127"/>
      <c r="EA14" s="127"/>
      <c r="EB14" s="12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27"/>
      <c r="EU14" s="127"/>
      <c r="EV14" s="127"/>
      <c r="EW14" s="127"/>
      <c r="EX14" s="127"/>
      <c r="EY14" s="127"/>
      <c r="EZ14" s="127"/>
      <c r="FA14" s="127"/>
      <c r="FB14" s="127"/>
      <c r="FC14" s="127"/>
      <c r="FD14" s="127"/>
      <c r="FE14" s="127"/>
      <c r="FF14" s="127"/>
      <c r="FG14" s="127"/>
      <c r="FH14" s="127"/>
      <c r="FI14" s="127"/>
      <c r="FJ14" s="127"/>
      <c r="FK14" s="127"/>
      <c r="FL14" s="127"/>
      <c r="FM14" s="127"/>
      <c r="FN14" s="127"/>
      <c r="FO14" s="127"/>
      <c r="FP14" s="127"/>
      <c r="FQ14" s="127"/>
      <c r="FR14" s="127"/>
      <c r="FS14" s="127"/>
      <c r="FT14" s="127"/>
      <c r="FU14" s="127"/>
      <c r="FV14" s="127"/>
      <c r="FW14" s="127"/>
      <c r="FX14" s="127"/>
      <c r="FY14" s="127"/>
      <c r="FZ14" s="127"/>
      <c r="GA14" s="127"/>
      <c r="GB14" s="127"/>
      <c r="GC14" s="127"/>
      <c r="GD14" s="127"/>
      <c r="GE14" s="127"/>
      <c r="GF14" s="127"/>
      <c r="GG14" s="127"/>
      <c r="GH14" s="127"/>
      <c r="GI14" s="127"/>
      <c r="GJ14" s="127"/>
      <c r="GK14" s="127"/>
      <c r="GL14" s="127"/>
      <c r="GM14" s="127"/>
      <c r="GN14" s="127"/>
      <c r="GO14" s="127"/>
      <c r="GP14" s="127"/>
      <c r="GQ14" s="127"/>
      <c r="GR14" s="127"/>
      <c r="GS14" s="127"/>
      <c r="GT14" s="127"/>
      <c r="GU14" s="127"/>
      <c r="GV14" s="127"/>
      <c r="GW14" s="127"/>
      <c r="GX14" s="127"/>
      <c r="GY14" s="127"/>
      <c r="GZ14" s="127"/>
      <c r="HA14" s="127"/>
      <c r="HB14" s="127"/>
      <c r="HC14" s="127"/>
      <c r="HD14" s="127"/>
      <c r="HE14" s="127"/>
      <c r="HF14" s="127"/>
      <c r="HG14" s="127"/>
      <c r="HH14" s="127"/>
      <c r="HI14" s="127"/>
      <c r="HJ14" s="127"/>
      <c r="HK14" s="127"/>
      <c r="HL14" s="127"/>
      <c r="HM14" s="127"/>
      <c r="HN14" s="127"/>
      <c r="HO14" s="127"/>
      <c r="HP14" s="127"/>
      <c r="HQ14" s="127"/>
    </row>
    <row r="15" spans="1:225" ht="156" customHeight="1" x14ac:dyDescent="0.35">
      <c r="A15" s="356"/>
      <c r="B15" s="265" t="s">
        <v>260</v>
      </c>
      <c r="C15" s="228" t="s">
        <v>105</v>
      </c>
      <c r="D15" s="244">
        <v>21416323</v>
      </c>
      <c r="E15" s="230" t="s">
        <v>197</v>
      </c>
      <c r="F15" s="231" t="s">
        <v>257</v>
      </c>
      <c r="G15" s="231"/>
      <c r="H15" s="266">
        <v>388</v>
      </c>
      <c r="I15" s="230"/>
      <c r="J15" s="230"/>
      <c r="K15" s="230"/>
      <c r="L15" s="230"/>
      <c r="M15" s="230" t="s">
        <v>228</v>
      </c>
      <c r="N15" s="230"/>
      <c r="O15" s="230"/>
      <c r="P15" s="249"/>
      <c r="Q15" s="234" t="s">
        <v>261</v>
      </c>
      <c r="R15" s="235" t="s">
        <v>204</v>
      </c>
      <c r="S15" s="236"/>
      <c r="T15" s="267">
        <v>1000</v>
      </c>
      <c r="U15" s="238"/>
      <c r="V15" s="230" t="s">
        <v>31</v>
      </c>
      <c r="W15" s="230"/>
      <c r="X15" s="230"/>
      <c r="Y15" s="230"/>
      <c r="Z15" s="230"/>
      <c r="AA15" s="230"/>
      <c r="AB15" s="239" t="s">
        <v>262</v>
      </c>
      <c r="AC15" s="239" t="s">
        <v>263</v>
      </c>
      <c r="AD15" s="240">
        <v>44934</v>
      </c>
      <c r="AE15" s="241">
        <v>55</v>
      </c>
      <c r="AF15" s="230"/>
      <c r="AG15" s="236" t="s">
        <v>36</v>
      </c>
      <c r="AH15" s="230" t="s">
        <v>37</v>
      </c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  <c r="DO15" s="127"/>
      <c r="DP15" s="127"/>
      <c r="DQ15" s="127"/>
      <c r="DR15" s="127"/>
      <c r="DS15" s="127"/>
      <c r="DT15" s="127"/>
      <c r="DU15" s="127"/>
      <c r="DV15" s="127"/>
      <c r="DW15" s="127"/>
      <c r="DX15" s="127"/>
      <c r="DY15" s="127"/>
      <c r="DZ15" s="127"/>
      <c r="EA15" s="127"/>
      <c r="EB15" s="127"/>
      <c r="EC15" s="127"/>
      <c r="ED15" s="127"/>
      <c r="EE15" s="127"/>
      <c r="EF15" s="127"/>
      <c r="EG15" s="127"/>
      <c r="EH15" s="127"/>
      <c r="EI15" s="127"/>
      <c r="EJ15" s="127"/>
      <c r="EK15" s="127"/>
      <c r="EL15" s="127"/>
      <c r="EM15" s="127"/>
      <c r="EN15" s="127"/>
      <c r="EO15" s="127"/>
      <c r="EP15" s="127"/>
      <c r="EQ15" s="127"/>
      <c r="ER15" s="127"/>
      <c r="ES15" s="127"/>
      <c r="ET15" s="127"/>
      <c r="EU15" s="127"/>
      <c r="EV15" s="127"/>
      <c r="EW15" s="127"/>
      <c r="EX15" s="127"/>
      <c r="EY15" s="127"/>
      <c r="EZ15" s="127"/>
      <c r="FA15" s="127"/>
      <c r="FB15" s="127"/>
      <c r="FC15" s="127"/>
      <c r="FD15" s="127"/>
      <c r="FE15" s="127"/>
      <c r="FF15" s="127"/>
      <c r="FG15" s="127"/>
      <c r="FH15" s="127"/>
      <c r="FI15" s="127"/>
      <c r="FJ15" s="127"/>
      <c r="FK15" s="127"/>
      <c r="FL15" s="127"/>
      <c r="FM15" s="127"/>
      <c r="FN15" s="127"/>
      <c r="FO15" s="127"/>
      <c r="FP15" s="127"/>
      <c r="FQ15" s="127"/>
      <c r="FR15" s="127"/>
      <c r="FS15" s="127"/>
      <c r="FT15" s="127"/>
      <c r="FU15" s="127"/>
      <c r="FV15" s="127"/>
      <c r="FW15" s="127"/>
      <c r="FX15" s="127"/>
      <c r="FY15" s="127"/>
      <c r="FZ15" s="127"/>
      <c r="GA15" s="127"/>
      <c r="GB15" s="127"/>
      <c r="GC15" s="127"/>
      <c r="GD15" s="127"/>
      <c r="GE15" s="127"/>
      <c r="GF15" s="127"/>
      <c r="GG15" s="127"/>
      <c r="GH15" s="127"/>
      <c r="GI15" s="127"/>
      <c r="GJ15" s="127"/>
      <c r="GK15" s="127"/>
      <c r="GL15" s="127"/>
      <c r="GM15" s="127"/>
      <c r="GN15" s="127"/>
      <c r="GO15" s="127"/>
      <c r="GP15" s="127"/>
      <c r="GQ15" s="127"/>
      <c r="GR15" s="127"/>
      <c r="GS15" s="127"/>
      <c r="GT15" s="127"/>
      <c r="GU15" s="127"/>
      <c r="GV15" s="127"/>
      <c r="GW15" s="127"/>
      <c r="GX15" s="127"/>
      <c r="GY15" s="127"/>
      <c r="GZ15" s="127"/>
      <c r="HA15" s="127"/>
      <c r="HB15" s="127"/>
      <c r="HC15" s="127"/>
      <c r="HD15" s="127"/>
      <c r="HE15" s="127"/>
      <c r="HF15" s="127"/>
      <c r="HG15" s="127"/>
      <c r="HH15" s="127"/>
      <c r="HI15" s="127"/>
      <c r="HJ15" s="127"/>
      <c r="HK15" s="127"/>
      <c r="HL15" s="127"/>
      <c r="HM15" s="127"/>
      <c r="HN15" s="127"/>
      <c r="HO15" s="127"/>
      <c r="HP15" s="127"/>
      <c r="HQ15" s="127"/>
    </row>
    <row r="16" spans="1:225" ht="138.75" customHeight="1" x14ac:dyDescent="0.35">
      <c r="A16" s="356"/>
      <c r="B16" s="268" t="s">
        <v>264</v>
      </c>
      <c r="C16" s="228" t="s">
        <v>111</v>
      </c>
      <c r="D16" s="244">
        <v>21416323</v>
      </c>
      <c r="E16" s="230" t="s">
        <v>197</v>
      </c>
      <c r="F16" s="231" t="s">
        <v>257</v>
      </c>
      <c r="G16" s="266" t="s">
        <v>265</v>
      </c>
      <c r="H16" s="266"/>
      <c r="I16" s="230" t="s">
        <v>179</v>
      </c>
      <c r="J16" s="231" t="s">
        <v>266</v>
      </c>
      <c r="K16" s="230"/>
      <c r="L16" s="230" t="s">
        <v>187</v>
      </c>
      <c r="M16" s="230" t="s">
        <v>228</v>
      </c>
      <c r="N16" s="230"/>
      <c r="O16" s="230"/>
      <c r="P16" s="228" t="s">
        <v>179</v>
      </c>
      <c r="Q16" s="234" t="s">
        <v>267</v>
      </c>
      <c r="R16" s="235" t="s">
        <v>204</v>
      </c>
      <c r="S16" s="236" t="s">
        <v>50</v>
      </c>
      <c r="T16" s="269">
        <v>658486</v>
      </c>
      <c r="U16" s="238"/>
      <c r="V16" s="270" t="s">
        <v>31</v>
      </c>
      <c r="W16" s="270"/>
      <c r="X16" s="270"/>
      <c r="Y16" s="230"/>
      <c r="Z16" s="230"/>
      <c r="AA16" s="230"/>
      <c r="AB16" s="239" t="s">
        <v>268</v>
      </c>
      <c r="AC16" s="239" t="s">
        <v>269</v>
      </c>
      <c r="AD16" s="240">
        <v>44934</v>
      </c>
      <c r="AE16" s="271">
        <v>40</v>
      </c>
      <c r="AF16" s="270" t="s">
        <v>179</v>
      </c>
      <c r="AG16" s="236" t="s">
        <v>36</v>
      </c>
      <c r="AH16" s="230" t="s">
        <v>37</v>
      </c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  <c r="FS16" s="127"/>
      <c r="FT16" s="127"/>
      <c r="FU16" s="127"/>
      <c r="FV16" s="127"/>
      <c r="FW16" s="127"/>
      <c r="FX16" s="127"/>
      <c r="FY16" s="127"/>
      <c r="FZ16" s="127"/>
      <c r="GA16" s="127"/>
      <c r="GB16" s="127"/>
      <c r="GC16" s="127"/>
      <c r="GD16" s="127"/>
      <c r="GE16" s="127"/>
      <c r="GF16" s="127"/>
      <c r="GG16" s="127"/>
      <c r="GH16" s="127"/>
      <c r="GI16" s="127"/>
      <c r="GJ16" s="127"/>
      <c r="GK16" s="127"/>
      <c r="GL16" s="127"/>
      <c r="GM16" s="127"/>
      <c r="GN16" s="127"/>
      <c r="GO16" s="127"/>
      <c r="GP16" s="127"/>
      <c r="GQ16" s="127"/>
      <c r="GR16" s="127"/>
      <c r="GS16" s="127"/>
      <c r="GT16" s="127"/>
      <c r="GU16" s="127"/>
      <c r="GV16" s="127"/>
      <c r="GW16" s="127"/>
      <c r="GX16" s="127"/>
      <c r="GY16" s="127"/>
      <c r="GZ16" s="127"/>
      <c r="HA16" s="127"/>
      <c r="HB16" s="127"/>
      <c r="HC16" s="127"/>
      <c r="HD16" s="127"/>
      <c r="HE16" s="127"/>
      <c r="HF16" s="127"/>
      <c r="HG16" s="127"/>
      <c r="HH16" s="127"/>
      <c r="HI16" s="127"/>
      <c r="HJ16" s="127"/>
      <c r="HK16" s="127"/>
      <c r="HL16" s="127"/>
      <c r="HM16" s="127"/>
      <c r="HN16" s="127"/>
      <c r="HO16" s="127"/>
      <c r="HP16" s="127"/>
      <c r="HQ16" s="127"/>
    </row>
    <row r="17" spans="1:225" ht="138.75" customHeight="1" x14ac:dyDescent="0.35">
      <c r="A17" s="356"/>
      <c r="B17" s="272" t="s">
        <v>270</v>
      </c>
      <c r="C17" s="252" t="s">
        <v>121</v>
      </c>
      <c r="D17" s="253">
        <v>21416323</v>
      </c>
      <c r="E17" s="254" t="s">
        <v>197</v>
      </c>
      <c r="F17" s="273" t="s">
        <v>271</v>
      </c>
      <c r="G17" s="273" t="s">
        <v>265</v>
      </c>
      <c r="H17" s="274"/>
      <c r="I17" s="254"/>
      <c r="J17" s="255"/>
      <c r="K17" s="254"/>
      <c r="L17" s="254"/>
      <c r="M17" s="254" t="s">
        <v>228</v>
      </c>
      <c r="N17" s="254"/>
      <c r="O17" s="254"/>
      <c r="P17" s="252"/>
      <c r="Q17" s="257" t="s">
        <v>267</v>
      </c>
      <c r="R17" s="258" t="s">
        <v>204</v>
      </c>
      <c r="S17" s="259"/>
      <c r="T17" s="275">
        <v>265701</v>
      </c>
      <c r="U17" s="261"/>
      <c r="V17" s="276"/>
      <c r="W17" s="254"/>
      <c r="X17" s="254" t="s">
        <v>253</v>
      </c>
      <c r="Y17" s="254"/>
      <c r="Z17" s="254"/>
      <c r="AA17" s="254"/>
      <c r="AB17" s="277" t="s">
        <v>272</v>
      </c>
      <c r="AC17" s="277" t="s">
        <v>273</v>
      </c>
      <c r="AD17" s="263">
        <v>44948</v>
      </c>
      <c r="AE17" s="278">
        <v>40</v>
      </c>
      <c r="AF17" s="276"/>
      <c r="AG17" s="259" t="s">
        <v>36</v>
      </c>
      <c r="AH17" s="254" t="s">
        <v>37</v>
      </c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  <c r="EK17" s="127"/>
      <c r="EL17" s="127"/>
      <c r="EM17" s="127"/>
      <c r="EN17" s="127"/>
      <c r="EO17" s="127"/>
      <c r="EP17" s="127"/>
      <c r="EQ17" s="127"/>
      <c r="ER17" s="127"/>
      <c r="ES17" s="127"/>
      <c r="ET17" s="127"/>
      <c r="EU17" s="127"/>
      <c r="EV17" s="127"/>
      <c r="EW17" s="127"/>
      <c r="EX17" s="127"/>
      <c r="EY17" s="127"/>
      <c r="EZ17" s="127"/>
      <c r="FA17" s="127"/>
      <c r="FB17" s="127"/>
      <c r="FC17" s="127"/>
      <c r="FD17" s="127"/>
      <c r="FE17" s="127"/>
      <c r="FF17" s="127"/>
      <c r="FG17" s="127"/>
      <c r="FH17" s="127"/>
      <c r="FI17" s="127"/>
      <c r="FJ17" s="127"/>
      <c r="FK17" s="127"/>
      <c r="FL17" s="127"/>
      <c r="FM17" s="127"/>
      <c r="FN17" s="127"/>
      <c r="FO17" s="127"/>
      <c r="FP17" s="127"/>
      <c r="FQ17" s="127"/>
      <c r="FR17" s="127"/>
      <c r="FS17" s="127"/>
      <c r="FT17" s="127"/>
      <c r="FU17" s="127"/>
      <c r="FV17" s="127"/>
      <c r="FW17" s="127"/>
      <c r="FX17" s="127"/>
      <c r="FY17" s="127"/>
      <c r="FZ17" s="127"/>
      <c r="GA17" s="127"/>
      <c r="GB17" s="127"/>
      <c r="GC17" s="127"/>
      <c r="GD17" s="127"/>
      <c r="GE17" s="127"/>
      <c r="GF17" s="127"/>
      <c r="GG17" s="127"/>
      <c r="GH17" s="127"/>
      <c r="GI17" s="127"/>
      <c r="GJ17" s="127"/>
      <c r="GK17" s="127"/>
      <c r="GL17" s="127"/>
      <c r="GM17" s="127"/>
      <c r="GN17" s="127"/>
      <c r="GO17" s="127"/>
      <c r="GP17" s="127"/>
      <c r="GQ17" s="127"/>
      <c r="GR17" s="127"/>
      <c r="GS17" s="127"/>
      <c r="GT17" s="127"/>
      <c r="GU17" s="127"/>
      <c r="GV17" s="127"/>
      <c r="GW17" s="127"/>
      <c r="GX17" s="127"/>
      <c r="GY17" s="127"/>
      <c r="GZ17" s="127"/>
      <c r="HA17" s="127"/>
      <c r="HB17" s="127"/>
      <c r="HC17" s="127"/>
      <c r="HD17" s="127"/>
      <c r="HE17" s="127"/>
      <c r="HF17" s="127"/>
      <c r="HG17" s="127"/>
      <c r="HH17" s="127"/>
      <c r="HI17" s="127"/>
      <c r="HJ17" s="127"/>
      <c r="HK17" s="127"/>
      <c r="HL17" s="127"/>
      <c r="HM17" s="127"/>
      <c r="HN17" s="127"/>
      <c r="HO17" s="127"/>
      <c r="HP17" s="127"/>
      <c r="HQ17" s="127"/>
    </row>
    <row r="18" spans="1:225" ht="30" customHeight="1" thickBot="1" x14ac:dyDescent="0.8">
      <c r="A18" s="114"/>
      <c r="B18" s="118"/>
      <c r="C18" s="134" t="s">
        <v>274</v>
      </c>
      <c r="D18" s="279">
        <v>7543137</v>
      </c>
      <c r="E18" s="135"/>
      <c r="F18" s="136"/>
      <c r="G18" s="136"/>
      <c r="H18" s="137"/>
      <c r="I18" s="137"/>
      <c r="J18" s="137"/>
      <c r="K18" s="137"/>
      <c r="L18" s="280"/>
      <c r="M18" s="137"/>
      <c r="N18" s="138"/>
      <c r="O18" s="137"/>
      <c r="P18" s="139"/>
      <c r="Q18" s="140"/>
      <c r="R18" s="137"/>
      <c r="S18" s="141" t="s">
        <v>118</v>
      </c>
      <c r="T18" s="142">
        <f>SUM(T5:T17)</f>
        <v>7543137</v>
      </c>
      <c r="U18" s="142">
        <f>SUM(U7:U17)</f>
        <v>0</v>
      </c>
      <c r="V18" s="141"/>
      <c r="W18" s="141"/>
      <c r="X18" s="141"/>
      <c r="Y18" s="141"/>
      <c r="Z18" s="141"/>
      <c r="AA18" s="141"/>
      <c r="AB18" s="141"/>
      <c r="AC18" s="143"/>
      <c r="AD18" s="143"/>
      <c r="AE18" s="143"/>
      <c r="AF18" s="143"/>
      <c r="AG18" s="143"/>
      <c r="AH18" s="14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4"/>
      <c r="FP18" s="114"/>
      <c r="FQ18" s="114"/>
      <c r="FR18" s="114"/>
      <c r="FS18" s="114"/>
      <c r="FT18" s="114"/>
      <c r="FU18" s="114"/>
      <c r="FV18" s="114"/>
      <c r="FW18" s="114"/>
      <c r="FX18" s="114"/>
      <c r="FY18" s="114"/>
      <c r="FZ18" s="114"/>
      <c r="GA18" s="114"/>
      <c r="GB18" s="114"/>
      <c r="GC18" s="114"/>
      <c r="GD18" s="114"/>
      <c r="GE18" s="114"/>
      <c r="GF18" s="114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  <c r="GX18" s="114"/>
      <c r="GY18" s="114"/>
      <c r="GZ18" s="114"/>
      <c r="HA18" s="114"/>
      <c r="HB18" s="114"/>
      <c r="HC18" s="114"/>
      <c r="HD18" s="114"/>
      <c r="HE18" s="114"/>
      <c r="HF18" s="114"/>
      <c r="HG18" s="114"/>
      <c r="HH18" s="114"/>
      <c r="HI18" s="114"/>
      <c r="HJ18" s="114"/>
      <c r="HK18" s="114"/>
      <c r="HL18" s="114"/>
      <c r="HM18" s="114"/>
      <c r="HN18" s="114"/>
      <c r="HO18" s="114"/>
      <c r="HP18" s="114"/>
      <c r="HQ18" s="114"/>
    </row>
    <row r="19" spans="1:225" ht="30" customHeight="1" x14ac:dyDescent="0.55000000000000004">
      <c r="A19" s="123"/>
      <c r="B19" s="131"/>
      <c r="C19" s="145"/>
      <c r="D19" s="127"/>
      <c r="E19" s="127"/>
      <c r="F19" s="127"/>
      <c r="G19" s="128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46"/>
      <c r="V19" s="127"/>
      <c r="W19" s="127"/>
      <c r="X19" s="127"/>
      <c r="Y19" s="127"/>
      <c r="Z19" s="127"/>
      <c r="AA19" s="127"/>
      <c r="AB19" s="127"/>
      <c r="AC19" s="129"/>
      <c r="AD19" s="129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127"/>
      <c r="EX19" s="127"/>
      <c r="EY19" s="127"/>
      <c r="EZ19" s="127"/>
      <c r="FA19" s="127"/>
      <c r="FB19" s="127"/>
      <c r="FC19" s="127"/>
      <c r="FD19" s="127"/>
      <c r="FE19" s="127"/>
      <c r="FF19" s="127"/>
      <c r="FG19" s="127"/>
      <c r="FH19" s="127"/>
      <c r="FI19" s="127"/>
      <c r="FJ19" s="127"/>
      <c r="FK19" s="127"/>
      <c r="FL19" s="127"/>
      <c r="FM19" s="127"/>
      <c r="FN19" s="127"/>
      <c r="FO19" s="127"/>
      <c r="FP19" s="127"/>
      <c r="FQ19" s="127"/>
      <c r="FR19" s="127"/>
      <c r="FS19" s="127"/>
      <c r="FT19" s="127"/>
      <c r="FU19" s="127"/>
      <c r="FV19" s="127"/>
      <c r="FW19" s="127"/>
      <c r="FX19" s="127"/>
      <c r="FY19" s="127"/>
      <c r="FZ19" s="127"/>
      <c r="GA19" s="127"/>
      <c r="GB19" s="127"/>
      <c r="GC19" s="127"/>
      <c r="GD19" s="127"/>
      <c r="GE19" s="127"/>
      <c r="GF19" s="127"/>
      <c r="GG19" s="127"/>
      <c r="GH19" s="127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  <c r="HG19" s="127"/>
      <c r="HH19" s="127"/>
      <c r="HI19" s="127"/>
      <c r="HJ19" s="127"/>
      <c r="HK19" s="127"/>
      <c r="HL19" s="127"/>
      <c r="HM19" s="127"/>
      <c r="HN19" s="127"/>
      <c r="HO19" s="127"/>
      <c r="HP19" s="127"/>
      <c r="HQ19" s="127"/>
    </row>
    <row r="20" spans="1:225" ht="15" thickBot="1" x14ac:dyDescent="0.4">
      <c r="T20" s="115"/>
    </row>
    <row r="21" spans="1:225" ht="59.5" thickBot="1" x14ac:dyDescent="0.7">
      <c r="A21" s="346" t="s">
        <v>275</v>
      </c>
      <c r="B21" s="147" t="s">
        <v>276</v>
      </c>
      <c r="C21" s="223" t="s">
        <v>1</v>
      </c>
      <c r="D21" s="223" t="s">
        <v>2</v>
      </c>
      <c r="E21" s="148" t="s">
        <v>180</v>
      </c>
      <c r="F21" s="148" t="s">
        <v>181</v>
      </c>
      <c r="G21" s="148" t="s">
        <v>182</v>
      </c>
      <c r="H21" s="148" t="s">
        <v>183</v>
      </c>
      <c r="I21" s="148" t="s">
        <v>184</v>
      </c>
      <c r="J21" s="148" t="s">
        <v>185</v>
      </c>
      <c r="K21" s="149" t="s">
        <v>186</v>
      </c>
      <c r="L21" s="149" t="s">
        <v>187</v>
      </c>
      <c r="M21" s="149" t="s">
        <v>188</v>
      </c>
      <c r="N21" s="149" t="s">
        <v>189</v>
      </c>
      <c r="O21" s="149" t="s">
        <v>190</v>
      </c>
      <c r="P21" s="150" t="s">
        <v>3</v>
      </c>
      <c r="Q21" s="150" t="s">
        <v>4</v>
      </c>
      <c r="R21" s="150" t="s">
        <v>5</v>
      </c>
      <c r="S21" s="150" t="s">
        <v>6</v>
      </c>
      <c r="T21" s="151" t="s">
        <v>7</v>
      </c>
      <c r="U21" s="152" t="s">
        <v>8</v>
      </c>
      <c r="V21" s="281" t="s">
        <v>191</v>
      </c>
      <c r="W21" s="281" t="s">
        <v>192</v>
      </c>
      <c r="X21" s="281" t="s">
        <v>193</v>
      </c>
      <c r="Y21" s="281" t="s">
        <v>194</v>
      </c>
      <c r="Z21" s="281" t="s">
        <v>195</v>
      </c>
      <c r="AA21" s="281" t="s">
        <v>14</v>
      </c>
      <c r="AB21" s="153" t="s">
        <v>15</v>
      </c>
      <c r="AC21" s="153" t="s">
        <v>16</v>
      </c>
      <c r="AD21" s="152" t="s">
        <v>17</v>
      </c>
      <c r="AE21" s="152" t="s">
        <v>18</v>
      </c>
      <c r="AF21" s="152" t="s">
        <v>19</v>
      </c>
      <c r="AG21" s="152" t="s">
        <v>21</v>
      </c>
      <c r="AH21" s="154" t="s">
        <v>22</v>
      </c>
    </row>
    <row r="22" spans="1:225" ht="59" x14ac:dyDescent="0.65">
      <c r="A22" s="347"/>
      <c r="B22" s="155" t="s">
        <v>145</v>
      </c>
      <c r="C22" s="228">
        <v>14</v>
      </c>
      <c r="D22" s="156">
        <v>21544323</v>
      </c>
      <c r="E22" s="157" t="s">
        <v>180</v>
      </c>
      <c r="F22" s="157" t="s">
        <v>277</v>
      </c>
      <c r="G22" s="157" t="s">
        <v>278</v>
      </c>
      <c r="H22" s="157" t="s">
        <v>279</v>
      </c>
      <c r="I22" s="157" t="s">
        <v>280</v>
      </c>
      <c r="J22" s="158"/>
      <c r="K22" s="158"/>
      <c r="L22" s="158"/>
      <c r="M22" s="158"/>
      <c r="N22" s="158"/>
      <c r="O22" s="158"/>
      <c r="P22" s="158"/>
      <c r="Q22" s="157" t="s">
        <v>281</v>
      </c>
      <c r="R22" s="157" t="s">
        <v>29</v>
      </c>
      <c r="S22" s="158"/>
      <c r="T22" s="159">
        <v>52110</v>
      </c>
      <c r="U22" s="159"/>
      <c r="V22" s="159" t="s">
        <v>31</v>
      </c>
      <c r="W22" s="160"/>
      <c r="X22" s="160"/>
      <c r="Y22" s="160"/>
      <c r="Z22" s="160"/>
      <c r="AA22" s="160"/>
      <c r="AB22" s="161" t="s">
        <v>282</v>
      </c>
      <c r="AC22" s="158"/>
      <c r="AD22" s="162">
        <v>44926</v>
      </c>
      <c r="AE22" s="158"/>
      <c r="AF22" s="158"/>
      <c r="AG22" s="158"/>
      <c r="AH22" s="163" t="s">
        <v>37</v>
      </c>
    </row>
    <row r="23" spans="1:225" ht="59" x14ac:dyDescent="0.65">
      <c r="A23" s="347"/>
      <c r="B23" s="282" t="s">
        <v>138</v>
      </c>
      <c r="C23" s="228">
        <v>15</v>
      </c>
      <c r="D23" s="283">
        <v>21544123</v>
      </c>
      <c r="E23" s="284" t="s">
        <v>180</v>
      </c>
      <c r="F23" s="284" t="s">
        <v>277</v>
      </c>
      <c r="G23" s="284" t="s">
        <v>283</v>
      </c>
      <c r="H23" s="284" t="s">
        <v>284</v>
      </c>
      <c r="I23" s="284" t="s">
        <v>285</v>
      </c>
      <c r="J23" s="285"/>
      <c r="K23" s="285"/>
      <c r="L23" s="285"/>
      <c r="M23" s="285"/>
      <c r="N23" s="285"/>
      <c r="O23" s="285"/>
      <c r="P23" s="285"/>
      <c r="Q23" s="284" t="s">
        <v>281</v>
      </c>
      <c r="R23" s="284" t="s">
        <v>29</v>
      </c>
      <c r="S23" s="285"/>
      <c r="T23" s="286">
        <v>41904</v>
      </c>
      <c r="U23" s="286"/>
      <c r="V23" s="286" t="s">
        <v>31</v>
      </c>
      <c r="W23" s="229"/>
      <c r="X23" s="229"/>
      <c r="Y23" s="229"/>
      <c r="Z23" s="229"/>
      <c r="AA23" s="229"/>
      <c r="AB23" s="287" t="s">
        <v>286</v>
      </c>
      <c r="AC23" s="285"/>
      <c r="AD23" s="288">
        <v>44926</v>
      </c>
      <c r="AE23" s="285"/>
      <c r="AF23" s="285"/>
      <c r="AG23" s="285"/>
      <c r="AH23" s="289" t="s">
        <v>37</v>
      </c>
    </row>
    <row r="24" spans="1:225" ht="59" x14ac:dyDescent="0.65">
      <c r="A24" s="347"/>
      <c r="B24" s="290" t="s">
        <v>150</v>
      </c>
      <c r="C24" s="228">
        <v>16</v>
      </c>
      <c r="D24" s="283">
        <v>21543722</v>
      </c>
      <c r="E24" s="284" t="s">
        <v>180</v>
      </c>
      <c r="F24" s="284" t="s">
        <v>277</v>
      </c>
      <c r="G24" s="284" t="s">
        <v>287</v>
      </c>
      <c r="H24" s="284" t="s">
        <v>288</v>
      </c>
      <c r="I24" s="284" t="s">
        <v>285</v>
      </c>
      <c r="J24" s="285"/>
      <c r="K24" s="285"/>
      <c r="L24" s="285"/>
      <c r="M24" s="285"/>
      <c r="N24" s="285"/>
      <c r="O24" s="285"/>
      <c r="P24" s="249"/>
      <c r="Q24" s="284" t="s">
        <v>281</v>
      </c>
      <c r="R24" s="284" t="s">
        <v>29</v>
      </c>
      <c r="S24" s="285"/>
      <c r="T24" s="286">
        <v>42847</v>
      </c>
      <c r="U24" s="286"/>
      <c r="V24" s="286" t="s">
        <v>31</v>
      </c>
      <c r="W24" s="229"/>
      <c r="X24" s="229"/>
      <c r="Y24" s="229"/>
      <c r="Z24" s="229"/>
      <c r="AA24" s="229"/>
      <c r="AB24" s="287" t="s">
        <v>289</v>
      </c>
      <c r="AC24" s="285"/>
      <c r="AD24" s="288">
        <v>44926</v>
      </c>
      <c r="AE24" s="285"/>
      <c r="AF24" s="285"/>
      <c r="AG24" s="285"/>
      <c r="AH24" s="289" t="s">
        <v>37</v>
      </c>
    </row>
    <row r="25" spans="1:225" ht="29.5" x14ac:dyDescent="0.65">
      <c r="A25" s="347"/>
      <c r="B25" s="291" t="s">
        <v>155</v>
      </c>
      <c r="C25" s="228">
        <v>17</v>
      </c>
      <c r="D25" s="283">
        <v>21544223</v>
      </c>
      <c r="E25" s="284" t="s">
        <v>180</v>
      </c>
      <c r="F25" s="284" t="s">
        <v>277</v>
      </c>
      <c r="G25" s="284" t="s">
        <v>290</v>
      </c>
      <c r="H25" s="284" t="s">
        <v>291</v>
      </c>
      <c r="I25" s="284" t="s">
        <v>280</v>
      </c>
      <c r="J25" s="285"/>
      <c r="K25" s="285"/>
      <c r="L25" s="285"/>
      <c r="M25" s="285"/>
      <c r="N25" s="285"/>
      <c r="O25" s="285"/>
      <c r="P25" s="285"/>
      <c r="Q25" s="284" t="s">
        <v>123</v>
      </c>
      <c r="R25" s="284" t="s">
        <v>29</v>
      </c>
      <c r="S25" s="285"/>
      <c r="T25" s="286">
        <v>41004</v>
      </c>
      <c r="U25" s="286"/>
      <c r="V25" s="286" t="s">
        <v>31</v>
      </c>
      <c r="W25" s="229"/>
      <c r="X25" s="229"/>
      <c r="Y25" s="229"/>
      <c r="Z25" s="229"/>
      <c r="AA25" s="229"/>
      <c r="AB25" s="287" t="s">
        <v>292</v>
      </c>
      <c r="AC25" s="285"/>
      <c r="AD25" s="288">
        <v>44926</v>
      </c>
      <c r="AE25" s="285"/>
      <c r="AF25" s="285"/>
      <c r="AG25" s="285"/>
      <c r="AH25" s="289" t="s">
        <v>37</v>
      </c>
    </row>
    <row r="26" spans="1:225" ht="29.5" x14ac:dyDescent="0.65">
      <c r="A26" s="347"/>
      <c r="B26" s="290" t="s">
        <v>160</v>
      </c>
      <c r="C26" s="228">
        <v>18</v>
      </c>
      <c r="D26" s="283">
        <v>21427223</v>
      </c>
      <c r="E26" s="284" t="s">
        <v>180</v>
      </c>
      <c r="F26" s="284" t="s">
        <v>277</v>
      </c>
      <c r="G26" s="284" t="s">
        <v>293</v>
      </c>
      <c r="H26" s="284" t="s">
        <v>294</v>
      </c>
      <c r="I26" s="284" t="s">
        <v>295</v>
      </c>
      <c r="J26" s="285"/>
      <c r="K26" s="285"/>
      <c r="L26" s="285"/>
      <c r="M26" s="285"/>
      <c r="N26" s="285"/>
      <c r="O26" s="285"/>
      <c r="P26" s="285"/>
      <c r="Q26" s="284" t="s">
        <v>123</v>
      </c>
      <c r="R26" s="284" t="s">
        <v>29</v>
      </c>
      <c r="S26" s="285"/>
      <c r="T26" s="286">
        <v>58942</v>
      </c>
      <c r="U26" s="286"/>
      <c r="V26" s="286" t="s">
        <v>31</v>
      </c>
      <c r="W26" s="229"/>
      <c r="X26" s="229"/>
      <c r="Y26" s="229"/>
      <c r="Z26" s="229"/>
      <c r="AA26" s="229"/>
      <c r="AB26" s="287" t="s">
        <v>296</v>
      </c>
      <c r="AC26" s="285"/>
      <c r="AD26" s="288">
        <v>44926</v>
      </c>
      <c r="AE26" s="285"/>
      <c r="AF26" s="285"/>
      <c r="AG26" s="285"/>
      <c r="AH26" s="289" t="s">
        <v>37</v>
      </c>
    </row>
    <row r="27" spans="1:225" ht="59" x14ac:dyDescent="0.65">
      <c r="A27" s="347"/>
      <c r="B27" s="292" t="s">
        <v>297</v>
      </c>
      <c r="C27" s="228">
        <v>19</v>
      </c>
      <c r="D27" s="283">
        <v>21452923</v>
      </c>
      <c r="E27" s="284" t="s">
        <v>180</v>
      </c>
      <c r="F27" s="284" t="s">
        <v>277</v>
      </c>
      <c r="G27" s="284" t="s">
        <v>298</v>
      </c>
      <c r="H27" s="284" t="s">
        <v>299</v>
      </c>
      <c r="I27" s="284" t="s">
        <v>300</v>
      </c>
      <c r="J27" s="285"/>
      <c r="K27" s="285"/>
      <c r="L27" s="285"/>
      <c r="M27" s="285"/>
      <c r="N27" s="285"/>
      <c r="O27" s="285"/>
      <c r="P27" s="293" t="s">
        <v>301</v>
      </c>
      <c r="Q27" s="284" t="s">
        <v>135</v>
      </c>
      <c r="R27" s="284" t="s">
        <v>302</v>
      </c>
      <c r="S27" s="285"/>
      <c r="T27" s="286">
        <v>71134</v>
      </c>
      <c r="U27" s="286"/>
      <c r="V27" s="286"/>
      <c r="W27" s="229" t="s">
        <v>31</v>
      </c>
      <c r="X27" s="229"/>
      <c r="Y27" s="229"/>
      <c r="Z27" s="229"/>
      <c r="AA27" s="229"/>
      <c r="AB27" s="287" t="s">
        <v>303</v>
      </c>
      <c r="AC27" s="285"/>
      <c r="AD27" s="288">
        <v>44931</v>
      </c>
      <c r="AE27" s="285"/>
      <c r="AF27" s="285"/>
      <c r="AG27" s="285"/>
      <c r="AH27" s="289" t="s">
        <v>304</v>
      </c>
    </row>
    <row r="28" spans="1:225" ht="59" x14ac:dyDescent="0.65">
      <c r="A28" s="347"/>
      <c r="B28" s="349" t="s">
        <v>305</v>
      </c>
      <c r="C28" s="228">
        <v>20</v>
      </c>
      <c r="D28" s="283">
        <v>21415823</v>
      </c>
      <c r="E28" s="284" t="s">
        <v>180</v>
      </c>
      <c r="F28" s="284" t="s">
        <v>277</v>
      </c>
      <c r="G28" s="284" t="s">
        <v>306</v>
      </c>
      <c r="H28" s="284" t="s">
        <v>307</v>
      </c>
      <c r="I28" s="284" t="s">
        <v>300</v>
      </c>
      <c r="J28" s="285"/>
      <c r="K28" s="285"/>
      <c r="L28" s="285"/>
      <c r="M28" s="285"/>
      <c r="N28" s="285"/>
      <c r="O28" s="285"/>
      <c r="P28" s="294" t="s">
        <v>308</v>
      </c>
      <c r="Q28" s="284" t="s">
        <v>135</v>
      </c>
      <c r="R28" s="284" t="s">
        <v>309</v>
      </c>
      <c r="S28" s="285"/>
      <c r="T28" s="286">
        <v>67500</v>
      </c>
      <c r="U28" s="286"/>
      <c r="V28" s="286" t="s">
        <v>31</v>
      </c>
      <c r="W28" s="229"/>
      <c r="X28" s="229"/>
      <c r="Y28" s="229"/>
      <c r="Z28" s="229"/>
      <c r="AA28" s="229"/>
      <c r="AB28" s="287" t="s">
        <v>310</v>
      </c>
      <c r="AC28" s="285"/>
      <c r="AD28" s="288">
        <v>44926</v>
      </c>
      <c r="AE28" s="285"/>
      <c r="AF28" s="285"/>
      <c r="AG28" s="285"/>
      <c r="AH28" s="289" t="s">
        <v>311</v>
      </c>
    </row>
    <row r="29" spans="1:225" ht="59" x14ac:dyDescent="0.65">
      <c r="A29" s="347"/>
      <c r="B29" s="349"/>
      <c r="C29" s="228">
        <v>21</v>
      </c>
      <c r="D29" s="283">
        <v>21415823</v>
      </c>
      <c r="E29" s="284" t="s">
        <v>180</v>
      </c>
      <c r="F29" s="284" t="s">
        <v>277</v>
      </c>
      <c r="G29" s="284" t="s">
        <v>306</v>
      </c>
      <c r="H29" s="284" t="s">
        <v>307</v>
      </c>
      <c r="I29" s="284" t="s">
        <v>300</v>
      </c>
      <c r="J29" s="285"/>
      <c r="K29" s="285"/>
      <c r="L29" s="285"/>
      <c r="M29" s="285"/>
      <c r="N29" s="285"/>
      <c r="O29" s="285"/>
      <c r="P29" s="294" t="s">
        <v>312</v>
      </c>
      <c r="Q29" s="284" t="s">
        <v>135</v>
      </c>
      <c r="R29" s="284" t="s">
        <v>313</v>
      </c>
      <c r="S29" s="285"/>
      <c r="T29" s="286">
        <v>67500</v>
      </c>
      <c r="U29" s="286"/>
      <c r="V29" s="286"/>
      <c r="W29" s="229"/>
      <c r="X29" s="229" t="s">
        <v>31</v>
      </c>
      <c r="Y29" s="229"/>
      <c r="Z29" s="229"/>
      <c r="AA29" s="229"/>
      <c r="AB29" s="287" t="s">
        <v>314</v>
      </c>
      <c r="AC29" s="285"/>
      <c r="AD29" s="288">
        <v>44945</v>
      </c>
      <c r="AE29" s="285"/>
      <c r="AF29" s="285"/>
      <c r="AG29" s="285"/>
      <c r="AH29" s="289" t="s">
        <v>315</v>
      </c>
    </row>
    <row r="30" spans="1:225" ht="59" x14ac:dyDescent="0.65">
      <c r="A30" s="347"/>
      <c r="B30" s="292" t="s">
        <v>316</v>
      </c>
      <c r="C30" s="228">
        <v>22</v>
      </c>
      <c r="D30" s="283">
        <v>21415923</v>
      </c>
      <c r="E30" s="284" t="s">
        <v>180</v>
      </c>
      <c r="F30" s="284" t="s">
        <v>277</v>
      </c>
      <c r="G30" s="284" t="s">
        <v>317</v>
      </c>
      <c r="H30" s="284" t="s">
        <v>318</v>
      </c>
      <c r="I30" s="284" t="s">
        <v>300</v>
      </c>
      <c r="J30" s="285"/>
      <c r="K30" s="285"/>
      <c r="L30" s="285"/>
      <c r="M30" s="285"/>
      <c r="N30" s="285"/>
      <c r="O30" s="285"/>
      <c r="P30" s="294" t="s">
        <v>319</v>
      </c>
      <c r="Q30" s="284" t="s">
        <v>135</v>
      </c>
      <c r="R30" s="284" t="s">
        <v>302</v>
      </c>
      <c r="S30" s="285"/>
      <c r="T30" s="286">
        <v>69000</v>
      </c>
      <c r="U30" s="286"/>
      <c r="V30" s="286"/>
      <c r="W30" s="229" t="s">
        <v>31</v>
      </c>
      <c r="X30" s="229"/>
      <c r="Y30" s="229"/>
      <c r="Z30" s="229"/>
      <c r="AA30" s="229"/>
      <c r="AB30" s="287" t="s">
        <v>320</v>
      </c>
      <c r="AC30" s="285"/>
      <c r="AD30" s="288">
        <v>44931</v>
      </c>
      <c r="AE30" s="285"/>
      <c r="AF30" s="285"/>
      <c r="AG30" s="285"/>
      <c r="AH30" s="289" t="s">
        <v>315</v>
      </c>
    </row>
    <row r="31" spans="1:225" ht="84.5" x14ac:dyDescent="0.65">
      <c r="A31" s="347"/>
      <c r="B31" s="295" t="s">
        <v>321</v>
      </c>
      <c r="C31" s="228">
        <v>23</v>
      </c>
      <c r="D31" s="283">
        <v>21417923</v>
      </c>
      <c r="E31" s="284" t="s">
        <v>180</v>
      </c>
      <c r="F31" s="284" t="s">
        <v>277</v>
      </c>
      <c r="G31" s="284" t="s">
        <v>322</v>
      </c>
      <c r="H31" s="284" t="s">
        <v>323</v>
      </c>
      <c r="I31" s="284" t="s">
        <v>300</v>
      </c>
      <c r="J31" s="285"/>
      <c r="K31" s="285"/>
      <c r="L31" s="285"/>
      <c r="M31" s="285"/>
      <c r="N31" s="285"/>
      <c r="O31" s="285"/>
      <c r="P31" s="294"/>
      <c r="Q31" s="284" t="s">
        <v>123</v>
      </c>
      <c r="R31" s="284" t="s">
        <v>29</v>
      </c>
      <c r="S31" s="285"/>
      <c r="T31" s="286">
        <v>50647</v>
      </c>
      <c r="U31" s="286"/>
      <c r="V31" s="286"/>
      <c r="W31" s="229" t="s">
        <v>31</v>
      </c>
      <c r="X31" s="296"/>
      <c r="Y31" s="229"/>
      <c r="Z31" s="229"/>
      <c r="AA31" s="229"/>
      <c r="AB31" s="287" t="s">
        <v>324</v>
      </c>
      <c r="AC31" s="285"/>
      <c r="AD31" s="288">
        <v>44940</v>
      </c>
      <c r="AE31" s="285"/>
      <c r="AF31" s="285"/>
      <c r="AG31" s="285"/>
      <c r="AH31" s="289" t="s">
        <v>37</v>
      </c>
    </row>
    <row r="32" spans="1:225" ht="46.5" x14ac:dyDescent="0.65">
      <c r="A32" s="347"/>
      <c r="B32" s="350" t="s">
        <v>325</v>
      </c>
      <c r="C32" s="228">
        <v>24</v>
      </c>
      <c r="D32" s="283">
        <v>21417823</v>
      </c>
      <c r="E32" s="284" t="s">
        <v>180</v>
      </c>
      <c r="F32" s="284" t="s">
        <v>277</v>
      </c>
      <c r="G32" s="284" t="s">
        <v>326</v>
      </c>
      <c r="H32" s="284" t="s">
        <v>327</v>
      </c>
      <c r="I32" s="284" t="s">
        <v>295</v>
      </c>
      <c r="J32" s="285"/>
      <c r="K32" s="285"/>
      <c r="L32" s="285"/>
      <c r="M32" s="285"/>
      <c r="N32" s="285"/>
      <c r="O32" s="285"/>
      <c r="P32" s="294" t="s">
        <v>328</v>
      </c>
      <c r="Q32" s="284" t="s">
        <v>123</v>
      </c>
      <c r="R32" s="284" t="s">
        <v>329</v>
      </c>
      <c r="S32" s="285"/>
      <c r="T32" s="286">
        <v>109209</v>
      </c>
      <c r="U32" s="286"/>
      <c r="V32" s="286" t="s">
        <v>31</v>
      </c>
      <c r="W32" s="229"/>
      <c r="X32" s="229"/>
      <c r="Y32" s="229"/>
      <c r="Z32" s="229"/>
      <c r="AA32" s="229"/>
      <c r="AB32" s="287" t="s">
        <v>330</v>
      </c>
      <c r="AC32" s="285"/>
      <c r="AD32" s="288">
        <v>44926</v>
      </c>
      <c r="AE32" s="285"/>
      <c r="AF32" s="285"/>
      <c r="AG32" s="285"/>
      <c r="AH32" s="289" t="s">
        <v>311</v>
      </c>
    </row>
    <row r="33" spans="1:34" ht="29.5" x14ac:dyDescent="0.65">
      <c r="A33" s="347"/>
      <c r="B33" s="350"/>
      <c r="C33" s="228">
        <v>25</v>
      </c>
      <c r="D33" s="283">
        <v>21417823</v>
      </c>
      <c r="E33" s="284" t="s">
        <v>180</v>
      </c>
      <c r="F33" s="284" t="s">
        <v>277</v>
      </c>
      <c r="G33" s="284" t="s">
        <v>326</v>
      </c>
      <c r="H33" s="284" t="s">
        <v>327</v>
      </c>
      <c r="I33" s="284" t="s">
        <v>331</v>
      </c>
      <c r="J33" s="285"/>
      <c r="K33" s="285"/>
      <c r="L33" s="285"/>
      <c r="M33" s="285"/>
      <c r="N33" s="285"/>
      <c r="O33" s="285"/>
      <c r="P33" s="294"/>
      <c r="Q33" s="284" t="s">
        <v>123</v>
      </c>
      <c r="R33" s="284" t="s">
        <v>332</v>
      </c>
      <c r="S33" s="285"/>
      <c r="T33" s="286">
        <v>70000</v>
      </c>
      <c r="U33" s="286"/>
      <c r="V33" s="286"/>
      <c r="W33" s="229"/>
      <c r="X33" s="229" t="s">
        <v>31</v>
      </c>
      <c r="Y33" s="229"/>
      <c r="Z33" s="229"/>
      <c r="AA33" s="229"/>
      <c r="AB33" s="287" t="s">
        <v>333</v>
      </c>
      <c r="AC33" s="285"/>
      <c r="AD33" s="288">
        <v>44940</v>
      </c>
      <c r="AE33" s="285"/>
      <c r="AF33" s="285"/>
      <c r="AG33" s="285"/>
      <c r="AH33" s="289" t="s">
        <v>37</v>
      </c>
    </row>
    <row r="34" spans="1:34" ht="29.5" x14ac:dyDescent="0.65">
      <c r="A34" s="347"/>
      <c r="B34" s="297" t="s">
        <v>334</v>
      </c>
      <c r="C34" s="228">
        <v>26</v>
      </c>
      <c r="D34" s="298" t="s">
        <v>50</v>
      </c>
      <c r="E34" s="284" t="s">
        <v>180</v>
      </c>
      <c r="F34" s="284" t="s">
        <v>277</v>
      </c>
      <c r="G34" s="284" t="s">
        <v>335</v>
      </c>
      <c r="H34" s="284" t="s">
        <v>336</v>
      </c>
      <c r="I34" s="284" t="s">
        <v>331</v>
      </c>
      <c r="J34" s="285"/>
      <c r="K34" s="285"/>
      <c r="L34" s="285"/>
      <c r="M34" s="285"/>
      <c r="N34" s="285"/>
      <c r="O34" s="285"/>
      <c r="P34" s="294"/>
      <c r="Q34" s="284" t="s">
        <v>123</v>
      </c>
      <c r="R34" s="284" t="s">
        <v>29</v>
      </c>
      <c r="S34" s="285"/>
      <c r="T34" s="286">
        <v>68730</v>
      </c>
      <c r="U34" s="286"/>
      <c r="V34" s="286"/>
      <c r="W34" s="229"/>
      <c r="X34" s="229" t="s">
        <v>31</v>
      </c>
      <c r="Y34" s="229"/>
      <c r="Z34" s="229"/>
      <c r="AA34" s="229"/>
      <c r="AB34" s="287" t="s">
        <v>337</v>
      </c>
      <c r="AC34" s="285"/>
      <c r="AD34" s="288">
        <v>44945</v>
      </c>
      <c r="AE34" s="285"/>
      <c r="AF34" s="285"/>
      <c r="AG34" s="285"/>
      <c r="AH34" s="289" t="s">
        <v>37</v>
      </c>
    </row>
    <row r="35" spans="1:34" ht="32.5" x14ac:dyDescent="0.65">
      <c r="A35" s="347"/>
      <c r="B35" s="292" t="s">
        <v>338</v>
      </c>
      <c r="C35" s="228">
        <v>27</v>
      </c>
      <c r="D35" s="298" t="s">
        <v>50</v>
      </c>
      <c r="E35" s="284" t="s">
        <v>180</v>
      </c>
      <c r="F35" s="284" t="s">
        <v>277</v>
      </c>
      <c r="G35" s="284" t="s">
        <v>339</v>
      </c>
      <c r="H35" s="284" t="s">
        <v>340</v>
      </c>
      <c r="I35" s="284" t="s">
        <v>295</v>
      </c>
      <c r="J35" s="285"/>
      <c r="K35" s="285"/>
      <c r="L35" s="285"/>
      <c r="M35" s="285"/>
      <c r="N35" s="285"/>
      <c r="O35" s="285"/>
      <c r="P35" s="285"/>
      <c r="Q35" s="284" t="s">
        <v>123</v>
      </c>
      <c r="R35" s="284" t="s">
        <v>29</v>
      </c>
      <c r="S35" s="285"/>
      <c r="T35" s="286">
        <v>155645</v>
      </c>
      <c r="U35" s="286"/>
      <c r="V35" s="286"/>
      <c r="W35" s="229"/>
      <c r="X35" s="229" t="s">
        <v>31</v>
      </c>
      <c r="Y35" s="229"/>
      <c r="Z35" s="229"/>
      <c r="AA35" s="229"/>
      <c r="AB35" s="287" t="s">
        <v>341</v>
      </c>
      <c r="AC35" s="285"/>
      <c r="AD35" s="288">
        <v>44940</v>
      </c>
      <c r="AE35" s="285"/>
      <c r="AF35" s="285"/>
      <c r="AG35" s="285"/>
      <c r="AH35" s="289" t="s">
        <v>37</v>
      </c>
    </row>
    <row r="36" spans="1:34" ht="29.5" x14ac:dyDescent="0.65">
      <c r="A36" s="347"/>
      <c r="B36" s="351" t="s">
        <v>342</v>
      </c>
      <c r="C36" s="228">
        <v>28</v>
      </c>
      <c r="D36" s="298" t="s">
        <v>50</v>
      </c>
      <c r="E36" s="284" t="s">
        <v>180</v>
      </c>
      <c r="F36" s="284" t="s">
        <v>277</v>
      </c>
      <c r="G36" s="284" t="s">
        <v>343</v>
      </c>
      <c r="H36" s="284" t="s">
        <v>344</v>
      </c>
      <c r="I36" s="284" t="s">
        <v>295</v>
      </c>
      <c r="J36" s="285"/>
      <c r="K36" s="285"/>
      <c r="L36" s="285"/>
      <c r="M36" s="285"/>
      <c r="N36" s="285"/>
      <c r="O36" s="285"/>
      <c r="P36" s="294"/>
      <c r="Q36" s="284" t="s">
        <v>123</v>
      </c>
      <c r="R36" s="284" t="s">
        <v>29</v>
      </c>
      <c r="S36" s="285"/>
      <c r="T36" s="286">
        <v>183100</v>
      </c>
      <c r="U36" s="286"/>
      <c r="V36" s="286" t="s">
        <v>31</v>
      </c>
      <c r="W36" s="229"/>
      <c r="X36" s="229" t="s">
        <v>31</v>
      </c>
      <c r="Y36" s="229"/>
      <c r="Z36" s="229"/>
      <c r="AA36" s="229"/>
      <c r="AB36" s="287" t="s">
        <v>345</v>
      </c>
      <c r="AC36" s="285"/>
      <c r="AD36" s="288">
        <v>44920</v>
      </c>
      <c r="AE36" s="285"/>
      <c r="AF36" s="285"/>
      <c r="AG36" s="285"/>
      <c r="AH36" s="289" t="s">
        <v>37</v>
      </c>
    </row>
    <row r="37" spans="1:34" ht="29.5" x14ac:dyDescent="0.65">
      <c r="A37" s="347"/>
      <c r="B37" s="352"/>
      <c r="C37" s="228">
        <v>29</v>
      </c>
      <c r="D37" s="298" t="s">
        <v>50</v>
      </c>
      <c r="E37" s="284" t="s">
        <v>180</v>
      </c>
      <c r="F37" s="284" t="s">
        <v>277</v>
      </c>
      <c r="G37" s="284" t="s">
        <v>343</v>
      </c>
      <c r="H37" s="284" t="s">
        <v>344</v>
      </c>
      <c r="I37" s="284" t="s">
        <v>331</v>
      </c>
      <c r="J37" s="285"/>
      <c r="K37" s="285"/>
      <c r="L37" s="285"/>
      <c r="M37" s="285"/>
      <c r="N37" s="285"/>
      <c r="O37" s="285"/>
      <c r="P37" s="294"/>
      <c r="Q37" s="284" t="s">
        <v>123</v>
      </c>
      <c r="R37" s="284" t="s">
        <v>29</v>
      </c>
      <c r="S37" s="285"/>
      <c r="T37" s="286">
        <v>125073</v>
      </c>
      <c r="U37" s="286"/>
      <c r="V37" s="286"/>
      <c r="W37" s="229" t="s">
        <v>31</v>
      </c>
      <c r="X37" s="229"/>
      <c r="Y37" s="229"/>
      <c r="Z37" s="229"/>
      <c r="AA37" s="229"/>
      <c r="AB37" s="287" t="s">
        <v>346</v>
      </c>
      <c r="AC37" s="285"/>
      <c r="AD37" s="288">
        <v>44933</v>
      </c>
      <c r="AE37" s="285"/>
      <c r="AF37" s="285"/>
      <c r="AG37" s="285"/>
      <c r="AH37" s="289" t="s">
        <v>37</v>
      </c>
    </row>
    <row r="38" spans="1:34" ht="30" thickBot="1" x14ac:dyDescent="0.7">
      <c r="A38" s="348"/>
      <c r="B38" s="353"/>
      <c r="C38" s="228">
        <v>30</v>
      </c>
      <c r="D38" s="299" t="s">
        <v>50</v>
      </c>
      <c r="E38" s="300" t="s">
        <v>180</v>
      </c>
      <c r="F38" s="300" t="s">
        <v>277</v>
      </c>
      <c r="G38" s="300" t="s">
        <v>343</v>
      </c>
      <c r="H38" s="300" t="s">
        <v>344</v>
      </c>
      <c r="I38" s="300" t="s">
        <v>331</v>
      </c>
      <c r="J38" s="301"/>
      <c r="K38" s="301"/>
      <c r="L38" s="301"/>
      <c r="M38" s="301"/>
      <c r="N38" s="301"/>
      <c r="O38" s="301"/>
      <c r="P38" s="302"/>
      <c r="Q38" s="300" t="s">
        <v>123</v>
      </c>
      <c r="R38" s="300" t="s">
        <v>29</v>
      </c>
      <c r="S38" s="301"/>
      <c r="T38" s="303">
        <v>125073</v>
      </c>
      <c r="U38" s="303"/>
      <c r="V38" s="303"/>
      <c r="W38" s="304" t="s">
        <v>31</v>
      </c>
      <c r="X38" s="304"/>
      <c r="Y38" s="304" t="s">
        <v>31</v>
      </c>
      <c r="Z38" s="304"/>
      <c r="AA38" s="304"/>
      <c r="AB38" s="305" t="s">
        <v>347</v>
      </c>
      <c r="AC38" s="301"/>
      <c r="AD38" s="306">
        <v>44947</v>
      </c>
      <c r="AE38" s="301"/>
      <c r="AF38" s="301"/>
      <c r="AG38" s="301"/>
      <c r="AH38" s="307" t="s">
        <v>37</v>
      </c>
    </row>
    <row r="39" spans="1:34" x14ac:dyDescent="0.35">
      <c r="B39" s="164" t="s">
        <v>348</v>
      </c>
      <c r="F39" s="110"/>
      <c r="G39"/>
    </row>
    <row r="40" spans="1:34" x14ac:dyDescent="0.35">
      <c r="B40" t="s">
        <v>349</v>
      </c>
      <c r="F40" s="110"/>
      <c r="G40"/>
    </row>
    <row r="41" spans="1:34" x14ac:dyDescent="0.35">
      <c r="B41" t="s">
        <v>350</v>
      </c>
      <c r="F41" s="110"/>
      <c r="G41"/>
    </row>
    <row r="42" spans="1:34" ht="31" x14ac:dyDescent="0.7">
      <c r="B42" t="s">
        <v>351</v>
      </c>
      <c r="F42" s="110"/>
      <c r="G42"/>
      <c r="H42" s="167" t="s">
        <v>352</v>
      </c>
    </row>
    <row r="43" spans="1:34" ht="31" x14ac:dyDescent="0.7">
      <c r="B43" t="s">
        <v>353</v>
      </c>
      <c r="F43" s="110"/>
      <c r="G43"/>
      <c r="H43" s="167" t="s">
        <v>354</v>
      </c>
    </row>
    <row r="44" spans="1:34" ht="31" x14ac:dyDescent="0.7">
      <c r="B44" t="s">
        <v>355</v>
      </c>
      <c r="F44" s="110"/>
      <c r="G44"/>
      <c r="H44" s="167" t="s">
        <v>356</v>
      </c>
    </row>
    <row r="45" spans="1:34" ht="31" x14ac:dyDescent="0.7">
      <c r="B45" t="s">
        <v>357</v>
      </c>
      <c r="F45" s="110"/>
      <c r="G45"/>
      <c r="H45" s="167" t="s">
        <v>358</v>
      </c>
    </row>
    <row r="46" spans="1:34" ht="31" x14ac:dyDescent="0.7">
      <c r="H46" s="167" t="s">
        <v>359</v>
      </c>
    </row>
    <row r="47" spans="1:34" ht="31" x14ac:dyDescent="0.7">
      <c r="H47" s="167" t="s">
        <v>360</v>
      </c>
    </row>
    <row r="48" spans="1:34" ht="31" x14ac:dyDescent="0.7">
      <c r="E48" t="s">
        <v>361</v>
      </c>
      <c r="F48">
        <v>388</v>
      </c>
      <c r="G48" t="s">
        <v>362</v>
      </c>
      <c r="H48" s="167" t="s">
        <v>363</v>
      </c>
    </row>
    <row r="49" spans="5:9" ht="31" x14ac:dyDescent="0.7">
      <c r="E49" t="s">
        <v>364</v>
      </c>
      <c r="F49">
        <v>387</v>
      </c>
      <c r="G49"/>
      <c r="H49" s="167" t="s">
        <v>365</v>
      </c>
    </row>
    <row r="50" spans="5:9" ht="31" x14ac:dyDescent="0.7">
      <c r="E50" t="s">
        <v>366</v>
      </c>
      <c r="F50">
        <v>223</v>
      </c>
      <c r="G50"/>
      <c r="H50" s="167" t="s">
        <v>367</v>
      </c>
    </row>
    <row r="51" spans="5:9" ht="31" x14ac:dyDescent="0.7">
      <c r="E51" t="s">
        <v>368</v>
      </c>
      <c r="F51">
        <v>389</v>
      </c>
      <c r="G51"/>
      <c r="H51" s="167" t="s">
        <v>369</v>
      </c>
    </row>
    <row r="52" spans="5:9" ht="31" x14ac:dyDescent="0.7">
      <c r="E52" t="s">
        <v>370</v>
      </c>
      <c r="F52">
        <v>386</v>
      </c>
      <c r="G52"/>
      <c r="H52" s="167" t="s">
        <v>371</v>
      </c>
    </row>
    <row r="53" spans="5:9" ht="31" x14ac:dyDescent="0.7">
      <c r="E53" t="s">
        <v>372</v>
      </c>
      <c r="F53">
        <v>390</v>
      </c>
      <c r="G53"/>
      <c r="H53" s="167" t="s">
        <v>373</v>
      </c>
    </row>
    <row r="54" spans="5:9" ht="31" x14ac:dyDescent="0.7">
      <c r="E54" t="s">
        <v>374</v>
      </c>
      <c r="F54">
        <v>225</v>
      </c>
      <c r="G54"/>
      <c r="H54" s="167" t="s">
        <v>375</v>
      </c>
    </row>
    <row r="55" spans="5:9" ht="31" x14ac:dyDescent="0.7">
      <c r="E55" t="s">
        <v>376</v>
      </c>
      <c r="F55">
        <v>224</v>
      </c>
      <c r="G55"/>
      <c r="H55" s="167" t="s">
        <v>377</v>
      </c>
    </row>
    <row r="56" spans="5:9" ht="31" x14ac:dyDescent="0.7">
      <c r="E56" t="s">
        <v>378</v>
      </c>
      <c r="F56">
        <v>392</v>
      </c>
      <c r="G56"/>
      <c r="H56" s="167" t="s">
        <v>379</v>
      </c>
    </row>
    <row r="57" spans="5:9" ht="31" x14ac:dyDescent="0.7">
      <c r="E57" t="s">
        <v>380</v>
      </c>
      <c r="F57">
        <v>395</v>
      </c>
      <c r="G57"/>
      <c r="H57" s="167" t="s">
        <v>381</v>
      </c>
    </row>
    <row r="58" spans="5:9" ht="31" x14ac:dyDescent="0.7">
      <c r="E58" t="s">
        <v>382</v>
      </c>
      <c r="F58">
        <v>391</v>
      </c>
      <c r="G58"/>
      <c r="H58" s="167" t="s">
        <v>383</v>
      </c>
    </row>
    <row r="59" spans="5:9" ht="31" x14ac:dyDescent="0.7">
      <c r="E59" t="s">
        <v>384</v>
      </c>
      <c r="F59">
        <v>222</v>
      </c>
      <c r="G59"/>
      <c r="H59" s="167" t="s">
        <v>385</v>
      </c>
    </row>
    <row r="60" spans="5:9" ht="31" x14ac:dyDescent="0.7">
      <c r="E60" t="s">
        <v>386</v>
      </c>
      <c r="F60">
        <v>235</v>
      </c>
      <c r="G60"/>
      <c r="H60" s="167" t="s">
        <v>387</v>
      </c>
    </row>
    <row r="61" spans="5:9" ht="31" x14ac:dyDescent="0.7">
      <c r="E61" t="s">
        <v>388</v>
      </c>
      <c r="F61">
        <v>226</v>
      </c>
      <c r="G61"/>
      <c r="H61" s="167" t="s">
        <v>389</v>
      </c>
    </row>
    <row r="62" spans="5:9" ht="31" x14ac:dyDescent="0.7">
      <c r="F62">
        <v>394</v>
      </c>
      <c r="G62" t="s">
        <v>390</v>
      </c>
      <c r="H62" s="168" t="s">
        <v>391</v>
      </c>
      <c r="I62" s="111"/>
    </row>
    <row r="63" spans="5:9" ht="31" x14ac:dyDescent="0.7">
      <c r="G63"/>
      <c r="H63" s="168" t="s">
        <v>392</v>
      </c>
      <c r="I63" s="111"/>
    </row>
    <row r="64" spans="5:9" ht="31" x14ac:dyDescent="0.7">
      <c r="G64"/>
      <c r="H64" s="167" t="s">
        <v>393</v>
      </c>
    </row>
    <row r="65" spans="7:8" ht="31" x14ac:dyDescent="0.7">
      <c r="G65"/>
      <c r="H65" s="167" t="s">
        <v>394</v>
      </c>
    </row>
    <row r="66" spans="7:8" ht="31" x14ac:dyDescent="0.7">
      <c r="H66" s="167" t="s">
        <v>395</v>
      </c>
    </row>
    <row r="67" spans="7:8" ht="31" x14ac:dyDescent="0.7">
      <c r="H67" s="167" t="s">
        <v>396</v>
      </c>
    </row>
    <row r="68" spans="7:8" ht="31" x14ac:dyDescent="0.7">
      <c r="H68" s="167" t="s">
        <v>397</v>
      </c>
    </row>
    <row r="69" spans="7:8" ht="31" x14ac:dyDescent="0.7">
      <c r="H69" s="167" t="s">
        <v>398</v>
      </c>
    </row>
    <row r="70" spans="7:8" ht="31" x14ac:dyDescent="0.7">
      <c r="H70" s="167" t="s">
        <v>399</v>
      </c>
    </row>
    <row r="71" spans="7:8" ht="31" x14ac:dyDescent="0.7">
      <c r="H71" s="167" t="s">
        <v>400</v>
      </c>
    </row>
    <row r="72" spans="7:8" ht="31" x14ac:dyDescent="0.7">
      <c r="H72" s="167" t="s">
        <v>401</v>
      </c>
    </row>
    <row r="73" spans="7:8" ht="31" x14ac:dyDescent="0.7">
      <c r="H73" s="167" t="s">
        <v>402</v>
      </c>
    </row>
    <row r="74" spans="7:8" ht="31" x14ac:dyDescent="0.7">
      <c r="H74" s="167" t="s">
        <v>401</v>
      </c>
    </row>
    <row r="75" spans="7:8" ht="31" x14ac:dyDescent="0.7">
      <c r="H75" s="167" t="s">
        <v>402</v>
      </c>
    </row>
  </sheetData>
  <mergeCells count="10">
    <mergeCell ref="A21:A38"/>
    <mergeCell ref="B28:B29"/>
    <mergeCell ref="B32:B33"/>
    <mergeCell ref="B36:B38"/>
    <mergeCell ref="K2:O2"/>
    <mergeCell ref="A5:A17"/>
    <mergeCell ref="B5:B7"/>
    <mergeCell ref="D8:AH8"/>
    <mergeCell ref="B9:B10"/>
    <mergeCell ref="B12:B1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1E3F-13F8-4906-A09F-921F383554F9}">
  <dimension ref="A1:AH36"/>
  <sheetViews>
    <sheetView topLeftCell="R11" workbookViewId="0">
      <selection activeCell="R28" sqref="R28"/>
    </sheetView>
  </sheetViews>
  <sheetFormatPr defaultRowHeight="14.5" x14ac:dyDescent="0.35"/>
  <cols>
    <col min="2" max="2" width="28.26953125" bestFit="1" customWidth="1"/>
    <col min="3" max="3" width="23.81640625" bestFit="1" customWidth="1"/>
    <col min="4" max="4" width="9.453125" bestFit="1" customWidth="1"/>
    <col min="6" max="6" width="85" bestFit="1" customWidth="1"/>
    <col min="7" max="7" width="84.1796875" bestFit="1" customWidth="1"/>
    <col min="8" max="8" width="57.26953125" bestFit="1" customWidth="1"/>
    <col min="9" max="9" width="23.453125" bestFit="1" customWidth="1"/>
    <col min="10" max="10" width="111" bestFit="1" customWidth="1"/>
    <col min="11" max="11" width="184.453125" bestFit="1" customWidth="1"/>
    <col min="12" max="12" width="11.54296875" bestFit="1" customWidth="1"/>
    <col min="13" max="13" width="15.453125" bestFit="1" customWidth="1"/>
    <col min="14" max="14" width="12.7265625" bestFit="1" customWidth="1"/>
    <col min="15" max="15" width="13" bestFit="1" customWidth="1"/>
    <col min="16" max="16" width="179.26953125" bestFit="1" customWidth="1"/>
    <col min="17" max="17" width="214.81640625" bestFit="1" customWidth="1"/>
    <col min="18" max="18" width="42.81640625" bestFit="1" customWidth="1"/>
    <col min="19" max="19" width="19.1796875" bestFit="1" customWidth="1"/>
    <col min="20" max="20" width="27.453125" bestFit="1" customWidth="1"/>
    <col min="21" max="21" width="14.453125" bestFit="1" customWidth="1"/>
    <col min="22" max="23" width="22.26953125" bestFit="1" customWidth="1"/>
    <col min="24" max="24" width="22.453125" bestFit="1" customWidth="1"/>
    <col min="25" max="25" width="34" bestFit="1" customWidth="1"/>
    <col min="26" max="26" width="27.1796875" bestFit="1" customWidth="1"/>
    <col min="27" max="27" width="15.453125" bestFit="1" customWidth="1"/>
    <col min="28" max="28" width="17.1796875" bestFit="1" customWidth="1"/>
    <col min="29" max="29" width="21.81640625" bestFit="1" customWidth="1"/>
    <col min="30" max="30" width="13.7265625" bestFit="1" customWidth="1"/>
    <col min="31" max="31" width="19.81640625" bestFit="1" customWidth="1"/>
    <col min="32" max="32" width="9" bestFit="1" customWidth="1"/>
    <col min="33" max="33" width="7.7265625" bestFit="1" customWidth="1"/>
    <col min="34" max="34" width="8.7265625" bestFit="1" customWidth="1"/>
  </cols>
  <sheetData>
    <row r="1" spans="1:34" x14ac:dyDescent="0.35">
      <c r="C1" t="s">
        <v>403</v>
      </c>
    </row>
    <row r="2" spans="1:34" s="110" customFormat="1" ht="29" x14ac:dyDescent="0.35">
      <c r="A2" s="110" t="s">
        <v>179</v>
      </c>
      <c r="C2" s="110" t="s">
        <v>1</v>
      </c>
      <c r="D2" s="110" t="s">
        <v>2</v>
      </c>
      <c r="E2" s="110" t="s">
        <v>180</v>
      </c>
      <c r="F2" s="110" t="s">
        <v>181</v>
      </c>
      <c r="G2" s="110" t="s">
        <v>182</v>
      </c>
      <c r="H2" s="110" t="s">
        <v>183</v>
      </c>
      <c r="I2" s="110" t="s">
        <v>184</v>
      </c>
      <c r="J2" s="110" t="s">
        <v>185</v>
      </c>
      <c r="K2" s="110" t="s">
        <v>186</v>
      </c>
      <c r="L2" s="110" t="s">
        <v>187</v>
      </c>
      <c r="M2" s="110" t="s">
        <v>188</v>
      </c>
      <c r="N2" s="110" t="s">
        <v>189</v>
      </c>
      <c r="O2" s="110" t="s">
        <v>190</v>
      </c>
      <c r="P2" s="110" t="s">
        <v>3</v>
      </c>
      <c r="Q2" s="110" t="s">
        <v>4</v>
      </c>
      <c r="R2" s="110" t="s">
        <v>5</v>
      </c>
      <c r="S2" s="110" t="s">
        <v>6</v>
      </c>
      <c r="T2" s="110" t="s">
        <v>7</v>
      </c>
      <c r="U2" s="110" t="s">
        <v>8</v>
      </c>
      <c r="V2" s="110" t="s">
        <v>191</v>
      </c>
      <c r="W2" s="110" t="s">
        <v>192</v>
      </c>
      <c r="X2" s="110" t="s">
        <v>193</v>
      </c>
      <c r="Y2" s="110" t="s">
        <v>194</v>
      </c>
      <c r="Z2" s="110" t="s">
        <v>195</v>
      </c>
      <c r="AA2" s="110" t="s">
        <v>14</v>
      </c>
      <c r="AB2" s="110" t="s">
        <v>15</v>
      </c>
      <c r="AC2" s="110" t="s">
        <v>16</v>
      </c>
      <c r="AD2" s="110" t="s">
        <v>17</v>
      </c>
      <c r="AE2" s="110" t="s">
        <v>18</v>
      </c>
      <c r="AF2" s="110" t="s">
        <v>19</v>
      </c>
      <c r="AG2" s="110" t="s">
        <v>21</v>
      </c>
      <c r="AH2" s="110" t="s">
        <v>22</v>
      </c>
    </row>
    <row r="4" spans="1:34" x14ac:dyDescent="0.35">
      <c r="A4" t="s">
        <v>24</v>
      </c>
      <c r="B4" t="s">
        <v>196</v>
      </c>
      <c r="C4" t="s">
        <v>26</v>
      </c>
      <c r="D4">
        <v>21416323</v>
      </c>
      <c r="E4" t="s">
        <v>197</v>
      </c>
      <c r="F4" t="s">
        <v>198</v>
      </c>
      <c r="G4" t="s">
        <v>199</v>
      </c>
      <c r="J4" t="s">
        <v>200</v>
      </c>
      <c r="K4" t="s">
        <v>201</v>
      </c>
      <c r="M4" t="s">
        <v>202</v>
      </c>
      <c r="Q4" t="s">
        <v>404</v>
      </c>
      <c r="R4" t="s">
        <v>204</v>
      </c>
      <c r="S4" t="s">
        <v>205</v>
      </c>
      <c r="T4">
        <v>500000</v>
      </c>
      <c r="V4" t="s">
        <v>31</v>
      </c>
      <c r="AB4" t="s">
        <v>206</v>
      </c>
      <c r="AC4" t="s">
        <v>207</v>
      </c>
      <c r="AD4">
        <v>44934</v>
      </c>
      <c r="AE4">
        <v>40</v>
      </c>
      <c r="AG4" t="s">
        <v>36</v>
      </c>
      <c r="AH4" t="s">
        <v>37</v>
      </c>
    </row>
    <row r="5" spans="1:34" x14ac:dyDescent="0.35">
      <c r="C5" t="s">
        <v>40</v>
      </c>
      <c r="D5">
        <v>21416323</v>
      </c>
      <c r="E5" t="s">
        <v>197</v>
      </c>
      <c r="F5" t="s">
        <v>198</v>
      </c>
      <c r="G5" t="s">
        <v>199</v>
      </c>
      <c r="J5" t="s">
        <v>200</v>
      </c>
      <c r="K5" t="s">
        <v>208</v>
      </c>
      <c r="M5" t="s">
        <v>202</v>
      </c>
      <c r="Q5" t="s">
        <v>209</v>
      </c>
      <c r="R5" t="s">
        <v>204</v>
      </c>
      <c r="S5" t="s">
        <v>205</v>
      </c>
      <c r="T5">
        <v>500000</v>
      </c>
      <c r="V5" t="s">
        <v>31</v>
      </c>
      <c r="AB5" t="s">
        <v>210</v>
      </c>
      <c r="AC5" t="s">
        <v>211</v>
      </c>
      <c r="AD5">
        <v>44948</v>
      </c>
      <c r="AE5">
        <v>40</v>
      </c>
      <c r="AG5" t="s">
        <v>36</v>
      </c>
      <c r="AH5" t="s">
        <v>37</v>
      </c>
    </row>
    <row r="6" spans="1:34" ht="13.9" customHeight="1" x14ac:dyDescent="0.35">
      <c r="C6" t="s">
        <v>47</v>
      </c>
      <c r="D6">
        <v>21416323</v>
      </c>
      <c r="E6" t="s">
        <v>197</v>
      </c>
      <c r="F6" t="s">
        <v>212</v>
      </c>
      <c r="G6" s="316" t="s">
        <v>199</v>
      </c>
      <c r="H6" s="316" t="s">
        <v>213</v>
      </c>
      <c r="J6" t="s">
        <v>214</v>
      </c>
      <c r="K6" t="s">
        <v>215</v>
      </c>
      <c r="L6" t="s">
        <v>187</v>
      </c>
      <c r="M6" t="s">
        <v>216</v>
      </c>
      <c r="P6" t="s">
        <v>405</v>
      </c>
      <c r="Q6" t="s">
        <v>406</v>
      </c>
      <c r="R6" t="s">
        <v>204</v>
      </c>
      <c r="S6" t="s">
        <v>205</v>
      </c>
      <c r="T6">
        <v>4730647</v>
      </c>
      <c r="V6" t="s">
        <v>31</v>
      </c>
      <c r="AB6" t="s">
        <v>219</v>
      </c>
      <c r="AC6" t="s">
        <v>220</v>
      </c>
      <c r="AD6">
        <v>44934</v>
      </c>
      <c r="AE6">
        <v>40</v>
      </c>
      <c r="AG6" t="s">
        <v>36</v>
      </c>
      <c r="AH6" t="s">
        <v>37</v>
      </c>
    </row>
    <row r="7" spans="1:34" x14ac:dyDescent="0.35">
      <c r="C7" t="s">
        <v>221</v>
      </c>
      <c r="D7" t="s">
        <v>222</v>
      </c>
    </row>
    <row r="8" spans="1:34" x14ac:dyDescent="0.35">
      <c r="B8" t="s">
        <v>223</v>
      </c>
      <c r="C8" t="s">
        <v>63</v>
      </c>
      <c r="D8">
        <v>21416323</v>
      </c>
      <c r="E8" t="s">
        <v>197</v>
      </c>
      <c r="F8" t="s">
        <v>224</v>
      </c>
      <c r="H8" t="s">
        <v>225</v>
      </c>
      <c r="I8" t="s">
        <v>179</v>
      </c>
      <c r="J8" t="s">
        <v>226</v>
      </c>
      <c r="K8" t="s">
        <v>227</v>
      </c>
      <c r="M8" t="s">
        <v>239</v>
      </c>
      <c r="P8" t="s">
        <v>179</v>
      </c>
      <c r="Q8" t="s">
        <v>233</v>
      </c>
      <c r="R8" t="s">
        <v>204</v>
      </c>
      <c r="T8">
        <v>100000</v>
      </c>
      <c r="V8" t="s">
        <v>31</v>
      </c>
      <c r="AB8" t="s">
        <v>407</v>
      </c>
      <c r="AC8" t="s">
        <v>408</v>
      </c>
      <c r="AD8">
        <v>44934</v>
      </c>
      <c r="AE8">
        <v>55</v>
      </c>
      <c r="AF8" t="s">
        <v>179</v>
      </c>
      <c r="AG8" t="s">
        <v>36</v>
      </c>
      <c r="AH8" t="s">
        <v>37</v>
      </c>
    </row>
    <row r="9" spans="1:34" x14ac:dyDescent="0.35">
      <c r="C9" t="s">
        <v>70</v>
      </c>
      <c r="D9">
        <v>21416323</v>
      </c>
      <c r="E9" t="s">
        <v>197</v>
      </c>
      <c r="F9" t="s">
        <v>224</v>
      </c>
      <c r="H9" t="s">
        <v>225</v>
      </c>
      <c r="J9" t="s">
        <v>226</v>
      </c>
      <c r="K9" t="s">
        <v>232</v>
      </c>
      <c r="M9" t="s">
        <v>239</v>
      </c>
      <c r="Q9" t="s">
        <v>233</v>
      </c>
      <c r="R9" t="s">
        <v>204</v>
      </c>
      <c r="T9">
        <v>100000</v>
      </c>
      <c r="V9" t="s">
        <v>31</v>
      </c>
      <c r="AB9" t="s">
        <v>234</v>
      </c>
      <c r="AC9" t="s">
        <v>235</v>
      </c>
      <c r="AD9">
        <v>44948</v>
      </c>
      <c r="AE9">
        <v>55</v>
      </c>
      <c r="AG9" t="s">
        <v>36</v>
      </c>
      <c r="AH9" t="s">
        <v>37</v>
      </c>
    </row>
    <row r="10" spans="1:34" x14ac:dyDescent="0.35">
      <c r="B10" t="s">
        <v>236</v>
      </c>
      <c r="C10" t="s">
        <v>78</v>
      </c>
      <c r="D10">
        <v>21416323</v>
      </c>
      <c r="E10" t="s">
        <v>197</v>
      </c>
      <c r="F10" t="s">
        <v>224</v>
      </c>
      <c r="H10" t="s">
        <v>237</v>
      </c>
      <c r="I10" t="s">
        <v>179</v>
      </c>
      <c r="J10" t="s">
        <v>238</v>
      </c>
      <c r="M10" t="s">
        <v>239</v>
      </c>
      <c r="P10" t="s">
        <v>179</v>
      </c>
      <c r="Q10" t="s">
        <v>409</v>
      </c>
      <c r="R10" t="s">
        <v>204</v>
      </c>
      <c r="T10">
        <v>100486</v>
      </c>
      <c r="V10" t="s">
        <v>31</v>
      </c>
      <c r="AB10" t="s">
        <v>241</v>
      </c>
      <c r="AC10" t="s">
        <v>242</v>
      </c>
      <c r="AD10">
        <v>44934</v>
      </c>
      <c r="AE10">
        <v>55</v>
      </c>
      <c r="AF10" t="s">
        <v>179</v>
      </c>
      <c r="AG10" t="s">
        <v>36</v>
      </c>
      <c r="AH10" t="s">
        <v>37</v>
      </c>
    </row>
    <row r="11" spans="1:34" x14ac:dyDescent="0.35">
      <c r="B11" t="s">
        <v>243</v>
      </c>
      <c r="C11" t="s">
        <v>85</v>
      </c>
      <c r="D11">
        <v>21416323</v>
      </c>
      <c r="E11" t="s">
        <v>197</v>
      </c>
      <c r="F11" t="s">
        <v>244</v>
      </c>
      <c r="K11" t="s">
        <v>245</v>
      </c>
      <c r="M11" t="s">
        <v>228</v>
      </c>
      <c r="P11" t="s">
        <v>246</v>
      </c>
      <c r="Q11" t="s">
        <v>410</v>
      </c>
      <c r="R11" t="s">
        <v>204</v>
      </c>
      <c r="T11">
        <v>265555</v>
      </c>
      <c r="V11" t="s">
        <v>31</v>
      </c>
      <c r="AB11" t="s">
        <v>248</v>
      </c>
      <c r="AC11" t="s">
        <v>249</v>
      </c>
      <c r="AD11">
        <v>44934</v>
      </c>
      <c r="AE11">
        <v>40</v>
      </c>
      <c r="AG11" t="s">
        <v>36</v>
      </c>
      <c r="AH11" t="s">
        <v>37</v>
      </c>
    </row>
    <row r="12" spans="1:34" x14ac:dyDescent="0.35">
      <c r="C12" t="s">
        <v>92</v>
      </c>
      <c r="D12">
        <v>21416323</v>
      </c>
      <c r="E12" t="s">
        <v>197</v>
      </c>
      <c r="F12" t="s">
        <v>250</v>
      </c>
      <c r="K12" t="s">
        <v>251</v>
      </c>
      <c r="M12" t="s">
        <v>228</v>
      </c>
      <c r="P12" t="s">
        <v>246</v>
      </c>
      <c r="Q12" t="s">
        <v>411</v>
      </c>
      <c r="R12" t="s">
        <v>204</v>
      </c>
      <c r="T12">
        <v>265555</v>
      </c>
      <c r="X12" t="s">
        <v>253</v>
      </c>
      <c r="AB12" t="s">
        <v>254</v>
      </c>
      <c r="AC12" t="s">
        <v>249</v>
      </c>
      <c r="AD12">
        <v>44948</v>
      </c>
      <c r="AE12">
        <v>40</v>
      </c>
      <c r="AG12" t="s">
        <v>36</v>
      </c>
      <c r="AH12" t="s">
        <v>37</v>
      </c>
    </row>
    <row r="13" spans="1:34" x14ac:dyDescent="0.35">
      <c r="B13" t="s">
        <v>255</v>
      </c>
      <c r="C13" t="s">
        <v>256</v>
      </c>
      <c r="D13">
        <v>21416323</v>
      </c>
      <c r="E13" t="s">
        <v>197</v>
      </c>
      <c r="F13" t="s">
        <v>257</v>
      </c>
      <c r="H13" t="s">
        <v>258</v>
      </c>
      <c r="M13" t="s">
        <v>228</v>
      </c>
      <c r="Q13" t="s">
        <v>412</v>
      </c>
      <c r="R13" t="s">
        <v>204</v>
      </c>
      <c r="T13">
        <v>55707</v>
      </c>
      <c r="V13" t="s">
        <v>31</v>
      </c>
      <c r="AB13" t="s">
        <v>95</v>
      </c>
      <c r="AC13" t="s">
        <v>96</v>
      </c>
      <c r="AD13">
        <v>44934</v>
      </c>
      <c r="AE13">
        <v>55</v>
      </c>
      <c r="AG13" t="s">
        <v>36</v>
      </c>
      <c r="AH13" t="s">
        <v>37</v>
      </c>
    </row>
    <row r="14" spans="1:34" x14ac:dyDescent="0.35">
      <c r="B14" t="s">
        <v>260</v>
      </c>
      <c r="C14" t="s">
        <v>105</v>
      </c>
      <c r="D14">
        <v>21416323</v>
      </c>
      <c r="E14" t="s">
        <v>197</v>
      </c>
      <c r="F14" t="s">
        <v>257</v>
      </c>
      <c r="H14">
        <v>388</v>
      </c>
      <c r="M14" t="s">
        <v>228</v>
      </c>
      <c r="Q14" t="s">
        <v>413</v>
      </c>
      <c r="R14" t="s">
        <v>648</v>
      </c>
      <c r="T14">
        <v>1000</v>
      </c>
      <c r="V14" t="s">
        <v>31</v>
      </c>
      <c r="AB14" t="s">
        <v>262</v>
      </c>
      <c r="AC14" t="s">
        <v>263</v>
      </c>
      <c r="AD14">
        <v>44934</v>
      </c>
      <c r="AE14">
        <v>55</v>
      </c>
      <c r="AG14" t="s">
        <v>36</v>
      </c>
      <c r="AH14" t="s">
        <v>37</v>
      </c>
    </row>
    <row r="15" spans="1:34" x14ac:dyDescent="0.35">
      <c r="B15" t="s">
        <v>264</v>
      </c>
      <c r="C15" t="s">
        <v>111</v>
      </c>
      <c r="D15">
        <v>21416323</v>
      </c>
      <c r="E15" t="s">
        <v>197</v>
      </c>
      <c r="F15" t="s">
        <v>257</v>
      </c>
      <c r="G15" t="s">
        <v>265</v>
      </c>
      <c r="I15" t="s">
        <v>179</v>
      </c>
      <c r="J15" t="s">
        <v>266</v>
      </c>
      <c r="L15" t="s">
        <v>187</v>
      </c>
      <c r="M15" t="s">
        <v>228</v>
      </c>
      <c r="P15" t="s">
        <v>179</v>
      </c>
      <c r="Q15" t="s">
        <v>414</v>
      </c>
      <c r="R15" t="s">
        <v>204</v>
      </c>
      <c r="S15" t="s">
        <v>50</v>
      </c>
      <c r="T15">
        <v>658486</v>
      </c>
      <c r="V15" t="s">
        <v>31</v>
      </c>
      <c r="AB15" t="s">
        <v>268</v>
      </c>
      <c r="AC15" t="s">
        <v>269</v>
      </c>
      <c r="AD15">
        <v>44934</v>
      </c>
      <c r="AE15">
        <v>40</v>
      </c>
      <c r="AF15" t="s">
        <v>179</v>
      </c>
      <c r="AG15" t="s">
        <v>36</v>
      </c>
      <c r="AH15" t="s">
        <v>37</v>
      </c>
    </row>
    <row r="16" spans="1:34" x14ac:dyDescent="0.35">
      <c r="B16" t="s">
        <v>270</v>
      </c>
      <c r="C16" t="s">
        <v>121</v>
      </c>
      <c r="D16">
        <v>21416323</v>
      </c>
      <c r="E16" t="s">
        <v>197</v>
      </c>
      <c r="F16" t="s">
        <v>271</v>
      </c>
      <c r="G16" t="s">
        <v>265</v>
      </c>
      <c r="M16" t="s">
        <v>228</v>
      </c>
      <c r="Q16" t="s">
        <v>414</v>
      </c>
      <c r="R16" t="s">
        <v>204</v>
      </c>
      <c r="T16">
        <v>265701</v>
      </c>
      <c r="X16" t="s">
        <v>253</v>
      </c>
      <c r="AB16" t="s">
        <v>272</v>
      </c>
      <c r="AC16" t="s">
        <v>273</v>
      </c>
      <c r="AD16">
        <v>44948</v>
      </c>
      <c r="AE16">
        <v>40</v>
      </c>
      <c r="AG16" t="s">
        <v>36</v>
      </c>
      <c r="AH16" t="s">
        <v>37</v>
      </c>
    </row>
    <row r="17" spans="1:34" x14ac:dyDescent="0.35">
      <c r="C17" t="s">
        <v>274</v>
      </c>
      <c r="D17">
        <v>7543137</v>
      </c>
      <c r="S17" t="s">
        <v>118</v>
      </c>
      <c r="T17">
        <v>7543137</v>
      </c>
      <c r="U17">
        <v>0</v>
      </c>
    </row>
    <row r="19" spans="1:34" x14ac:dyDescent="0.35">
      <c r="A19" s="165" t="s">
        <v>275</v>
      </c>
      <c r="B19" s="165" t="s">
        <v>276</v>
      </c>
      <c r="C19" s="165" t="s">
        <v>1</v>
      </c>
      <c r="D19" s="165" t="s">
        <v>2</v>
      </c>
      <c r="E19" s="165" t="s">
        <v>180</v>
      </c>
      <c r="F19" s="165" t="s">
        <v>181</v>
      </c>
      <c r="G19" s="165" t="s">
        <v>182</v>
      </c>
      <c r="H19" s="165" t="s">
        <v>183</v>
      </c>
      <c r="I19" s="165" t="s">
        <v>184</v>
      </c>
      <c r="J19" s="165" t="s">
        <v>185</v>
      </c>
      <c r="K19" s="165" t="s">
        <v>186</v>
      </c>
      <c r="L19" s="165" t="s">
        <v>187</v>
      </c>
      <c r="M19" s="165" t="s">
        <v>188</v>
      </c>
      <c r="N19" s="165" t="s">
        <v>189</v>
      </c>
      <c r="O19" s="165" t="s">
        <v>190</v>
      </c>
      <c r="P19" s="165" t="s">
        <v>3</v>
      </c>
      <c r="Q19" s="165" t="s">
        <v>4</v>
      </c>
      <c r="R19" s="165" t="s">
        <v>5</v>
      </c>
      <c r="S19" s="165" t="s">
        <v>6</v>
      </c>
      <c r="T19" s="165" t="s">
        <v>7</v>
      </c>
      <c r="U19" s="165" t="s">
        <v>8</v>
      </c>
      <c r="V19" s="165" t="s">
        <v>191</v>
      </c>
      <c r="W19" s="165" t="s">
        <v>192</v>
      </c>
      <c r="X19" s="165" t="s">
        <v>193</v>
      </c>
      <c r="Y19" s="165" t="s">
        <v>194</v>
      </c>
      <c r="Z19" s="165" t="s">
        <v>195</v>
      </c>
      <c r="AA19" s="165" t="s">
        <v>14</v>
      </c>
      <c r="AB19" s="165" t="s">
        <v>15</v>
      </c>
      <c r="AC19" s="165" t="s">
        <v>16</v>
      </c>
      <c r="AD19" s="165" t="s">
        <v>17</v>
      </c>
      <c r="AE19" s="165" t="s">
        <v>18</v>
      </c>
      <c r="AF19" s="165" t="s">
        <v>19</v>
      </c>
      <c r="AG19" s="165" t="s">
        <v>21</v>
      </c>
      <c r="AH19" s="165" t="s">
        <v>22</v>
      </c>
    </row>
    <row r="20" spans="1:34" x14ac:dyDescent="0.35">
      <c r="B20" t="s">
        <v>145</v>
      </c>
      <c r="C20" t="s">
        <v>128</v>
      </c>
      <c r="D20">
        <v>21544323</v>
      </c>
      <c r="E20" t="s">
        <v>180</v>
      </c>
      <c r="F20" t="s">
        <v>277</v>
      </c>
      <c r="G20" t="s">
        <v>278</v>
      </c>
      <c r="H20" t="s">
        <v>415</v>
      </c>
      <c r="I20" t="s">
        <v>280</v>
      </c>
      <c r="Q20" t="s">
        <v>281</v>
      </c>
      <c r="R20" t="s">
        <v>29</v>
      </c>
      <c r="T20">
        <v>52110</v>
      </c>
      <c r="V20" t="s">
        <v>31</v>
      </c>
      <c r="AB20" t="s">
        <v>282</v>
      </c>
      <c r="AD20">
        <v>44926</v>
      </c>
      <c r="AH20" t="s">
        <v>37</v>
      </c>
    </row>
    <row r="21" spans="1:34" x14ac:dyDescent="0.35">
      <c r="B21" t="s">
        <v>138</v>
      </c>
      <c r="C21" t="s">
        <v>133</v>
      </c>
      <c r="D21">
        <v>21544123</v>
      </c>
      <c r="E21" t="s">
        <v>180</v>
      </c>
      <c r="F21" t="s">
        <v>277</v>
      </c>
      <c r="G21" t="s">
        <v>283</v>
      </c>
      <c r="H21" t="s">
        <v>416</v>
      </c>
      <c r="I21" t="s">
        <v>285</v>
      </c>
      <c r="Q21" t="s">
        <v>281</v>
      </c>
      <c r="R21" t="s">
        <v>29</v>
      </c>
      <c r="T21">
        <v>41904</v>
      </c>
      <c r="V21" t="s">
        <v>31</v>
      </c>
      <c r="AB21" t="s">
        <v>286</v>
      </c>
      <c r="AD21">
        <v>44926</v>
      </c>
      <c r="AH21" t="s">
        <v>37</v>
      </c>
    </row>
    <row r="22" spans="1:34" x14ac:dyDescent="0.35">
      <c r="B22" t="s">
        <v>150</v>
      </c>
      <c r="C22" t="s">
        <v>139</v>
      </c>
      <c r="D22">
        <v>21543722</v>
      </c>
      <c r="E22" t="s">
        <v>180</v>
      </c>
      <c r="F22" t="s">
        <v>277</v>
      </c>
      <c r="G22" t="s">
        <v>287</v>
      </c>
      <c r="H22" t="s">
        <v>417</v>
      </c>
      <c r="I22" t="s">
        <v>285</v>
      </c>
      <c r="Q22" t="s">
        <v>281</v>
      </c>
      <c r="R22" t="s">
        <v>29</v>
      </c>
      <c r="T22">
        <v>42847</v>
      </c>
      <c r="V22" t="s">
        <v>31</v>
      </c>
      <c r="AB22" t="s">
        <v>289</v>
      </c>
      <c r="AD22">
        <v>44926</v>
      </c>
      <c r="AH22" t="s">
        <v>37</v>
      </c>
    </row>
    <row r="23" spans="1:34" x14ac:dyDescent="0.35">
      <c r="B23" t="s">
        <v>155</v>
      </c>
      <c r="C23" t="s">
        <v>146</v>
      </c>
      <c r="D23">
        <v>21544223</v>
      </c>
      <c r="E23" t="s">
        <v>180</v>
      </c>
      <c r="F23" t="s">
        <v>277</v>
      </c>
      <c r="G23" t="s">
        <v>290</v>
      </c>
      <c r="H23" t="s">
        <v>418</v>
      </c>
      <c r="I23" t="s">
        <v>280</v>
      </c>
      <c r="Q23" t="s">
        <v>123</v>
      </c>
      <c r="R23" t="s">
        <v>29</v>
      </c>
      <c r="T23">
        <v>41004</v>
      </c>
      <c r="V23" t="s">
        <v>31</v>
      </c>
      <c r="AB23" t="s">
        <v>292</v>
      </c>
      <c r="AD23">
        <v>44926</v>
      </c>
      <c r="AH23" t="s">
        <v>37</v>
      </c>
    </row>
    <row r="24" spans="1:34" x14ac:dyDescent="0.35">
      <c r="B24" t="s">
        <v>160</v>
      </c>
      <c r="C24" t="s">
        <v>151</v>
      </c>
      <c r="D24">
        <v>21427223</v>
      </c>
      <c r="E24" t="s">
        <v>180</v>
      </c>
      <c r="F24" t="s">
        <v>277</v>
      </c>
      <c r="G24" t="s">
        <v>293</v>
      </c>
      <c r="H24" t="s">
        <v>419</v>
      </c>
      <c r="I24" t="s">
        <v>295</v>
      </c>
      <c r="Q24" t="s">
        <v>123</v>
      </c>
      <c r="R24" t="s">
        <v>29</v>
      </c>
      <c r="T24">
        <v>58942</v>
      </c>
      <c r="V24" t="s">
        <v>31</v>
      </c>
      <c r="AB24" t="s">
        <v>296</v>
      </c>
      <c r="AD24">
        <v>44926</v>
      </c>
      <c r="AH24" t="s">
        <v>37</v>
      </c>
    </row>
    <row r="25" spans="1:34" x14ac:dyDescent="0.35">
      <c r="B25" t="s">
        <v>297</v>
      </c>
      <c r="C25" t="s">
        <v>156</v>
      </c>
      <c r="D25">
        <v>21452923</v>
      </c>
      <c r="E25" t="s">
        <v>180</v>
      </c>
      <c r="F25" t="s">
        <v>277</v>
      </c>
      <c r="G25" t="s">
        <v>298</v>
      </c>
      <c r="H25" t="s">
        <v>420</v>
      </c>
      <c r="I25" t="s">
        <v>300</v>
      </c>
      <c r="P25" t="s">
        <v>301</v>
      </c>
      <c r="Q25" t="s">
        <v>135</v>
      </c>
      <c r="R25" t="s">
        <v>302</v>
      </c>
      <c r="T25">
        <v>71134</v>
      </c>
      <c r="W25" t="s">
        <v>31</v>
      </c>
      <c r="AB25" t="s">
        <v>303</v>
      </c>
      <c r="AD25">
        <v>44931</v>
      </c>
      <c r="AH25" t="s">
        <v>304</v>
      </c>
    </row>
    <row r="26" spans="1:34" x14ac:dyDescent="0.35">
      <c r="B26" t="s">
        <v>305</v>
      </c>
      <c r="C26" t="s">
        <v>161</v>
      </c>
      <c r="D26">
        <v>21415823</v>
      </c>
      <c r="E26" t="s">
        <v>180</v>
      </c>
      <c r="F26" t="s">
        <v>277</v>
      </c>
      <c r="G26" t="s">
        <v>306</v>
      </c>
      <c r="H26" t="s">
        <v>421</v>
      </c>
      <c r="I26" t="s">
        <v>300</v>
      </c>
      <c r="P26" t="s">
        <v>308</v>
      </c>
      <c r="Q26" t="s">
        <v>135</v>
      </c>
      <c r="R26" t="s">
        <v>309</v>
      </c>
      <c r="T26">
        <v>67500</v>
      </c>
      <c r="V26" t="s">
        <v>31</v>
      </c>
      <c r="AB26" t="s">
        <v>310</v>
      </c>
      <c r="AD26">
        <v>44926</v>
      </c>
      <c r="AH26" t="s">
        <v>311</v>
      </c>
    </row>
    <row r="27" spans="1:34" x14ac:dyDescent="0.35">
      <c r="C27" t="s">
        <v>166</v>
      </c>
      <c r="D27">
        <v>21415823</v>
      </c>
      <c r="E27" t="s">
        <v>180</v>
      </c>
      <c r="F27" t="s">
        <v>277</v>
      </c>
      <c r="G27" t="s">
        <v>306</v>
      </c>
      <c r="H27" t="s">
        <v>421</v>
      </c>
      <c r="I27" t="s">
        <v>300</v>
      </c>
      <c r="P27" t="s">
        <v>312</v>
      </c>
      <c r="Q27" t="s">
        <v>135</v>
      </c>
      <c r="R27" t="s">
        <v>313</v>
      </c>
      <c r="T27">
        <v>67500</v>
      </c>
      <c r="X27" t="s">
        <v>31</v>
      </c>
      <c r="AB27" t="s">
        <v>314</v>
      </c>
      <c r="AD27">
        <v>44945</v>
      </c>
      <c r="AH27" t="s">
        <v>315</v>
      </c>
    </row>
    <row r="28" spans="1:34" x14ac:dyDescent="0.35">
      <c r="B28" t="s">
        <v>316</v>
      </c>
      <c r="C28" t="s">
        <v>422</v>
      </c>
      <c r="D28">
        <v>21415923</v>
      </c>
      <c r="E28" t="s">
        <v>180</v>
      </c>
      <c r="F28" t="s">
        <v>277</v>
      </c>
      <c r="G28" t="s">
        <v>317</v>
      </c>
      <c r="H28" t="s">
        <v>423</v>
      </c>
      <c r="I28" t="s">
        <v>300</v>
      </c>
      <c r="P28" t="s">
        <v>319</v>
      </c>
      <c r="Q28" t="s">
        <v>135</v>
      </c>
      <c r="R28" t="s">
        <v>302</v>
      </c>
      <c r="T28">
        <v>69000</v>
      </c>
      <c r="W28" t="s">
        <v>31</v>
      </c>
      <c r="AB28" t="s">
        <v>320</v>
      </c>
      <c r="AD28">
        <v>44931</v>
      </c>
      <c r="AH28" t="s">
        <v>315</v>
      </c>
    </row>
    <row r="29" spans="1:34" x14ac:dyDescent="0.35">
      <c r="B29" t="s">
        <v>321</v>
      </c>
      <c r="C29" t="s">
        <v>424</v>
      </c>
      <c r="D29">
        <v>21417923</v>
      </c>
      <c r="E29" t="s">
        <v>180</v>
      </c>
      <c r="F29" t="s">
        <v>277</v>
      </c>
      <c r="G29" t="s">
        <v>322</v>
      </c>
      <c r="H29" t="s">
        <v>425</v>
      </c>
      <c r="I29" t="s">
        <v>300</v>
      </c>
      <c r="Q29" t="s">
        <v>123</v>
      </c>
      <c r="R29" t="s">
        <v>29</v>
      </c>
      <c r="T29">
        <v>50647</v>
      </c>
      <c r="W29" t="s">
        <v>31</v>
      </c>
      <c r="AB29" t="s">
        <v>324</v>
      </c>
      <c r="AD29">
        <v>44940</v>
      </c>
      <c r="AH29" t="s">
        <v>37</v>
      </c>
    </row>
    <row r="30" spans="1:34" x14ac:dyDescent="0.35">
      <c r="B30" t="s">
        <v>325</v>
      </c>
      <c r="C30" t="s">
        <v>426</v>
      </c>
      <c r="D30">
        <v>21417823</v>
      </c>
      <c r="E30" t="s">
        <v>180</v>
      </c>
      <c r="F30" t="s">
        <v>277</v>
      </c>
      <c r="G30" t="s">
        <v>326</v>
      </c>
      <c r="H30" t="s">
        <v>427</v>
      </c>
      <c r="I30" t="s">
        <v>295</v>
      </c>
      <c r="P30" t="s">
        <v>328</v>
      </c>
      <c r="Q30" t="s">
        <v>123</v>
      </c>
      <c r="R30" t="s">
        <v>329</v>
      </c>
      <c r="T30">
        <v>109209</v>
      </c>
      <c r="V30" t="s">
        <v>31</v>
      </c>
      <c r="AB30" t="s">
        <v>330</v>
      </c>
      <c r="AD30">
        <v>44926</v>
      </c>
      <c r="AH30" t="s">
        <v>311</v>
      </c>
    </row>
    <row r="31" spans="1:34" x14ac:dyDescent="0.35">
      <c r="C31" t="s">
        <v>428</v>
      </c>
      <c r="D31">
        <v>21417823</v>
      </c>
      <c r="E31" t="s">
        <v>180</v>
      </c>
      <c r="F31" t="s">
        <v>277</v>
      </c>
      <c r="G31" t="s">
        <v>326</v>
      </c>
      <c r="H31" t="s">
        <v>427</v>
      </c>
      <c r="I31" t="s">
        <v>331</v>
      </c>
      <c r="Q31" t="s">
        <v>123</v>
      </c>
      <c r="R31" t="s">
        <v>332</v>
      </c>
      <c r="T31">
        <v>70000</v>
      </c>
      <c r="X31" t="s">
        <v>31</v>
      </c>
      <c r="AB31" t="s">
        <v>333</v>
      </c>
      <c r="AD31">
        <v>44940</v>
      </c>
      <c r="AH31" t="s">
        <v>37</v>
      </c>
    </row>
    <row r="32" spans="1:34" x14ac:dyDescent="0.35">
      <c r="B32" t="s">
        <v>334</v>
      </c>
      <c r="C32" t="s">
        <v>429</v>
      </c>
      <c r="D32" t="s">
        <v>50</v>
      </c>
      <c r="E32" t="s">
        <v>180</v>
      </c>
      <c r="F32" t="s">
        <v>277</v>
      </c>
      <c r="G32" t="s">
        <v>335</v>
      </c>
      <c r="H32" t="s">
        <v>430</v>
      </c>
      <c r="I32" t="s">
        <v>331</v>
      </c>
      <c r="Q32" t="s">
        <v>123</v>
      </c>
      <c r="R32" t="s">
        <v>29</v>
      </c>
      <c r="T32">
        <v>68730</v>
      </c>
      <c r="X32" t="s">
        <v>31</v>
      </c>
      <c r="AB32" t="s">
        <v>337</v>
      </c>
      <c r="AD32">
        <v>44945</v>
      </c>
      <c r="AH32" t="s">
        <v>37</v>
      </c>
    </row>
    <row r="33" spans="2:34" x14ac:dyDescent="0.35">
      <c r="B33" t="s">
        <v>338</v>
      </c>
      <c r="C33" t="s">
        <v>431</v>
      </c>
      <c r="D33" t="s">
        <v>50</v>
      </c>
      <c r="E33" t="s">
        <v>180</v>
      </c>
      <c r="F33" t="s">
        <v>277</v>
      </c>
      <c r="G33" t="s">
        <v>339</v>
      </c>
      <c r="H33" t="s">
        <v>432</v>
      </c>
      <c r="I33" t="s">
        <v>295</v>
      </c>
      <c r="Q33" t="s">
        <v>123</v>
      </c>
      <c r="R33" t="s">
        <v>29</v>
      </c>
      <c r="T33">
        <v>155645</v>
      </c>
      <c r="X33" t="s">
        <v>31</v>
      </c>
      <c r="AB33" t="s">
        <v>341</v>
      </c>
      <c r="AD33">
        <v>44940</v>
      </c>
      <c r="AH33" t="s">
        <v>37</v>
      </c>
    </row>
    <row r="34" spans="2:34" x14ac:dyDescent="0.35">
      <c r="B34" t="s">
        <v>342</v>
      </c>
      <c r="C34" t="s">
        <v>433</v>
      </c>
      <c r="D34" t="s">
        <v>50</v>
      </c>
      <c r="E34" t="s">
        <v>180</v>
      </c>
      <c r="F34" t="s">
        <v>277</v>
      </c>
      <c r="G34" t="s">
        <v>343</v>
      </c>
      <c r="H34" t="s">
        <v>434</v>
      </c>
      <c r="I34" t="s">
        <v>295</v>
      </c>
      <c r="Q34" t="s">
        <v>123</v>
      </c>
      <c r="R34" t="s">
        <v>29</v>
      </c>
      <c r="T34">
        <v>183100</v>
      </c>
      <c r="V34" t="s">
        <v>31</v>
      </c>
      <c r="X34" t="s">
        <v>31</v>
      </c>
      <c r="AB34" t="s">
        <v>345</v>
      </c>
      <c r="AD34">
        <v>44920</v>
      </c>
      <c r="AH34" t="s">
        <v>37</v>
      </c>
    </row>
    <row r="35" spans="2:34" x14ac:dyDescent="0.35">
      <c r="C35" t="s">
        <v>435</v>
      </c>
      <c r="D35" t="s">
        <v>50</v>
      </c>
      <c r="E35" t="s">
        <v>180</v>
      </c>
      <c r="F35" t="s">
        <v>277</v>
      </c>
      <c r="G35" t="s">
        <v>343</v>
      </c>
      <c r="H35" t="s">
        <v>434</v>
      </c>
      <c r="I35" t="s">
        <v>331</v>
      </c>
      <c r="Q35" t="s">
        <v>123</v>
      </c>
      <c r="R35" t="s">
        <v>29</v>
      </c>
      <c r="T35">
        <v>125073</v>
      </c>
      <c r="W35" t="s">
        <v>31</v>
      </c>
      <c r="AB35" t="s">
        <v>346</v>
      </c>
      <c r="AD35">
        <v>44933</v>
      </c>
      <c r="AH35" t="s">
        <v>37</v>
      </c>
    </row>
    <row r="36" spans="2:34" x14ac:dyDescent="0.35">
      <c r="C36" t="s">
        <v>436</v>
      </c>
      <c r="D36" t="s">
        <v>50</v>
      </c>
      <c r="E36" t="s">
        <v>180</v>
      </c>
      <c r="F36" t="s">
        <v>277</v>
      </c>
      <c r="G36" t="s">
        <v>343</v>
      </c>
      <c r="H36" t="s">
        <v>434</v>
      </c>
      <c r="I36" t="s">
        <v>331</v>
      </c>
      <c r="Q36" t="s">
        <v>123</v>
      </c>
      <c r="R36" t="s">
        <v>29</v>
      </c>
      <c r="T36">
        <v>125073</v>
      </c>
      <c r="W36" t="s">
        <v>31</v>
      </c>
      <c r="Y36" t="s">
        <v>31</v>
      </c>
      <c r="AB36" t="s">
        <v>347</v>
      </c>
      <c r="AD36">
        <v>44947</v>
      </c>
      <c r="AH36" t="s">
        <v>37</v>
      </c>
    </row>
  </sheetData>
  <phoneticPr fontId="7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A721-7B13-4052-A7E2-13026BA1CDC3}">
  <dimension ref="B2:B11"/>
  <sheetViews>
    <sheetView zoomScale="70" zoomScaleNormal="70" workbookViewId="0">
      <selection activeCell="B7" sqref="B7"/>
    </sheetView>
  </sheetViews>
  <sheetFormatPr defaultRowHeight="14.5" x14ac:dyDescent="0.35"/>
  <cols>
    <col min="2" max="2" width="44.1796875" bestFit="1" customWidth="1"/>
  </cols>
  <sheetData>
    <row r="2" spans="2:2" x14ac:dyDescent="0.35">
      <c r="B2" s="331" t="s">
        <v>647</v>
      </c>
    </row>
    <row r="3" spans="2:2" ht="46.5" customHeight="1" x14ac:dyDescent="0.35">
      <c r="B3" s="332" t="s">
        <v>204</v>
      </c>
    </row>
    <row r="4" spans="2:2" x14ac:dyDescent="0.35">
      <c r="B4" s="332" t="s">
        <v>29</v>
      </c>
    </row>
    <row r="5" spans="2:2" x14ac:dyDescent="0.35">
      <c r="B5" s="332" t="s">
        <v>302</v>
      </c>
    </row>
    <row r="6" spans="2:2" x14ac:dyDescent="0.35">
      <c r="B6" s="332" t="s">
        <v>309</v>
      </c>
    </row>
    <row r="7" spans="2:2" x14ac:dyDescent="0.35">
      <c r="B7" s="332" t="s">
        <v>313</v>
      </c>
    </row>
    <row r="8" spans="2:2" x14ac:dyDescent="0.35">
      <c r="B8" s="332" t="s">
        <v>329</v>
      </c>
    </row>
    <row r="9" spans="2:2" x14ac:dyDescent="0.35">
      <c r="B9" s="332" t="s">
        <v>332</v>
      </c>
    </row>
    <row r="10" spans="2:2" x14ac:dyDescent="0.35">
      <c r="B10" s="333"/>
    </row>
    <row r="11" spans="2:2" x14ac:dyDescent="0.35">
      <c r="B11" s="3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tabSelected="1" topLeftCell="B1" workbookViewId="0">
      <pane xSplit="2" ySplit="1" topLeftCell="G11" activePane="bottomRight" state="frozen"/>
      <selection pane="topRight"/>
      <selection pane="bottomLeft"/>
      <selection pane="bottomRight" activeCell="I19" sqref="I19"/>
    </sheetView>
  </sheetViews>
  <sheetFormatPr defaultRowHeight="14.5" x14ac:dyDescent="0.35"/>
  <cols>
    <col min="1" max="1" width="10.1796875" bestFit="1" customWidth="1"/>
    <col min="2" max="2" width="14.54296875" bestFit="1" customWidth="1"/>
    <col min="3" max="3" width="11.453125" bestFit="1" customWidth="1"/>
    <col min="4" max="4" width="25.81640625" customWidth="1"/>
    <col min="5" max="5" width="14.1796875" customWidth="1"/>
    <col min="6" max="6" width="33" customWidth="1"/>
    <col min="7" max="7" width="10.26953125" customWidth="1"/>
    <col min="8" max="8" width="15.7265625" customWidth="1"/>
    <col min="9" max="9" width="13.453125" customWidth="1"/>
    <col min="10" max="10" width="15.7265625" customWidth="1"/>
    <col min="11" max="11" width="41" customWidth="1"/>
    <col min="12" max="12" width="14" bestFit="1" customWidth="1"/>
    <col min="13" max="13" width="16.453125" bestFit="1" customWidth="1"/>
    <col min="15" max="15" width="40.453125" customWidth="1"/>
  </cols>
  <sheetData>
    <row r="1" spans="1:15" x14ac:dyDescent="0.35">
      <c r="A1" t="s">
        <v>437</v>
      </c>
      <c r="B1" t="s">
        <v>438</v>
      </c>
      <c r="C1" t="s">
        <v>439</v>
      </c>
      <c r="D1" t="s">
        <v>15</v>
      </c>
      <c r="E1" t="s">
        <v>17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s="334" t="s">
        <v>5</v>
      </c>
      <c r="L1" t="s">
        <v>445</v>
      </c>
      <c r="M1" t="s">
        <v>446</v>
      </c>
    </row>
    <row r="2" spans="1:15" x14ac:dyDescent="0.35">
      <c r="A2" t="s">
        <v>26</v>
      </c>
      <c r="B2" t="str">
        <f t="shared" ref="B2:B30" si="0">IF(LEN(A2)&gt;6,SUBSTITUTE(UPPER(A2)," ",""),SUBSTITUTE(UPPER(A2), " ", "0"))</f>
        <v>CELL01</v>
      </c>
      <c r="C2" t="str">
        <f>B2</f>
        <v>CELL01</v>
      </c>
      <c r="D2" t="str">
        <f>IFERROR(INDEX(Sheet1!$C$2:$AH$37,MATCH($A2,Sheet1!$C$2:$C$37,0),MATCH(D$1,Sheet1!$C$2:$AH$2,0)),"")</f>
        <v>DMDEC1</v>
      </c>
      <c r="E2" t="str">
        <f>IFERROR(IF(TEXT(INDEX(Sheet1!$C$2:$AH$37,MATCH($A2,Sheet1!$C$2:$C$37,0),MATCH(E$1,Sheet1!$C$2:$AH$2,0)), "yyyymmdd") = "19000100","",TEXT(INDEX(Sheet1!$C$2:$AH$37,MATCH($A2,Sheet1!$C$2:$C$37,0),MATCH(E$1,Sheet1!$C$2:$AH$2,0)), "yyyymmdd")),"")</f>
        <v>20230108</v>
      </c>
      <c r="F2" t="str">
        <f ca="1">IFERROR(INDIRECT(CONCATENATE("Sheet1!",SUBSTITUTE(ADDRESS(1,2+MATCH("X",INDIRECT(CONCATENATE("Sheet1!$C$", 1+MATCH($A2, Sheet1!$C$2:$C$50,0))):INDIRECT(CONCATENATE("Sheet1!$AH$", 1+MATCH($A2,Sheet1!$C$2:$C$50,0))),0),4),"1",""),"2")),"")</f>
        <v>Drop 1   In Home 12/1/22</v>
      </c>
      <c r="G2" t="str">
        <f ca="1">IFERROR(TEXT(DATEVALUE(RIGHT(F2,LEN(F2)-FIND("@",SUBSTITUTE(F2," ","@",LEN(F2)-LEN(SUBSTITUTE(F2," ",""))),1))),"yyyymmdd"),"")</f>
        <v>20221201</v>
      </c>
      <c r="H2" s="111">
        <v>20221201</v>
      </c>
      <c r="I2" t="str">
        <f>IFERROR(IF(IFERROR(SEARCH("postcard",LOWER(SUBSTITUTE(K2,"-"," "))),FALSE),"postcard",IF(IFERROR(SEARCH("bi fold",LOWER(SUBSTITUTE(K2,"-"," "))),FALSE),"bi_fold",IF(IFERROR(SEARCH("tab mailer",LOWER(SUBSTITUTE(K2,"-"," "))),FALSE),"tab_mailer",IF(IFERROR(SEARCH("bbm",LOWER(SUBSTITUTE(K2,"-"," "))),FALSE),"bbm_cover",IF(IFERROR(SEARCH("scratch",LOWER(SUBSTITUTE(K2,"-"," "))),FALSE),"scratch_ticket",IF(IFERROR(SEARCH("engagement",LOWER(SUBSTITUTE(K2,"-"," "))),FALSE),"booklet",IF(IFERROR(SEARCH("letter",LOWER(SUBSTITUTE(K2,"-"," "))),FALSE),"letter",IF(IFERROR(SEARCH("smart",LOWER(SUBSTITUTE(K19,"-"," "))),FALSE),"SmartSaver", "")))))))),"")</f>
        <v>letter</v>
      </c>
      <c r="J2" t="str">
        <f t="shared" ref="J2:J26" ca="1" si="1">G2</f>
        <v>20221201</v>
      </c>
      <c r="K2" t="str">
        <f>IF(IFERROR(MATCH(IFERROR(INDEX(Sheet1!$C$2:$AH$50,MATCH($A2,Sheet1!$C$2:$C$50,0),MATCH(K$1,Sheet1!$C$2:$AH$2,0)),""),Table24[[#All],[Test Column]],0),0) &gt; 0, IFERROR(INDEX(Sheet1!$C$2:$AH$50,MATCH($A2,Sheet1!$C$2:$C$50,0),MATCH(K$1,Sheet1!$C$2:$AH$2,0)),""), "New value Found")</f>
        <v>8 1/2 x 11 letter no tip on card and #10 envelope</v>
      </c>
      <c r="L2" t="str">
        <f t="shared" ref="L2:L26" ca="1" si="2">G2</f>
        <v>20221201</v>
      </c>
      <c r="M2" s="111">
        <v>20221014</v>
      </c>
      <c r="O2" t="s">
        <v>649</v>
      </c>
    </row>
    <row r="3" spans="1:15" x14ac:dyDescent="0.35">
      <c r="A3" t="s">
        <v>40</v>
      </c>
      <c r="B3" t="str">
        <f t="shared" ref="B3" si="3">IF(LEN(A3)&gt;6,SUBSTITUTE(UPPER(A3)," ",""),SUBSTITUTE(UPPER(A3), " ", "0"))</f>
        <v>CELL02</v>
      </c>
      <c r="C3" t="str">
        <f t="shared" ref="C3" si="4">B3</f>
        <v>CELL02</v>
      </c>
      <c r="D3" t="str">
        <f>IFERROR(INDEX(Sheet1!$C$2:$AH$37,MATCH($A3,Sheet1!$C$2:$C$37,0),MATCH(D$1,Sheet1!$C$2:$AH$2,0)),"")</f>
        <v>DMDEC2</v>
      </c>
      <c r="E3" t="str">
        <f>IFERROR(IF(TEXT(INDEX(Sheet1!$C$2:$AH$37,MATCH($A3,Sheet1!$C$2:$C$37,0),MATCH(E$1,Sheet1!$C$2:$AH$2,0)), "yyyymmdd") = "19000100","",TEXT(INDEX(Sheet1!$C$2:$AH$37,MATCH($A3,Sheet1!$C$2:$C$37,0),MATCH(E$1,Sheet1!$C$2:$AH$2,0)), "yyyymmdd")),"")</f>
        <v>20230122</v>
      </c>
      <c r="F3" t="str">
        <f ca="1">IFERROR(INDIRECT(CONCATENATE("Sheet1!",SUBSTITUTE(ADDRESS(1,2+MATCH("X",INDIRECT(CONCATENATE("Sheet1!$C$", 1+MATCH($A3, Sheet1!$C$2:$C$50,0))):INDIRECT(CONCATENATE("Sheet1!$AH$", 1+MATCH($A3,Sheet1!$C$2:$C$50,0))),0),4),"1",""),"2")),"")</f>
        <v>Drop 1   In Home 12/1/22</v>
      </c>
      <c r="G3" t="str">
        <f t="shared" ref="G3" ca="1" si="5">IFERROR(TEXT(DATEVALUE(RIGHT(F3,LEN(F3)-FIND("@",SUBSTITUTE(F3," ","@",LEN(F3)-LEN(SUBSTITUTE(F3," ",""))),1))),"yyyymmdd"),"")</f>
        <v>20221201</v>
      </c>
      <c r="H3" s="111">
        <v>20221201</v>
      </c>
      <c r="I3" t="str">
        <f t="shared" ref="I3:I18" si="6">IFERROR(IF(IFERROR(SEARCH("postcard",LOWER(SUBSTITUTE(K3,"-"," "))),FALSE),"postcard",IF(IFERROR(SEARCH("bi fold",LOWER(SUBSTITUTE(K3,"-"," "))),FALSE),"bi_fold",IF(IFERROR(SEARCH("tab mailer",LOWER(SUBSTITUTE(K3,"-"," "))),FALSE),"tab_mailer",IF(IFERROR(SEARCH("bbm",LOWER(SUBSTITUTE(K3,"-"," "))),FALSE),"bbm_cover",IF(IFERROR(SEARCH("scratch",LOWER(SUBSTITUTE(K3,"-"," "))),FALSE),"scratch_ticket",IF(IFERROR(SEARCH("engagement",LOWER(SUBSTITUTE(K3,"-"," "))),FALSE),"booklet",IF(IFERROR(SEARCH("letter",LOWER(SUBSTITUTE(K3,"-"," "))),FALSE),"letter",IF(IFERROR(SEARCH("smart",LOWER(SUBSTITUTE(K20,"-"," "))),FALSE),"SmartSaver", "")))))))),"")</f>
        <v>letter</v>
      </c>
      <c r="J3" t="str">
        <f t="shared" ca="1" si="1"/>
        <v>20221201</v>
      </c>
      <c r="K3" t="str">
        <f>IF(IFERROR(MATCH(IFERROR(INDEX(Sheet1!$C$2:$AH$50,MATCH($A3,Sheet1!$C$2:$C$50,0),MATCH(K$1,Sheet1!$C$2:$AH$2,0)),""),Table24[[#All],[Test Column]],0),0) &gt; 0, IFERROR(INDEX(Sheet1!$C$2:$AH$50,MATCH($A3,Sheet1!$C$2:$C$50,0),MATCH(K$1,Sheet1!$C$2:$AH$2,0)),""), "New value Found")</f>
        <v>8 1/2 x 11 letter no tip on card and #10 envelope</v>
      </c>
      <c r="L3" t="str">
        <f t="shared" ca="1" si="2"/>
        <v>20221201</v>
      </c>
      <c r="M3" s="111">
        <v>20221014</v>
      </c>
      <c r="O3" t="s">
        <v>650</v>
      </c>
    </row>
    <row r="4" spans="1:15" x14ac:dyDescent="0.35">
      <c r="A4" t="s">
        <v>47</v>
      </c>
      <c r="B4" t="str">
        <f t="shared" si="0"/>
        <v>CELL03</v>
      </c>
      <c r="C4" t="str">
        <f t="shared" ref="C4:C30" si="7">B4</f>
        <v>CELL03</v>
      </c>
      <c r="D4" t="str">
        <f>IFERROR(INDEX(Sheet1!$C$2:$AH$37,MATCH($A4,Sheet1!$C$2:$C$37,0),MATCH(D$1,Sheet1!$C$2:$AH$2,0)),"")</f>
        <v>DMDEC3</v>
      </c>
      <c r="E4" t="str">
        <f>IFERROR(IF(TEXT(INDEX(Sheet1!$C$2:$AH$37,MATCH($A4,Sheet1!$C$2:$C$37,0),MATCH(E$1,Sheet1!$C$2:$AH$2,0)), "yyyymmdd") = "19000100","",TEXT(INDEX(Sheet1!$C$2:$AH$37,MATCH($A4,Sheet1!$C$2:$C$37,0),MATCH(E$1,Sheet1!$C$2:$AH$2,0)), "yyyymmdd")),"")</f>
        <v>20230108</v>
      </c>
      <c r="F4" t="str">
        <f ca="1">IFERROR(INDIRECT(CONCATENATE("Sheet1!",SUBSTITUTE(ADDRESS(1,2+MATCH("X",INDIRECT(CONCATENATE("Sheet1!$C$", 1+MATCH($A4, Sheet1!$C$2:$C$50,0))):INDIRECT(CONCATENATE("Sheet1!$AH$", 1+MATCH($A4,Sheet1!$C$2:$C$50,0))),0),4),"1",""),"2")),"")</f>
        <v>Drop 1   In Home 12/1/22</v>
      </c>
      <c r="G4" t="str">
        <f t="shared" ref="G4:G30" ca="1" si="8">IFERROR(TEXT(DATEVALUE(RIGHT(F4,LEN(F4)-FIND("@",SUBSTITUTE(F4," ","@",LEN(F4)-LEN(SUBSTITUTE(F4," ",""))),1))),"yyyymmdd"),"")</f>
        <v>20221201</v>
      </c>
      <c r="H4" s="111">
        <v>20221201</v>
      </c>
      <c r="I4" t="str">
        <f t="shared" si="6"/>
        <v>letter</v>
      </c>
      <c r="J4" t="str">
        <f t="shared" ca="1" si="1"/>
        <v>20221201</v>
      </c>
      <c r="K4" t="str">
        <f>IF(IFERROR(MATCH(IFERROR(INDEX(Sheet1!$C$2:$AH$50,MATCH($A4,Sheet1!$C$2:$C$50,0),MATCH(K$1,Sheet1!$C$2:$AH$2,0)),""),Table24[[#All],[Test Column]],0),0) &gt; 0, IFERROR(INDEX(Sheet1!$C$2:$AH$50,MATCH($A4,Sheet1!$C$2:$C$50,0),MATCH(K$1,Sheet1!$C$2:$AH$2,0)),""), "New value Found")</f>
        <v>8 1/2 x 11 letter no tip on card and #10 envelope</v>
      </c>
      <c r="L4" t="str">
        <f t="shared" ca="1" si="2"/>
        <v>20221201</v>
      </c>
      <c r="M4" s="111">
        <v>20221014</v>
      </c>
      <c r="O4" t="s">
        <v>651</v>
      </c>
    </row>
    <row r="5" spans="1:15" x14ac:dyDescent="0.35">
      <c r="A5" t="s">
        <v>63</v>
      </c>
      <c r="B5" t="str">
        <f t="shared" si="0"/>
        <v>CELL05</v>
      </c>
      <c r="C5" t="str">
        <f t="shared" si="7"/>
        <v>CELL05</v>
      </c>
      <c r="D5" t="str">
        <f>IFERROR(INDEX(Sheet1!$C$2:$AH$37,MATCH($A5,Sheet1!$C$2:$C$37,0),MATCH(D$1,Sheet1!$C$2:$AH$2,0)),"")</f>
        <v>DMDEC5,  DMDC54</v>
      </c>
      <c r="E5" t="str">
        <f>IFERROR(IF(TEXT(INDEX(Sheet1!$C$2:$AH$37,MATCH($A5,Sheet1!$C$2:$C$37,0),MATCH(E$1,Sheet1!$C$2:$AH$2,0)), "yyyymmdd") = "19000100","",TEXT(INDEX(Sheet1!$C$2:$AH$37,MATCH($A5,Sheet1!$C$2:$C$37,0),MATCH(E$1,Sheet1!$C$2:$AH$2,0)), "yyyymmdd")),"")</f>
        <v>20230108</v>
      </c>
      <c r="F5" t="str">
        <f ca="1">IFERROR(INDIRECT(CONCATENATE("Sheet1!",SUBSTITUTE(ADDRESS(1,2+MATCH("X",INDIRECT(CONCATENATE("Sheet1!$C$", 1+MATCH($A5, Sheet1!$C$2:$C$50,0))):INDIRECT(CONCATENATE("Sheet1!$AH$", 1+MATCH($A5,Sheet1!$C$2:$C$50,0))),0),4),"1",""),"2")),"")</f>
        <v>Drop 1   In Home 12/1/22</v>
      </c>
      <c r="G5" t="str">
        <f t="shared" ca="1" si="8"/>
        <v>20221201</v>
      </c>
      <c r="H5" s="111">
        <v>20221201</v>
      </c>
      <c r="I5" t="str">
        <f t="shared" si="6"/>
        <v>letter</v>
      </c>
      <c r="J5" t="str">
        <f t="shared" ca="1" si="1"/>
        <v>20221201</v>
      </c>
      <c r="K5" t="str">
        <f>IF(IFERROR(MATCH(IFERROR(INDEX(Sheet1!$C$2:$AH$50,MATCH($A5,Sheet1!$C$2:$C$50,0),MATCH(K$1,Sheet1!$C$2:$AH$2,0)),""),Table24[[#All],[Test Column]],0),0) &gt; 0, IFERROR(INDEX(Sheet1!$C$2:$AH$50,MATCH($A5,Sheet1!$C$2:$C$50,0),MATCH(K$1,Sheet1!$C$2:$AH$2,0)),""), "New value Found")</f>
        <v>8 1/2 x 11 letter no tip on card and #10 envelope</v>
      </c>
      <c r="L5" t="str">
        <f t="shared" ca="1" si="2"/>
        <v>20221201</v>
      </c>
      <c r="M5" s="111">
        <v>20221014</v>
      </c>
    </row>
    <row r="6" spans="1:15" x14ac:dyDescent="0.35">
      <c r="A6" t="s">
        <v>70</v>
      </c>
      <c r="B6" t="str">
        <f t="shared" si="0"/>
        <v>CELL06</v>
      </c>
      <c r="C6" t="str">
        <f t="shared" ref="C6" si="9">B6</f>
        <v>CELL06</v>
      </c>
      <c r="D6" t="str">
        <f>IFERROR(INDEX(Sheet1!$C$2:$AH$37,MATCH($A6,Sheet1!$C$2:$C$37,0),MATCH(D$1,Sheet1!$C$2:$AH$2,0)),"")</f>
        <v>DMDEC6</v>
      </c>
      <c r="E6" t="str">
        <f>IFERROR(IF(TEXT(INDEX(Sheet1!$C$2:$AH$37,MATCH($A6,Sheet1!$C$2:$C$37,0),MATCH(E$1,Sheet1!$C$2:$AH$2,0)), "yyyymmdd") = "19000100","",TEXT(INDEX(Sheet1!$C$2:$AH$37,MATCH($A6,Sheet1!$C$2:$C$37,0),MATCH(E$1,Sheet1!$C$2:$AH$2,0)), "yyyymmdd")),"")</f>
        <v>20230122</v>
      </c>
      <c r="F6" t="str">
        <f ca="1">IFERROR(INDIRECT(CONCATENATE("Sheet1!",SUBSTITUTE(ADDRESS(1,2+MATCH("X",INDIRECT(CONCATENATE("Sheet1!$C$", 1+MATCH($A6, Sheet1!$C$2:$C$50,0))):INDIRECT(CONCATENATE("Sheet1!$AH$", 1+MATCH($A6,Sheet1!$C$2:$C$50,0))),0),4),"1",""),"2")),"")</f>
        <v>Drop 1   In Home 12/1/22</v>
      </c>
      <c r="G6" t="str">
        <f t="shared" ref="G6" ca="1" si="10">IFERROR(TEXT(DATEVALUE(RIGHT(F6,LEN(F6)-FIND("@",SUBSTITUTE(F6," ","@",LEN(F6)-LEN(SUBSTITUTE(F6," ",""))),1))),"yyyymmdd"),"")</f>
        <v>20221201</v>
      </c>
      <c r="H6" s="111">
        <v>20221201</v>
      </c>
      <c r="I6" t="str">
        <f t="shared" si="6"/>
        <v>letter</v>
      </c>
      <c r="J6" t="str">
        <f t="shared" ca="1" si="1"/>
        <v>20221201</v>
      </c>
      <c r="K6" t="str">
        <f>IF(IFERROR(MATCH(IFERROR(INDEX(Sheet1!$C$2:$AH$50,MATCH($A6,Sheet1!$C$2:$C$50,0),MATCH(K$1,Sheet1!$C$2:$AH$2,0)),""),Table24[[#All],[Test Column]],0),0) &gt; 0, IFERROR(INDEX(Sheet1!$C$2:$AH$50,MATCH($A6,Sheet1!$C$2:$C$50,0),MATCH(K$1,Sheet1!$C$2:$AH$2,0)),""), "New value Found")</f>
        <v>8 1/2 x 11 letter no tip on card and #10 envelope</v>
      </c>
      <c r="L6" t="str">
        <f t="shared" ca="1" si="2"/>
        <v>20221201</v>
      </c>
      <c r="M6" s="111">
        <v>20221014</v>
      </c>
    </row>
    <row r="7" spans="1:15" x14ac:dyDescent="0.35">
      <c r="A7" t="s">
        <v>78</v>
      </c>
      <c r="B7" t="str">
        <f t="shared" si="0"/>
        <v>CELL07</v>
      </c>
      <c r="C7" t="str">
        <f t="shared" si="7"/>
        <v>CELL07</v>
      </c>
      <c r="D7" t="str">
        <f>IFERROR(INDEX(Sheet1!$C$2:$AH$37,MATCH($A7,Sheet1!$C$2:$C$37,0),MATCH(D$1,Sheet1!$C$2:$AH$2,0)),"")</f>
        <v>SFDEC7, SFDECP</v>
      </c>
      <c r="E7" t="str">
        <f>IFERROR(IF(TEXT(INDEX(Sheet1!$C$2:$AH$37,MATCH($A7,Sheet1!$C$2:$C$37,0),MATCH(E$1,Sheet1!$C$2:$AH$2,0)), "yyyymmdd") = "19000100","",TEXT(INDEX(Sheet1!$C$2:$AH$37,MATCH($A7,Sheet1!$C$2:$C$37,0),MATCH(E$1,Sheet1!$C$2:$AH$2,0)), "yyyymmdd")),"")</f>
        <v>20230108</v>
      </c>
      <c r="F7" t="str">
        <f ca="1">IFERROR(INDIRECT(CONCATENATE("Sheet1!",SUBSTITUTE(ADDRESS(1,2+MATCH("X",INDIRECT(CONCATENATE("Sheet1!$C$", 1+MATCH($A7, Sheet1!$C$2:$C$50,0))):INDIRECT(CONCATENATE("Sheet1!$AH$", 1+MATCH($A7,Sheet1!$C$2:$C$50,0))),0),4),"1",""),"2")),"")</f>
        <v>Drop 1   In Home 12/1/22</v>
      </c>
      <c r="G7" t="str">
        <f t="shared" ca="1" si="8"/>
        <v>20221201</v>
      </c>
      <c r="H7" s="111">
        <v>20221201</v>
      </c>
      <c r="I7" t="str">
        <f t="shared" si="6"/>
        <v>letter</v>
      </c>
      <c r="J7" t="str">
        <f t="shared" ca="1" si="1"/>
        <v>20221201</v>
      </c>
      <c r="K7" t="str">
        <f>IF(IFERROR(MATCH(IFERROR(INDEX(Sheet1!$C$2:$AH$50,MATCH($A7,Sheet1!$C$2:$C$50,0),MATCH(K$1,Sheet1!$C$2:$AH$2,0)),""),Table24[[#All],[Test Column]],0),0) &gt; 0, IFERROR(INDEX(Sheet1!$C$2:$AH$50,MATCH($A7,Sheet1!$C$2:$C$50,0),MATCH(K$1,Sheet1!$C$2:$AH$2,0)),""), "New value Found")</f>
        <v>8 1/2 x 11 letter no tip on card and #10 envelope</v>
      </c>
      <c r="L7" t="str">
        <f t="shared" ca="1" si="2"/>
        <v>20221201</v>
      </c>
      <c r="M7" s="111">
        <v>20221014</v>
      </c>
    </row>
    <row r="8" spans="1:15" x14ac:dyDescent="0.35">
      <c r="A8" t="s">
        <v>85</v>
      </c>
      <c r="B8" t="str">
        <f t="shared" si="0"/>
        <v>CELL08</v>
      </c>
      <c r="C8" t="str">
        <f t="shared" si="7"/>
        <v>CELL08</v>
      </c>
      <c r="D8" t="str">
        <f>IFERROR(INDEX(Sheet1!$C$2:$AH$37,MATCH($A8,Sheet1!$C$2:$C$37,0),MATCH(D$1,Sheet1!$C$2:$AH$2,0)),"")</f>
        <v>EZDEC8</v>
      </c>
      <c r="E8" t="str">
        <f>IFERROR(IF(TEXT(INDEX(Sheet1!$C$2:$AH$37,MATCH($A8,Sheet1!$C$2:$C$37,0),MATCH(E$1,Sheet1!$C$2:$AH$2,0)), "yyyymmdd") = "19000100","",TEXT(INDEX(Sheet1!$C$2:$AH$37,MATCH($A8,Sheet1!$C$2:$C$37,0),MATCH(E$1,Sheet1!$C$2:$AH$2,0)), "yyyymmdd")),"")</f>
        <v>20230108</v>
      </c>
      <c r="F8" t="str">
        <f ca="1">IFERROR(INDIRECT(CONCATENATE("Sheet1!",SUBSTITUTE(ADDRESS(1,2+MATCH("X",INDIRECT(CONCATENATE("Sheet1!$C$", 1+MATCH($A8, Sheet1!$C$2:$C$50,0))):INDIRECT(CONCATENATE("Sheet1!$AH$", 1+MATCH($A8,Sheet1!$C$2:$C$50,0))),0),4),"1",""),"2")),"")</f>
        <v>Drop 1   In Home 12/1/22</v>
      </c>
      <c r="G8" t="str">
        <f t="shared" ca="1" si="8"/>
        <v>20221201</v>
      </c>
      <c r="H8" s="111">
        <v>20221201</v>
      </c>
      <c r="I8" t="str">
        <f t="shared" si="6"/>
        <v>letter</v>
      </c>
      <c r="J8" t="str">
        <f t="shared" ca="1" si="1"/>
        <v>20221201</v>
      </c>
      <c r="K8" t="str">
        <f>IF(IFERROR(MATCH(IFERROR(INDEX(Sheet1!$C$2:$AH$50,MATCH($A8,Sheet1!$C$2:$C$50,0),MATCH(K$1,Sheet1!$C$2:$AH$2,0)),""),Table24[[#All],[Test Column]],0),0) &gt; 0, IFERROR(INDEX(Sheet1!$C$2:$AH$50,MATCH($A8,Sheet1!$C$2:$C$50,0),MATCH(K$1,Sheet1!$C$2:$AH$2,0)),""), "New value Found")</f>
        <v>8 1/2 x 11 letter no tip on card and #10 envelope</v>
      </c>
      <c r="L8" t="str">
        <f t="shared" ca="1" si="2"/>
        <v>20221201</v>
      </c>
      <c r="M8" s="111">
        <v>20221014</v>
      </c>
    </row>
    <row r="9" spans="1:15" x14ac:dyDescent="0.35">
      <c r="A9" t="s">
        <v>92</v>
      </c>
      <c r="B9" t="str">
        <f t="shared" si="0"/>
        <v>CELL09</v>
      </c>
      <c r="C9" t="str">
        <f t="shared" si="7"/>
        <v>CELL09</v>
      </c>
      <c r="D9" t="str">
        <f>IFERROR(INDEX(Sheet1!$C$2:$AH$37,MATCH($A9,Sheet1!$C$2:$C$37,0),MATCH(D$1,Sheet1!$C$2:$AH$2,0)),"")</f>
        <v>EZDEC9</v>
      </c>
      <c r="E9" t="str">
        <f>IFERROR(IF(TEXT(INDEX(Sheet1!$C$2:$AH$37,MATCH($A9,Sheet1!$C$2:$C$37,0),MATCH(E$1,Sheet1!$C$2:$AH$2,0)), "yyyymmdd") = "19000100","",TEXT(INDEX(Sheet1!$C$2:$AH$37,MATCH($A9,Sheet1!$C$2:$C$37,0),MATCH(E$1,Sheet1!$C$2:$AH$2,0)), "yyyymmdd")),"")</f>
        <v>20230122</v>
      </c>
      <c r="F9" t="str">
        <f ca="1">IFERROR(INDIRECT(CONCATENATE("Sheet1!",SUBSTITUTE(ADDRESS(1,2+MATCH("X",INDIRECT(CONCATENATE("Sheet1!$C$", 1+MATCH($A9, Sheet1!$C$2:$C$50,0))):INDIRECT(CONCATENATE("Sheet1!$AH$", 1+MATCH($A9,Sheet1!$C$2:$C$50,0))),0),4),"1",""),"2")),"")</f>
        <v>Drop 3 In Home 12/15/22</v>
      </c>
      <c r="G9" t="str">
        <f t="shared" ca="1" si="8"/>
        <v>20221215</v>
      </c>
      <c r="H9" s="111">
        <v>20221201</v>
      </c>
      <c r="I9" t="str">
        <f t="shared" si="6"/>
        <v>letter</v>
      </c>
      <c r="J9" t="str">
        <f t="shared" ca="1" si="1"/>
        <v>20221215</v>
      </c>
      <c r="K9" t="str">
        <f>IF(IFERROR(MATCH(IFERROR(INDEX(Sheet1!$C$2:$AH$50,MATCH($A9,Sheet1!$C$2:$C$50,0),MATCH(K$1,Sheet1!$C$2:$AH$2,0)),""),Table24[[#All],[Test Column]],0),0) &gt; 0, IFERROR(INDEX(Sheet1!$C$2:$AH$50,MATCH($A9,Sheet1!$C$2:$C$50,0),MATCH(K$1,Sheet1!$C$2:$AH$2,0)),""), "New value Found")</f>
        <v>8 1/2 x 11 letter no tip on card and #10 envelope</v>
      </c>
      <c r="L9" t="str">
        <f t="shared" ca="1" si="2"/>
        <v>20221215</v>
      </c>
      <c r="M9" s="111">
        <v>20221014</v>
      </c>
    </row>
    <row r="10" spans="1:15" x14ac:dyDescent="0.35">
      <c r="A10" t="s">
        <v>256</v>
      </c>
      <c r="B10" t="str">
        <f t="shared" si="0"/>
        <v>CELL10</v>
      </c>
      <c r="C10" t="str">
        <f t="shared" si="7"/>
        <v>CELL10</v>
      </c>
      <c r="D10" t="str">
        <f>IFERROR(INDEX(Sheet1!$C$2:$AH$37,MATCH($A10,Sheet1!$C$2:$C$37,0),MATCH(D$1,Sheet1!$C$2:$AH$2,0)),"")</f>
        <v>EZMRMT, EZPMHT</v>
      </c>
      <c r="E10" t="str">
        <f>IFERROR(IF(TEXT(INDEX(Sheet1!$C$2:$AH$37,MATCH($A10,Sheet1!$C$2:$C$37,0),MATCH(E$1,Sheet1!$C$2:$AH$2,0)), "yyyymmdd") = "19000100","",TEXT(INDEX(Sheet1!$C$2:$AH$37,MATCH($A10,Sheet1!$C$2:$C$37,0),MATCH(E$1,Sheet1!$C$2:$AH$2,0)), "yyyymmdd")),"")</f>
        <v>20230108</v>
      </c>
      <c r="F10" t="str">
        <f ca="1">IFERROR(INDIRECT(CONCATENATE("Sheet1!",SUBSTITUTE(ADDRESS(1,2+MATCH("X",INDIRECT(CONCATENATE("Sheet1!$C$", 1+MATCH($A10, Sheet1!$C$2:$C$50,0))):INDIRECT(CONCATENATE("Sheet1!$AH$", 1+MATCH($A10,Sheet1!$C$2:$C$50,0))),0),4),"1",""),"2")),"")</f>
        <v>Drop 1   In Home 12/1/22</v>
      </c>
      <c r="G10" t="str">
        <f t="shared" ca="1" si="8"/>
        <v>20221201</v>
      </c>
      <c r="H10" s="111">
        <v>20221201</v>
      </c>
      <c r="I10" t="str">
        <f t="shared" si="6"/>
        <v>letter</v>
      </c>
      <c r="J10" t="str">
        <f t="shared" ca="1" si="1"/>
        <v>20221201</v>
      </c>
      <c r="K10" t="str">
        <f>IF(IFERROR(MATCH(IFERROR(INDEX(Sheet1!$C$2:$AH$50,MATCH($A10,Sheet1!$C$2:$C$50,0),MATCH(K$1,Sheet1!$C$2:$AH$2,0)),""),Table24[[#All],[Test Column]],0),0) &gt; 0, IFERROR(INDEX(Sheet1!$C$2:$AH$50,MATCH($A10,Sheet1!$C$2:$C$50,0),MATCH(K$1,Sheet1!$C$2:$AH$2,0)),""), "New value Found")</f>
        <v>8 1/2 x 11 letter no tip on card and #10 envelope</v>
      </c>
      <c r="L10" t="str">
        <f t="shared" ca="1" si="2"/>
        <v>20221201</v>
      </c>
      <c r="M10" s="111">
        <v>20221014</v>
      </c>
    </row>
    <row r="11" spans="1:15" x14ac:dyDescent="0.35">
      <c r="A11" t="s">
        <v>105</v>
      </c>
      <c r="B11" t="str">
        <f t="shared" si="0"/>
        <v>CELL11</v>
      </c>
      <c r="C11" t="str">
        <f t="shared" si="7"/>
        <v>CELL11</v>
      </c>
      <c r="D11" t="str">
        <f>IFERROR(INDEX(Sheet1!$C$2:$AH$37,MATCH($A11,Sheet1!$C$2:$C$37,0),MATCH(D$1,Sheet1!$C$2:$AH$2,0)),"")</f>
        <v>EZDC11</v>
      </c>
      <c r="E11" t="str">
        <f>IFERROR(IF(TEXT(INDEX(Sheet1!$C$2:$AH$37,MATCH($A11,Sheet1!$C$2:$C$37,0),MATCH(E$1,Sheet1!$C$2:$AH$2,0)), "yyyymmdd") = "19000100","",TEXT(INDEX(Sheet1!$C$2:$AH$37,MATCH($A11,Sheet1!$C$2:$C$37,0),MATCH(E$1,Sheet1!$C$2:$AH$2,0)), "yyyymmdd")),"")</f>
        <v>20230108</v>
      </c>
      <c r="F11" t="str">
        <f ca="1">IFERROR(INDIRECT(CONCATENATE("Sheet1!",SUBSTITUTE(ADDRESS(1,2+MATCH("X",INDIRECT(CONCATENATE("Sheet1!$C$", 1+MATCH($A11, Sheet1!$C$2:$C$50,0))):INDIRECT(CONCATENATE("Sheet1!$AH$", 1+MATCH($A11,Sheet1!$C$2:$C$50,0))),0),4),"1",""),"2")),"")</f>
        <v>Drop 1   In Home 12/1/22</v>
      </c>
      <c r="G11" t="str">
        <f t="shared" ca="1" si="8"/>
        <v>20221201</v>
      </c>
      <c r="H11" s="111">
        <v>20221201</v>
      </c>
      <c r="I11" t="str">
        <f t="shared" si="6"/>
        <v/>
      </c>
      <c r="J11" t="str">
        <f t="shared" ca="1" si="1"/>
        <v>20221201</v>
      </c>
      <c r="K11" t="str">
        <f>IF(IFERROR(MATCH(IFERROR(INDEX(Sheet1!$C$2:$AH$50,MATCH($A11,Sheet1!$C$2:$C$50,0),MATCH(K$1,Sheet1!$C$2:$AH$2,0)),""),Table24[[#All],[Test Column]],0),0) &gt; 0, IFERROR(INDEX(Sheet1!$C$2:$AH$50,MATCH($A11,Sheet1!$C$2:$C$50,0),MATCH(K$1,Sheet1!$C$2:$AH$2,0)),""), "New value Found")</f>
        <v>New value Found</v>
      </c>
      <c r="L11" t="str">
        <f t="shared" ca="1" si="2"/>
        <v>20221201</v>
      </c>
      <c r="M11" s="111">
        <v>20221014</v>
      </c>
    </row>
    <row r="12" spans="1:15" x14ac:dyDescent="0.35">
      <c r="A12" t="s">
        <v>111</v>
      </c>
      <c r="B12" t="str">
        <f t="shared" si="0"/>
        <v>CELL12</v>
      </c>
      <c r="C12" t="str">
        <f t="shared" si="7"/>
        <v>CELL12</v>
      </c>
      <c r="D12" t="str">
        <f>IFERROR(INDEX(Sheet1!$C$2:$AH$37,MATCH($A12,Sheet1!$C$2:$C$37,0),MATCH(D$1,Sheet1!$C$2:$AH$2,0)),"")</f>
        <v>EZDC12</v>
      </c>
      <c r="E12" t="str">
        <f>IFERROR(IF(TEXT(INDEX(Sheet1!$C$2:$AH$37,MATCH($A12,Sheet1!$C$2:$C$37,0),MATCH(E$1,Sheet1!$C$2:$AH$2,0)), "yyyymmdd") = "19000100","",TEXT(INDEX(Sheet1!$C$2:$AH$37,MATCH($A12,Sheet1!$C$2:$C$37,0),MATCH(E$1,Sheet1!$C$2:$AH$2,0)), "yyyymmdd")),"")</f>
        <v>20230108</v>
      </c>
      <c r="F12" t="str">
        <f ca="1">IFERROR(INDIRECT(CONCATENATE("Sheet1!",SUBSTITUTE(ADDRESS(1,2+MATCH("X",INDIRECT(CONCATENATE("Sheet1!$C$", 1+MATCH($A12, Sheet1!$C$2:$C$50,0))):INDIRECT(CONCATENATE("Sheet1!$AH$", 1+MATCH($A12,Sheet1!$C$2:$C$50,0))),0),4),"1",""),"2")),"")</f>
        <v>Drop 1   In Home 12/1/22</v>
      </c>
      <c r="G12" t="str">
        <f t="shared" ca="1" si="8"/>
        <v>20221201</v>
      </c>
      <c r="H12" s="111">
        <v>20221201</v>
      </c>
      <c r="I12" t="str">
        <f t="shared" si="6"/>
        <v>letter</v>
      </c>
      <c r="J12" t="str">
        <f t="shared" ca="1" si="1"/>
        <v>20221201</v>
      </c>
      <c r="K12" t="str">
        <f>IF(IFERROR(MATCH(IFERROR(INDEX(Sheet1!$C$2:$AH$50,MATCH($A12,Sheet1!$C$2:$C$50,0),MATCH(K$1,Sheet1!$C$2:$AH$2,0)),""),Table24[[#All],[Test Column]],0),0) &gt; 0, IFERROR(INDEX(Sheet1!$C$2:$AH$50,MATCH($A12,Sheet1!$C$2:$C$50,0),MATCH(K$1,Sheet1!$C$2:$AH$2,0)),""), "New value Found")</f>
        <v>8 1/2 x 11 letter no tip on card and #10 envelope</v>
      </c>
      <c r="L12" t="str">
        <f t="shared" ca="1" si="2"/>
        <v>20221201</v>
      </c>
      <c r="M12" s="111">
        <v>20221014</v>
      </c>
    </row>
    <row r="13" spans="1:15" x14ac:dyDescent="0.35">
      <c r="A13" t="s">
        <v>121</v>
      </c>
      <c r="B13" t="str">
        <f t="shared" si="0"/>
        <v>CELL13</v>
      </c>
      <c r="C13" t="str">
        <f t="shared" si="7"/>
        <v>CELL13</v>
      </c>
      <c r="D13" t="str">
        <f>IFERROR(INDEX(Sheet1!$C$2:$AH$37,MATCH($A13,Sheet1!$C$2:$C$37,0),MATCH(D$1,Sheet1!$C$2:$AH$2,0)),"")</f>
        <v>EZDC13</v>
      </c>
      <c r="E13" t="str">
        <f>IFERROR(IF(TEXT(INDEX(Sheet1!$C$2:$AH$37,MATCH($A13,Sheet1!$C$2:$C$37,0),MATCH(E$1,Sheet1!$C$2:$AH$2,0)), "yyyymmdd") = "19000100","",TEXT(INDEX(Sheet1!$C$2:$AH$37,MATCH($A13,Sheet1!$C$2:$C$37,0),MATCH(E$1,Sheet1!$C$2:$AH$2,0)), "yyyymmdd")),"")</f>
        <v>20230122</v>
      </c>
      <c r="F13" t="str">
        <f ca="1">IFERROR(INDIRECT(CONCATENATE("Sheet1!",SUBSTITUTE(ADDRESS(1,2+MATCH("X",INDIRECT(CONCATENATE("Sheet1!$C$", 1+MATCH($A13, Sheet1!$C$2:$C$50,0))):INDIRECT(CONCATENATE("Sheet1!$AH$", 1+MATCH($A13,Sheet1!$C$2:$C$50,0))),0),4),"1",""),"2")),"")</f>
        <v>Drop 3 In Home 12/15/22</v>
      </c>
      <c r="G13" t="str">
        <f t="shared" ca="1" si="8"/>
        <v>20221215</v>
      </c>
      <c r="H13" s="111">
        <v>20221201</v>
      </c>
      <c r="I13" t="str">
        <f t="shared" si="6"/>
        <v>letter</v>
      </c>
      <c r="J13" t="str">
        <f t="shared" ca="1" si="1"/>
        <v>20221215</v>
      </c>
      <c r="K13" t="str">
        <f>IF(IFERROR(MATCH(IFERROR(INDEX(Sheet1!$C$2:$AH$50,MATCH($A13,Sheet1!$C$2:$C$50,0),MATCH(K$1,Sheet1!$C$2:$AH$2,0)),""),Table24[[#All],[Test Column]],0),0) &gt; 0, IFERROR(INDEX(Sheet1!$C$2:$AH$50,MATCH($A13,Sheet1!$C$2:$C$50,0),MATCH(K$1,Sheet1!$C$2:$AH$2,0)),""), "New value Found")</f>
        <v>8 1/2 x 11 letter no tip on card and #10 envelope</v>
      </c>
      <c r="L13" t="str">
        <f t="shared" ca="1" si="2"/>
        <v>20221215</v>
      </c>
      <c r="M13" s="111">
        <v>20221014</v>
      </c>
    </row>
    <row r="14" spans="1:15" x14ac:dyDescent="0.35">
      <c r="A14" t="s">
        <v>128</v>
      </c>
      <c r="B14" t="str">
        <f t="shared" si="0"/>
        <v>CELL14</v>
      </c>
      <c r="C14" t="str">
        <f t="shared" si="7"/>
        <v>CELL14</v>
      </c>
      <c r="D14" t="str">
        <f>IFERROR(INDEX(Sheet1!$C$2:$AH$37,MATCH($A14,Sheet1!$C$2:$C$37,0),MATCH(D$1,Sheet1!$C$2:$AH$2,0)),"")</f>
        <v>RSTD16</v>
      </c>
      <c r="E14" t="str">
        <f>IFERROR(IF(TEXT(INDEX(Sheet1!$C$2:$AH$37,MATCH($A14,Sheet1!$C$2:$C$37,0),MATCH(E$1,Sheet1!$C$2:$AH$2,0)), "yyyymmdd") = "19000100","",TEXT(INDEX(Sheet1!$C$2:$AH$37,MATCH($A14,Sheet1!$C$2:$C$37,0),MATCH(E$1,Sheet1!$C$2:$AH$2,0)), "yyyymmdd")),"")</f>
        <v>20221231</v>
      </c>
      <c r="F14" t="str">
        <f ca="1">IFERROR(INDIRECT(CONCATENATE("Sheet1!",SUBSTITUTE(ADDRESS(1,2+MATCH("X",INDIRECT(CONCATENATE("Sheet1!$C$", 1+MATCH($A14, Sheet1!$C$2:$C$50,0))):INDIRECT(CONCATENATE("Sheet1!$AH$", 1+MATCH($A14,Sheet1!$C$2:$C$50,0))),0),4),"1",""),"2")),"")</f>
        <v>Drop 1   In Home 12/1/22</v>
      </c>
      <c r="G14" t="str">
        <f t="shared" ca="1" si="8"/>
        <v>20221201</v>
      </c>
      <c r="H14" s="111">
        <v>20221201</v>
      </c>
      <c r="I14" t="str">
        <f t="shared" si="6"/>
        <v>postcard</v>
      </c>
      <c r="J14" t="str">
        <f t="shared" ca="1" si="1"/>
        <v>20221201</v>
      </c>
      <c r="K14" t="str">
        <f>IF(IFERROR(MATCH(IFERROR(INDEX(Sheet1!$C$2:$AH$50,MATCH($A14,Sheet1!$C$2:$C$50,0),MATCH(K$1,Sheet1!$C$2:$AH$2,0)),""),Table24[[#All],[Test Column]],0),0) &gt; 0, IFERROR(INDEX(Sheet1!$C$2:$AH$50,MATCH($A14,Sheet1!$C$2:$C$50,0),MATCH(K$1,Sheet1!$C$2:$AH$2,0)),""), "New value Found")</f>
        <v>6 x 10.75 postcard</v>
      </c>
      <c r="L14" t="str">
        <f t="shared" ca="1" si="2"/>
        <v>20221201</v>
      </c>
      <c r="M14" s="111">
        <v>20221014</v>
      </c>
    </row>
    <row r="15" spans="1:15" x14ac:dyDescent="0.35">
      <c r="A15" t="s">
        <v>133</v>
      </c>
      <c r="B15" t="str">
        <f t="shared" si="0"/>
        <v>CELL15</v>
      </c>
      <c r="C15" t="str">
        <f t="shared" si="7"/>
        <v>CELL15</v>
      </c>
      <c r="D15" t="str">
        <f>IFERROR(INDEX(Sheet1!$C$2:$AH$37,MATCH($A15,Sheet1!$C$2:$C$37,0),MATCH(D$1,Sheet1!$C$2:$AH$2,0)),"")</f>
        <v>PTCD17</v>
      </c>
      <c r="E15" t="str">
        <f>IFERROR(IF(TEXT(INDEX(Sheet1!$C$2:$AH$37,MATCH($A15,Sheet1!$C$2:$C$37,0),MATCH(E$1,Sheet1!$C$2:$AH$2,0)), "yyyymmdd") = "19000100","",TEXT(INDEX(Sheet1!$C$2:$AH$37,MATCH($A15,Sheet1!$C$2:$C$37,0),MATCH(E$1,Sheet1!$C$2:$AH$2,0)), "yyyymmdd")),"")</f>
        <v>20221231</v>
      </c>
      <c r="F15" t="str">
        <f ca="1">IFERROR(INDIRECT(CONCATENATE("Sheet1!",SUBSTITUTE(ADDRESS(1,2+MATCH("X",INDIRECT(CONCATENATE("Sheet1!$C$", 1+MATCH($A15, Sheet1!$C$2:$C$50,0))):INDIRECT(CONCATENATE("Sheet1!$AH$", 1+MATCH($A15,Sheet1!$C$2:$C$50,0))),0),4),"1",""),"2")),"")</f>
        <v>Drop 1   In Home 12/1/22</v>
      </c>
      <c r="G15" t="str">
        <f t="shared" ca="1" si="8"/>
        <v>20221201</v>
      </c>
      <c r="H15" s="111">
        <v>20221201</v>
      </c>
      <c r="I15" t="str">
        <f t="shared" si="6"/>
        <v>postcard</v>
      </c>
      <c r="J15" t="str">
        <f t="shared" ca="1" si="1"/>
        <v>20221201</v>
      </c>
      <c r="K15" t="str">
        <f>IF(IFERROR(MATCH(IFERROR(INDEX(Sheet1!$C$2:$AH$50,MATCH($A15,Sheet1!$C$2:$C$50,0),MATCH(K$1,Sheet1!$C$2:$AH$2,0)),""),Table24[[#All],[Test Column]],0),0) &gt; 0, IFERROR(INDEX(Sheet1!$C$2:$AH$50,MATCH($A15,Sheet1!$C$2:$C$50,0),MATCH(K$1,Sheet1!$C$2:$AH$2,0)),""), "New value Found")</f>
        <v>6 x 10.75 postcard</v>
      </c>
      <c r="L15" t="str">
        <f t="shared" ca="1" si="2"/>
        <v>20221201</v>
      </c>
      <c r="M15" s="111">
        <v>20221014</v>
      </c>
    </row>
    <row r="16" spans="1:15" x14ac:dyDescent="0.35">
      <c r="A16" t="s">
        <v>139</v>
      </c>
      <c r="B16" t="str">
        <f t="shared" si="0"/>
        <v>CELL16</v>
      </c>
      <c r="C16" t="str">
        <f t="shared" si="7"/>
        <v>CELL16</v>
      </c>
      <c r="D16" t="str">
        <f>IFERROR(INDEX(Sheet1!$C$2:$AH$37,MATCH($A16,Sheet1!$C$2:$C$37,0),MATCH(D$1,Sheet1!$C$2:$AH$2,0)),"")</f>
        <v>LAND19</v>
      </c>
      <c r="E16" t="str">
        <f>IFERROR(IF(TEXT(INDEX(Sheet1!$C$2:$AH$37,MATCH($A16,Sheet1!$C$2:$C$37,0),MATCH(E$1,Sheet1!$C$2:$AH$2,0)), "yyyymmdd") = "19000100","",TEXT(INDEX(Sheet1!$C$2:$AH$37,MATCH($A16,Sheet1!$C$2:$C$37,0),MATCH(E$1,Sheet1!$C$2:$AH$2,0)), "yyyymmdd")),"")</f>
        <v>20221231</v>
      </c>
      <c r="F16" t="str">
        <f ca="1">IFERROR(INDIRECT(CONCATENATE("Sheet1!",SUBSTITUTE(ADDRESS(1,2+MATCH("X",INDIRECT(CONCATENATE("Sheet1!$C$", 1+MATCH($A16, Sheet1!$C$2:$C$50,0))):INDIRECT(CONCATENATE("Sheet1!$AH$", 1+MATCH($A16,Sheet1!$C$2:$C$50,0))),0),4),"1",""),"2")),"")</f>
        <v>Drop 1   In Home 12/1/22</v>
      </c>
      <c r="G16" t="str">
        <f t="shared" ca="1" si="8"/>
        <v>20221201</v>
      </c>
      <c r="H16" s="111">
        <v>20221201</v>
      </c>
      <c r="I16" t="str">
        <f t="shared" si="6"/>
        <v>postcard</v>
      </c>
      <c r="J16" t="str">
        <f t="shared" ca="1" si="1"/>
        <v>20221201</v>
      </c>
      <c r="K16" t="str">
        <f>IF(IFERROR(MATCH(IFERROR(INDEX(Sheet1!$C$2:$AH$50,MATCH($A16,Sheet1!$C$2:$C$50,0),MATCH(K$1,Sheet1!$C$2:$AH$2,0)),""),Table24[[#All],[Test Column]],0),0) &gt; 0, IFERROR(INDEX(Sheet1!$C$2:$AH$50,MATCH($A16,Sheet1!$C$2:$C$50,0),MATCH(K$1,Sheet1!$C$2:$AH$2,0)),""), "New value Found")</f>
        <v>6 x 10.75 postcard</v>
      </c>
      <c r="L16" t="str">
        <f t="shared" ca="1" si="2"/>
        <v>20221201</v>
      </c>
      <c r="M16" s="111">
        <v>20221014</v>
      </c>
    </row>
    <row r="17" spans="1:13" x14ac:dyDescent="0.35">
      <c r="A17" t="s">
        <v>146</v>
      </c>
      <c r="B17" t="str">
        <f t="shared" si="0"/>
        <v>CELL17</v>
      </c>
      <c r="C17" t="str">
        <f t="shared" si="7"/>
        <v>CELL17</v>
      </c>
      <c r="D17" t="str">
        <f>IFERROR(INDEX(Sheet1!$C$2:$AH$37,MATCH($A17,Sheet1!$C$2:$C$37,0),MATCH(D$1,Sheet1!$C$2:$AH$2,0)),"")</f>
        <v>D17386</v>
      </c>
      <c r="E17" t="str">
        <f>IFERROR(IF(TEXT(INDEX(Sheet1!$C$2:$AH$37,MATCH($A17,Sheet1!$C$2:$C$37,0),MATCH(E$1,Sheet1!$C$2:$AH$2,0)), "yyyymmdd") = "19000100","",TEXT(INDEX(Sheet1!$C$2:$AH$37,MATCH($A17,Sheet1!$C$2:$C$37,0),MATCH(E$1,Sheet1!$C$2:$AH$2,0)), "yyyymmdd")),"")</f>
        <v>20221231</v>
      </c>
      <c r="F17" t="str">
        <f ca="1">IFERROR(INDIRECT(CONCATENATE("Sheet1!",SUBSTITUTE(ADDRESS(1,2+MATCH("X",INDIRECT(CONCATENATE("Sheet1!$C$", 1+MATCH($A17, Sheet1!$C$2:$C$50,0))):INDIRECT(CONCATENATE("Sheet1!$AH$", 1+MATCH($A17,Sheet1!$C$2:$C$50,0))),0),4),"1",""),"2")),"")</f>
        <v>Drop 1   In Home 12/1/22</v>
      </c>
      <c r="G17" t="str">
        <f t="shared" ca="1" si="8"/>
        <v>20221201</v>
      </c>
      <c r="H17" s="111">
        <v>20221201</v>
      </c>
      <c r="I17" t="str">
        <f t="shared" si="6"/>
        <v>postcard</v>
      </c>
      <c r="J17" t="str">
        <f t="shared" ca="1" si="1"/>
        <v>20221201</v>
      </c>
      <c r="K17" t="str">
        <f>IF(IFERROR(MATCH(IFERROR(INDEX(Sheet1!$C$2:$AH$50,MATCH($A17,Sheet1!$C$2:$C$50,0),MATCH(K$1,Sheet1!$C$2:$AH$2,0)),""),Table24[[#All],[Test Column]],0),0) &gt; 0, IFERROR(INDEX(Sheet1!$C$2:$AH$50,MATCH($A17,Sheet1!$C$2:$C$50,0),MATCH(K$1,Sheet1!$C$2:$AH$2,0)),""), "New value Found")</f>
        <v>6 x 10.75 postcard</v>
      </c>
      <c r="L17" t="str">
        <f t="shared" ca="1" si="2"/>
        <v>20221201</v>
      </c>
      <c r="M17" s="111">
        <v>20221014</v>
      </c>
    </row>
    <row r="18" spans="1:13" x14ac:dyDescent="0.35">
      <c r="A18" t="s">
        <v>151</v>
      </c>
      <c r="B18" t="str">
        <f t="shared" si="0"/>
        <v>CELL18</v>
      </c>
      <c r="C18" t="str">
        <f t="shared" si="7"/>
        <v>CELL18</v>
      </c>
      <c r="D18" t="str">
        <f>IFERROR(INDEX(Sheet1!$C$2:$AH$37,MATCH($A18,Sheet1!$C$2:$C$37,0),MATCH(D$1,Sheet1!$C$2:$AH$2,0)),"")</f>
        <v>LDYD14</v>
      </c>
      <c r="E18" t="str">
        <f>IFERROR(IF(TEXT(INDEX(Sheet1!$C$2:$AH$37,MATCH($A18,Sheet1!$C$2:$C$37,0),MATCH(E$1,Sheet1!$C$2:$AH$2,0)), "yyyymmdd") = "19000100","",TEXT(INDEX(Sheet1!$C$2:$AH$37,MATCH($A18,Sheet1!$C$2:$C$37,0),MATCH(E$1,Sheet1!$C$2:$AH$2,0)), "yyyymmdd")),"")</f>
        <v>20221231</v>
      </c>
      <c r="F18" t="str">
        <f ca="1">IFERROR(INDIRECT(CONCATENATE("Sheet1!",SUBSTITUTE(ADDRESS(1,2+MATCH("X",INDIRECT(CONCATENATE("Sheet1!$C$", 1+MATCH($A18, Sheet1!$C$2:$C$50,0))):INDIRECT(CONCATENATE("Sheet1!$AH$", 1+MATCH($A18,Sheet1!$C$2:$C$50,0))),0),4),"1",""),"2")),"")</f>
        <v>Drop 1   In Home 12/1/22</v>
      </c>
      <c r="G18" t="str">
        <f t="shared" ca="1" si="8"/>
        <v>20221201</v>
      </c>
      <c r="H18" s="111">
        <v>20221201</v>
      </c>
      <c r="I18" t="str">
        <f t="shared" si="6"/>
        <v>postcard</v>
      </c>
      <c r="J18" t="str">
        <f t="shared" ca="1" si="1"/>
        <v>20221201</v>
      </c>
      <c r="K18" t="str">
        <f>IF(IFERROR(MATCH(IFERROR(INDEX(Sheet1!$C$2:$AH$50,MATCH($A18,Sheet1!$C$2:$C$50,0),MATCH(K$1,Sheet1!$C$2:$AH$2,0)),""),Table24[[#All],[Test Column]],0),0) &gt; 0, IFERROR(INDEX(Sheet1!$C$2:$AH$50,MATCH($A18,Sheet1!$C$2:$C$50,0),MATCH(K$1,Sheet1!$C$2:$AH$2,0)),""), "New value Found")</f>
        <v>6 x 10.75 postcard</v>
      </c>
      <c r="L18" t="str">
        <f t="shared" ca="1" si="2"/>
        <v>20221201</v>
      </c>
      <c r="M18" s="111">
        <v>20221014</v>
      </c>
    </row>
    <row r="19" spans="1:13" x14ac:dyDescent="0.35">
      <c r="A19" t="s">
        <v>156</v>
      </c>
      <c r="B19" t="str">
        <f t="shared" si="0"/>
        <v>CELL19</v>
      </c>
      <c r="C19" t="str">
        <f t="shared" si="7"/>
        <v>CELL19</v>
      </c>
      <c r="D19" t="str">
        <f>IFERROR(INDEX(Sheet1!$C$2:$AH$37,MATCH($A19,Sheet1!$C$2:$C$37,0),MATCH(D$1,Sheet1!$C$2:$AH$2,0)),"")</f>
        <v>BB2225</v>
      </c>
      <c r="E19" t="str">
        <f>IFERROR(IF(TEXT(INDEX(Sheet1!$C$2:$AH$37,MATCH($A19,Sheet1!$C$2:$C$37,0),MATCH(E$1,Sheet1!$C$2:$AH$2,0)), "yyyymmdd") = "19000100","",TEXT(INDEX(Sheet1!$C$2:$AH$37,MATCH($A19,Sheet1!$C$2:$C$37,0),MATCH(E$1,Sheet1!$C$2:$AH$2,0)), "yyyymmdd")),"")</f>
        <v>20230105</v>
      </c>
      <c r="F19" t="str">
        <f ca="1">IFERROR(INDIRECT(CONCATENATE("Sheet1!",SUBSTITUTE(ADDRESS(1,2+MATCH("X",INDIRECT(CONCATENATE("Sheet1!$C$", 1+MATCH($A19, Sheet1!$C$2:$C$50,0))):INDIRECT(CONCATENATE("Sheet1!$AH$", 1+MATCH($A19,Sheet1!$C$2:$C$50,0))),0),4),"1",""),"2")),"")</f>
        <v>Drop 2
In Home 12/8/22</v>
      </c>
      <c r="G19" t="str">
        <f t="shared" ca="1" si="8"/>
        <v>20221208</v>
      </c>
      <c r="H19" s="111">
        <v>20221201</v>
      </c>
      <c r="I19" t="str">
        <f>IFERROR(IF(IFERROR(SEARCH("postcard",LOWER(SUBSTITUTE(K19,"-"," "))),FALSE),"postcard",IF(IFERROR(SEARCH("bi fold",LOWER(SUBSTITUTE(K19,"-"," "))),FALSE),"bi_fold",IF(IFERROR(SEARCH("tab mailer",LOWER(SUBSTITUTE(K19,"-"," "))),FALSE),"tab_mailer",IF(IFERROR(SEARCH("bbm",LOWER(SUBSTITUTE(K19,"-"," "))),FALSE),"bbm_cover",IF(IFERROR(SEARCH("scratch",LOWER(SUBSTITUTE(K19,"-"," "))),FALSE),"scratch_ticket",IF(IFERROR(SEARCH("engagement",LOWER(SUBSTITUTE(K19,"-"," "))),FALSE),"booklet",IF(IFERROR(SEARCH("letter",LOWER(SUBSTITUTE(K19,"-"," "))),FALSE),"letter",IF(IFERROR(SEARCH("smart",LOWER(SUBSTITUTE(K19,"-"," "))),FALSE),"SmartSaver","")))))))),"")</f>
        <v>SmartSaver</v>
      </c>
      <c r="J19" t="str">
        <f t="shared" ca="1" si="1"/>
        <v>20221208</v>
      </c>
      <c r="K19" t="str">
        <f>IF(IFERROR(MATCH(IFERROR(INDEX(Sheet1!$C$2:$AH$50,MATCH($A19,Sheet1!$C$2:$C$50,0),MATCH(K$1,Sheet1!$C$2:$AH$2,0)),""),Table24[[#All],[Test Column]],0),0) &gt; 0, IFERROR(INDEX(Sheet1!$C$2:$AH$50,MATCH($A19,Sheet1!$C$2:$C$50,0),MATCH(K$1,Sheet1!$C$2:$AH$2,0)),""), "New value Found")</f>
        <v>SmartSaver 18</v>
      </c>
      <c r="L19" t="str">
        <f t="shared" ca="1" si="2"/>
        <v>20221208</v>
      </c>
      <c r="M19" s="111">
        <v>20221014</v>
      </c>
    </row>
    <row r="20" spans="1:13" x14ac:dyDescent="0.35">
      <c r="A20" t="s">
        <v>161</v>
      </c>
      <c r="B20" t="str">
        <f t="shared" si="0"/>
        <v>CELL20</v>
      </c>
      <c r="C20" t="str">
        <f t="shared" si="7"/>
        <v>CELL20</v>
      </c>
      <c r="D20" t="str">
        <f>IFERROR(INDEX(Sheet1!$C$2:$AH$37,MATCH($A20,Sheet1!$C$2:$C$37,0),MATCH(D$1,Sheet1!$C$2:$AH$2,0)),"")</f>
        <v>NBLSCR</v>
      </c>
      <c r="E20" t="str">
        <f>IFERROR(IF(TEXT(INDEX(Sheet1!$C$2:$AH$37,MATCH($A20,Sheet1!$C$2:$C$37,0),MATCH(E$1,Sheet1!$C$2:$AH$2,0)), "yyyymmdd") = "19000100","",TEXT(INDEX(Sheet1!$C$2:$AH$37,MATCH($A20,Sheet1!$C$2:$C$37,0),MATCH(E$1,Sheet1!$C$2:$AH$2,0)), "yyyymmdd")),"")</f>
        <v>20221231</v>
      </c>
      <c r="F20" t="str">
        <f ca="1">IFERROR(INDIRECT(CONCATENATE("Sheet1!",SUBSTITUTE(ADDRESS(1,2+MATCH("X",INDIRECT(CONCATENATE("Sheet1!$C$", 1+MATCH($A20, Sheet1!$C$2:$C$50,0))):INDIRECT(CONCATENATE("Sheet1!$AH$", 1+MATCH($A20,Sheet1!$C$2:$C$50,0))),0),4),"1",""),"2")),"")</f>
        <v>Drop 1   In Home 12/1/22</v>
      </c>
      <c r="G20" t="str">
        <f t="shared" ca="1" si="8"/>
        <v>20221201</v>
      </c>
      <c r="H20" s="111">
        <v>20221201</v>
      </c>
      <c r="I20" t="str">
        <f t="shared" ref="I20:I30" si="11">IFERROR(IF(IFERROR(SEARCH("postcard",LOWER(SUBSTITUTE(K20,"-"," "))),FALSE),"postcard",IF(IFERROR(SEARCH("bi fold",LOWER(SUBSTITUTE(K20,"-"," "))),FALSE),"bi_fold",IF(IFERROR(SEARCH("tab mailer",LOWER(SUBSTITUTE(K20,"-"," "))),FALSE),"tab_mailer",IF(IFERROR(SEARCH("bbm",LOWER(SUBSTITUTE(K20,"-"," "))),FALSE),"bbm_cover",IF(IFERROR(SEARCH("scratch",LOWER(SUBSTITUTE(K20,"-"," "))),FALSE),"scratch_ticket",IF(IFERROR(SEARCH("engagement",LOWER(SUBSTITUTE(K20,"-"," "))),FALSE),"booklet",IF(IFERROR(SEARCH("letter",LOWER(SUBSTITUTE(K20,"-"," "))),FALSE),"letter",IF(IFERROR(SEARCH("smart",LOWER(SUBSTITUTE(K20,"-"," "))),FALSE),"SmartSaver","")))))))),"")</f>
        <v>scratch_ticket</v>
      </c>
      <c r="J20" t="str">
        <f t="shared" ca="1" si="1"/>
        <v>20221201</v>
      </c>
      <c r="K20" t="str">
        <f>IF(IFERROR(MATCH(IFERROR(INDEX(Sheet1!$C$2:$AH$50,MATCH($A20,Sheet1!$C$2:$C$50,0),MATCH(K$1,Sheet1!$C$2:$AH$2,0)),""),Table24[[#All],[Test Column]],0),0) &gt; 0, IFERROR(INDEX(Sheet1!$C$2:$AH$50,MATCH($A20,Sheet1!$C$2:$C$50,0),MATCH(K$1,Sheet1!$C$2:$AH$2,0)),""), "New value Found")</f>
        <v>Scratch Ticket Letter</v>
      </c>
      <c r="L20" t="str">
        <f t="shared" ca="1" si="2"/>
        <v>20221201</v>
      </c>
      <c r="M20" s="111">
        <v>20221014</v>
      </c>
    </row>
    <row r="21" spans="1:13" x14ac:dyDescent="0.35">
      <c r="A21" t="s">
        <v>166</v>
      </c>
      <c r="B21" t="str">
        <f t="shared" si="0"/>
        <v>CELL21</v>
      </c>
      <c r="C21" t="str">
        <f t="shared" si="7"/>
        <v>CELL21</v>
      </c>
      <c r="D21" t="str">
        <f>IFERROR(INDEX(Sheet1!$C$2:$AH$37,MATCH($A21,Sheet1!$C$2:$C$37,0),MATCH(D$1,Sheet1!$C$2:$AH$2,0)),"")</f>
        <v>NBLBB2</v>
      </c>
      <c r="E21" t="str">
        <f>IFERROR(IF(TEXT(INDEX(Sheet1!$C$2:$AH$37,MATCH($A21,Sheet1!$C$2:$C$37,0),MATCH(E$1,Sheet1!$C$2:$AH$2,0)), "yyyymmdd") = "19000100","",TEXT(INDEX(Sheet1!$C$2:$AH$37,MATCH($A21,Sheet1!$C$2:$C$37,0),MATCH(E$1,Sheet1!$C$2:$AH$2,0)), "yyyymmdd")),"")</f>
        <v>20230119</v>
      </c>
      <c r="F21" t="str">
        <f ca="1">IFERROR(INDIRECT(CONCATENATE("Sheet1!",SUBSTITUTE(ADDRESS(1,2+MATCH("X",INDIRECT(CONCATENATE("Sheet1!$C$", 1+MATCH($A21, Sheet1!$C$2:$C$50,0))):INDIRECT(CONCATENATE("Sheet1!$AH$", 1+MATCH($A21,Sheet1!$C$2:$C$50,0))),0),4),"1",""),"2")),"")</f>
        <v>Drop 3 In Home 12/15/22</v>
      </c>
      <c r="G21" t="str">
        <f t="shared" ca="1" si="8"/>
        <v>20221215</v>
      </c>
      <c r="H21" s="111">
        <v>20221201</v>
      </c>
      <c r="I21" t="str">
        <f t="shared" si="11"/>
        <v>SmartSaver</v>
      </c>
      <c r="J21" t="str">
        <f t="shared" ca="1" si="1"/>
        <v>20221215</v>
      </c>
      <c r="K21" t="str">
        <f>IF(IFERROR(MATCH(IFERROR(INDEX(Sheet1!$C$2:$AH$50,MATCH($A21,Sheet1!$C$2:$C$50,0),MATCH(K$1,Sheet1!$C$2:$AH$2,0)),""),Table24[[#All],[Test Column]],0),0) &gt; 0, IFERROR(INDEX(Sheet1!$C$2:$AH$50,MATCH($A21,Sheet1!$C$2:$C$50,0),MATCH(K$1,Sheet1!$C$2:$AH$2,0)),""), "New value Found")</f>
        <v>SmartSaver 19</v>
      </c>
      <c r="L21" t="str">
        <f t="shared" ca="1" si="2"/>
        <v>20221215</v>
      </c>
      <c r="M21" s="111">
        <v>20221014</v>
      </c>
    </row>
    <row r="22" spans="1:13" x14ac:dyDescent="0.35">
      <c r="A22" t="s">
        <v>422</v>
      </c>
      <c r="B22" t="str">
        <f t="shared" si="0"/>
        <v>CELL22</v>
      </c>
      <c r="C22" t="str">
        <f t="shared" si="7"/>
        <v>CELL22</v>
      </c>
      <c r="D22" t="str">
        <f>IFERROR(INDEX(Sheet1!$C$2:$AH$37,MATCH($A22,Sheet1!$C$2:$C$37,0),MATCH(D$1,Sheet1!$C$2:$AH$2,0)),"")</f>
        <v>ALBBBM</v>
      </c>
      <c r="E22" t="str">
        <f>IFERROR(IF(TEXT(INDEX(Sheet1!$C$2:$AH$37,MATCH($A22,Sheet1!$C$2:$C$37,0),MATCH(E$1,Sheet1!$C$2:$AH$2,0)), "yyyymmdd") = "19000100","",TEXT(INDEX(Sheet1!$C$2:$AH$37,MATCH($A22,Sheet1!$C$2:$C$37,0),MATCH(E$1,Sheet1!$C$2:$AH$2,0)), "yyyymmdd")),"")</f>
        <v>20230105</v>
      </c>
      <c r="F22" t="str">
        <f ca="1">IFERROR(INDIRECT(CONCATENATE("Sheet1!",SUBSTITUTE(ADDRESS(1,2+MATCH("X",INDIRECT(CONCATENATE("Sheet1!$C$", 1+MATCH($A22, Sheet1!$C$2:$C$50,0))):INDIRECT(CONCATENATE("Sheet1!$AH$", 1+MATCH($A22,Sheet1!$C$2:$C$50,0))),0),4),"1",""),"2")),"")</f>
        <v>Drop 2
In Home 12/8/22</v>
      </c>
      <c r="G22" t="str">
        <f t="shared" ca="1" si="8"/>
        <v>20221208</v>
      </c>
      <c r="H22" s="111">
        <v>20221201</v>
      </c>
      <c r="I22" t="str">
        <f t="shared" si="11"/>
        <v>SmartSaver</v>
      </c>
      <c r="J22" t="str">
        <f t="shared" ca="1" si="1"/>
        <v>20221208</v>
      </c>
      <c r="K22" t="str">
        <f>IF(IFERROR(MATCH(IFERROR(INDEX(Sheet1!$C$2:$AH$50,MATCH($A22,Sheet1!$C$2:$C$50,0),MATCH(K$1,Sheet1!$C$2:$AH$2,0)),""),Table24[[#All],[Test Column]],0),0) &gt; 0, IFERROR(INDEX(Sheet1!$C$2:$AH$50,MATCH($A22,Sheet1!$C$2:$C$50,0),MATCH(K$1,Sheet1!$C$2:$AH$2,0)),""), "New value Found")</f>
        <v>SmartSaver 18</v>
      </c>
      <c r="L22" t="str">
        <f t="shared" ca="1" si="2"/>
        <v>20221208</v>
      </c>
      <c r="M22" s="111">
        <v>20221014</v>
      </c>
    </row>
    <row r="23" spans="1:13" x14ac:dyDescent="0.35">
      <c r="A23" t="s">
        <v>424</v>
      </c>
      <c r="B23" t="str">
        <f t="shared" si="0"/>
        <v>CELL23</v>
      </c>
      <c r="C23" t="str">
        <f t="shared" si="7"/>
        <v>CELL23</v>
      </c>
      <c r="D23" t="str">
        <f>IFERROR(INDEX(Sheet1!$C$2:$AH$37,MATCH($A23,Sheet1!$C$2:$C$37,0),MATCH(D$1,Sheet1!$C$2:$AH$2,0)),"")</f>
        <v>GRNDM6</v>
      </c>
      <c r="E23" t="str">
        <f>IFERROR(IF(TEXT(INDEX(Sheet1!$C$2:$AH$37,MATCH($A23,Sheet1!$C$2:$C$37,0),MATCH(E$1,Sheet1!$C$2:$AH$2,0)), "yyyymmdd") = "19000100","",TEXT(INDEX(Sheet1!$C$2:$AH$37,MATCH($A23,Sheet1!$C$2:$C$37,0),MATCH(E$1,Sheet1!$C$2:$AH$2,0)), "yyyymmdd")),"")</f>
        <v>20230114</v>
      </c>
      <c r="F23" t="str">
        <f ca="1">IFERROR(INDIRECT(CONCATENATE("Sheet1!",SUBSTITUTE(ADDRESS(1,2+MATCH("X",INDIRECT(CONCATENATE("Sheet1!$C$", 1+MATCH($A23, Sheet1!$C$2:$C$50,0))):INDIRECT(CONCATENATE("Sheet1!$AH$", 1+MATCH($A23,Sheet1!$C$2:$C$50,0))),0),4),"1",""),"2")),"")</f>
        <v>Drop 2
In Home 12/8/22</v>
      </c>
      <c r="G23" t="str">
        <f t="shared" ca="1" si="8"/>
        <v>20221208</v>
      </c>
      <c r="H23" s="111">
        <v>20221201</v>
      </c>
      <c r="I23" t="str">
        <f t="shared" si="11"/>
        <v>postcard</v>
      </c>
      <c r="J23" t="str">
        <f t="shared" ca="1" si="1"/>
        <v>20221208</v>
      </c>
      <c r="K23" t="str">
        <f>IF(IFERROR(MATCH(IFERROR(INDEX(Sheet1!$C$2:$AH$50,MATCH($A23,Sheet1!$C$2:$C$50,0),MATCH(K$1,Sheet1!$C$2:$AH$2,0)),""),Table24[[#All],[Test Column]],0),0) &gt; 0, IFERROR(INDEX(Sheet1!$C$2:$AH$50,MATCH($A23,Sheet1!$C$2:$C$50,0),MATCH(K$1,Sheet1!$C$2:$AH$2,0)),""), "New value Found")</f>
        <v>6 x 10.75 postcard</v>
      </c>
      <c r="L23" t="str">
        <f t="shared" ca="1" si="2"/>
        <v>20221208</v>
      </c>
      <c r="M23" s="111">
        <v>20221014</v>
      </c>
    </row>
    <row r="24" spans="1:13" x14ac:dyDescent="0.35">
      <c r="A24" t="s">
        <v>426</v>
      </c>
      <c r="B24" t="str">
        <f t="shared" si="0"/>
        <v>CELL24</v>
      </c>
      <c r="C24" t="str">
        <f t="shared" si="7"/>
        <v>CELL24</v>
      </c>
      <c r="D24" t="str">
        <f>IFERROR(INDEX(Sheet1!$C$2:$AH$37,MATCH($A24,Sheet1!$C$2:$C$37,0),MATCH(D$1,Sheet1!$C$2:$AH$2,0)),"")</f>
        <v>MDLENG</v>
      </c>
      <c r="E24" t="str">
        <f>IFERROR(IF(TEXT(INDEX(Sheet1!$C$2:$AH$37,MATCH($A24,Sheet1!$C$2:$C$37,0),MATCH(E$1,Sheet1!$C$2:$AH$2,0)), "yyyymmdd") = "19000100","",TEXT(INDEX(Sheet1!$C$2:$AH$37,MATCH($A24,Sheet1!$C$2:$C$37,0),MATCH(E$1,Sheet1!$C$2:$AH$2,0)), "yyyymmdd")),"")</f>
        <v>20221231</v>
      </c>
      <c r="F24" t="str">
        <f ca="1">IFERROR(INDIRECT(CONCATENATE("Sheet1!",SUBSTITUTE(ADDRESS(1,2+MATCH("X",INDIRECT(CONCATENATE("Sheet1!$C$", 1+MATCH($A24, Sheet1!$C$2:$C$50,0))):INDIRECT(CONCATENATE("Sheet1!$AH$", 1+MATCH($A24,Sheet1!$C$2:$C$50,0))),0),4),"1",""),"2")),"")</f>
        <v>Drop 1   In Home 12/1/22</v>
      </c>
      <c r="G24" t="str">
        <f t="shared" ca="1" si="8"/>
        <v>20221201</v>
      </c>
      <c r="H24" s="111">
        <v>20221201</v>
      </c>
      <c r="I24" t="str">
        <f t="shared" si="11"/>
        <v>booklet</v>
      </c>
      <c r="J24" t="str">
        <f t="shared" ca="1" si="1"/>
        <v>20221201</v>
      </c>
      <c r="K24" t="str">
        <f>IF(IFERROR(MATCH(IFERROR(INDEX(Sheet1!$C$2:$AH$50,MATCH($A24,Sheet1!$C$2:$C$50,0),MATCH(K$1,Sheet1!$C$2:$AH$2,0)),""),Table24[[#All],[Test Column]],0),0) &gt; 0, IFERROR(INDEX(Sheet1!$C$2:$AH$50,MATCH($A24,Sheet1!$C$2:$C$50,0),MATCH(K$1,Sheet1!$C$2:$AH$2,0)),""), "New value Found")</f>
        <v>Engagement Book</v>
      </c>
      <c r="L24" t="str">
        <f t="shared" ca="1" si="2"/>
        <v>20221201</v>
      </c>
      <c r="M24" s="111">
        <v>20221014</v>
      </c>
    </row>
    <row r="25" spans="1:13" x14ac:dyDescent="0.35">
      <c r="A25" t="s">
        <v>428</v>
      </c>
      <c r="B25" t="str">
        <f t="shared" si="0"/>
        <v>CELL25</v>
      </c>
      <c r="C25" t="str">
        <f t="shared" si="7"/>
        <v>CELL25</v>
      </c>
      <c r="D25" t="str">
        <f>IFERROR(INDEX(Sheet1!$C$2:$AH$37,MATCH($A25,Sheet1!$C$2:$C$37,0),MATCH(D$1,Sheet1!$C$2:$AH$2,0)),"")</f>
        <v>MDLTAB</v>
      </c>
      <c r="E25" t="str">
        <f>IFERROR(IF(TEXT(INDEX(Sheet1!$C$2:$AH$37,MATCH($A25,Sheet1!$C$2:$C$37,0),MATCH(E$1,Sheet1!$C$2:$AH$2,0)), "yyyymmdd") = "19000100","",TEXT(INDEX(Sheet1!$C$2:$AH$37,MATCH($A25,Sheet1!$C$2:$C$37,0),MATCH(E$1,Sheet1!$C$2:$AH$2,0)), "yyyymmdd")),"")</f>
        <v>20230114</v>
      </c>
      <c r="F25" t="str">
        <f ca="1">IFERROR(INDIRECT(CONCATENATE("Sheet1!",SUBSTITUTE(ADDRESS(1,2+MATCH("X",INDIRECT(CONCATENATE("Sheet1!$C$", 1+MATCH($A25, Sheet1!$C$2:$C$50,0))):INDIRECT(CONCATENATE("Sheet1!$AH$", 1+MATCH($A25,Sheet1!$C$2:$C$50,0))),0),4),"1",""),"2")),"")</f>
        <v>Drop 3 In Home 12/15/22</v>
      </c>
      <c r="G25" t="str">
        <f t="shared" ca="1" si="8"/>
        <v>20221215</v>
      </c>
      <c r="H25" s="111">
        <v>20221201</v>
      </c>
      <c r="I25" t="str">
        <f t="shared" si="11"/>
        <v>tab_mailer</v>
      </c>
      <c r="J25" t="str">
        <f t="shared" ca="1" si="1"/>
        <v>20221215</v>
      </c>
      <c r="K25" t="str">
        <f>IF(IFERROR(MATCH(IFERROR(INDEX(Sheet1!$C$2:$AH$50,MATCH($A25,Sheet1!$C$2:$C$50,0),MATCH(K$1,Sheet1!$C$2:$AH$2,0)),""),Table24[[#All],[Test Column]],0),0) &gt; 0, IFERROR(INDEX(Sheet1!$C$2:$AH$50,MATCH($A25,Sheet1!$C$2:$C$50,0),MATCH(K$1,Sheet1!$C$2:$AH$2,0)),""), "New value Found")</f>
        <v>GO Tab Mailer</v>
      </c>
      <c r="L25" t="str">
        <f t="shared" ca="1" si="2"/>
        <v>20221215</v>
      </c>
      <c r="M25" s="111">
        <v>20221014</v>
      </c>
    </row>
    <row r="26" spans="1:13" x14ac:dyDescent="0.35">
      <c r="A26" t="s">
        <v>429</v>
      </c>
      <c r="B26" t="str">
        <f t="shared" si="0"/>
        <v>CELL26</v>
      </c>
      <c r="C26" t="str">
        <f t="shared" si="7"/>
        <v>CELL26</v>
      </c>
      <c r="D26" t="str">
        <f>IFERROR(INDEX(Sheet1!$C$2:$AH$37,MATCH($A26,Sheet1!$C$2:$C$37,0),MATCH(D$1,Sheet1!$C$2:$AH$2,0)),"")</f>
        <v>WAYDM5</v>
      </c>
      <c r="E26" t="str">
        <f>IFERROR(IF(TEXT(INDEX(Sheet1!$C$2:$AH$37,MATCH($A26,Sheet1!$C$2:$C$37,0),MATCH(E$1,Sheet1!$C$2:$AH$2,0)), "yyyymmdd") = "19000100","",TEXT(INDEX(Sheet1!$C$2:$AH$37,MATCH($A26,Sheet1!$C$2:$C$37,0),MATCH(E$1,Sheet1!$C$2:$AH$2,0)), "yyyymmdd")),"")</f>
        <v>20230119</v>
      </c>
      <c r="F26" t="str">
        <f ca="1">IFERROR(INDIRECT(CONCATENATE("Sheet1!",SUBSTITUTE(ADDRESS(1,2+MATCH("X",INDIRECT(CONCATENATE("Sheet1!$C$", 1+MATCH($A26, Sheet1!$C$2:$C$50,0))):INDIRECT(CONCATENATE("Sheet1!$AH$", 1+MATCH($A26,Sheet1!$C$2:$C$50,0))),0),4),"1",""),"2")),"")</f>
        <v>Drop 3 In Home 12/15/22</v>
      </c>
      <c r="G26" t="str">
        <f t="shared" ca="1" si="8"/>
        <v>20221215</v>
      </c>
      <c r="H26" s="111">
        <v>20221201</v>
      </c>
      <c r="I26" t="str">
        <f t="shared" si="11"/>
        <v>postcard</v>
      </c>
      <c r="J26" t="str">
        <f t="shared" ca="1" si="1"/>
        <v>20221215</v>
      </c>
      <c r="K26" t="str">
        <f>IF(IFERROR(MATCH(IFERROR(INDEX(Sheet1!$C$2:$AH$50,MATCH($A26,Sheet1!$C$2:$C$50,0),MATCH(K$1,Sheet1!$C$2:$AH$2,0)),""),Table24[[#All],[Test Column]],0),0) &gt; 0, IFERROR(INDEX(Sheet1!$C$2:$AH$50,MATCH($A26,Sheet1!$C$2:$C$50,0),MATCH(K$1,Sheet1!$C$2:$AH$2,0)),""), "New value Found")</f>
        <v>6 x 10.75 postcard</v>
      </c>
      <c r="L26" t="str">
        <f t="shared" ca="1" si="2"/>
        <v>20221215</v>
      </c>
      <c r="M26" s="111">
        <v>20221014</v>
      </c>
    </row>
    <row r="27" spans="1:13" x14ac:dyDescent="0.35">
      <c r="A27" t="s">
        <v>431</v>
      </c>
      <c r="B27" t="str">
        <f t="shared" si="0"/>
        <v>CELL27</v>
      </c>
      <c r="C27" t="str">
        <f t="shared" si="7"/>
        <v>CELL27</v>
      </c>
      <c r="D27" t="str">
        <f>IFERROR(INDEX(Sheet1!$C$2:$AH$37,MATCH($A27,Sheet1!$C$2:$C$37,0),MATCH(D$1,Sheet1!$C$2:$AH$2,0)),"")</f>
        <v>MCDDM4</v>
      </c>
      <c r="E27" t="str">
        <f>IFERROR(IF(TEXT(INDEX(Sheet1!$C$2:$AH$37,MATCH($A27,Sheet1!$C$2:$C$37,0),MATCH(E$1,Sheet1!$C$2:$AH$2,0)), "yyyymmdd") = "19000100","",TEXT(INDEX(Sheet1!$C$2:$AH$37,MATCH($A27,Sheet1!$C$2:$C$37,0),MATCH(E$1,Sheet1!$C$2:$AH$2,0)), "yyyymmdd")),"")</f>
        <v>20230114</v>
      </c>
      <c r="F27" t="str">
        <f ca="1">IFERROR(INDIRECT(CONCATENATE("Sheet1!",SUBSTITUTE(ADDRESS(1,2+MATCH("X",INDIRECT(CONCATENATE("Sheet1!$C$", 1+MATCH($A27, Sheet1!$C$2:$C$50,0))):INDIRECT(CONCATENATE("Sheet1!$AH$", 1+MATCH($A27,Sheet1!$C$2:$C$50,0))),0),4),"1",""),"2")),"")</f>
        <v>Drop 3 In Home 12/15/22</v>
      </c>
      <c r="G27" t="str">
        <f t="shared" ca="1" si="8"/>
        <v>20221215</v>
      </c>
      <c r="H27" s="111">
        <v>20221201</v>
      </c>
      <c r="I27" t="str">
        <f t="shared" si="11"/>
        <v>postcard</v>
      </c>
      <c r="J27" t="str">
        <f t="shared" ref="J27:J30" ca="1" si="12">G27</f>
        <v>20221215</v>
      </c>
      <c r="K27" t="str">
        <f>IF(IFERROR(MATCH(IFERROR(INDEX(Sheet1!$C$2:$AH$50,MATCH($A27,Sheet1!$C$2:$C$50,0),MATCH(K$1,Sheet1!$C$2:$AH$2,0)),""),Table24[[#All],[Test Column]],0),0) &gt; 0, IFERROR(INDEX(Sheet1!$C$2:$AH$50,MATCH($A27,Sheet1!$C$2:$C$50,0),MATCH(K$1,Sheet1!$C$2:$AH$2,0)),""), "New value Found")</f>
        <v>6 x 10.75 postcard</v>
      </c>
      <c r="L27" t="str">
        <f t="shared" ref="L27:L30" ca="1" si="13">G27</f>
        <v>20221215</v>
      </c>
      <c r="M27" s="111">
        <v>20221014</v>
      </c>
    </row>
    <row r="28" spans="1:13" x14ac:dyDescent="0.35">
      <c r="A28" t="s">
        <v>433</v>
      </c>
      <c r="B28" t="str">
        <f t="shared" si="0"/>
        <v>CELL28</v>
      </c>
      <c r="C28" t="str">
        <f t="shared" si="7"/>
        <v>CELL28</v>
      </c>
      <c r="D28" t="str">
        <f>IFERROR(INDEX(Sheet1!$C$2:$AH$37,MATCH($A28,Sheet1!$C$2:$C$37,0),MATCH(D$1,Sheet1!$C$2:$AH$2,0)),"")</f>
        <v>DAVDM1</v>
      </c>
      <c r="E28" t="str">
        <f>IFERROR(IF(TEXT(INDEX(Sheet1!$C$2:$AH$37,MATCH($A28,Sheet1!$C$2:$C$37,0),MATCH(E$1,Sheet1!$C$2:$AH$2,0)), "yyyymmdd") = "19000100","",TEXT(INDEX(Sheet1!$C$2:$AH$37,MATCH($A28,Sheet1!$C$2:$C$37,0),MATCH(E$1,Sheet1!$C$2:$AH$2,0)), "yyyymmdd")),"")</f>
        <v>20221225</v>
      </c>
      <c r="F28" t="str">
        <f ca="1">IFERROR(INDIRECT(CONCATENATE("Sheet1!",SUBSTITUTE(ADDRESS(1,2+MATCH("X",INDIRECT(CONCATENATE("Sheet1!$C$", 1+MATCH($A28, Sheet1!$C$2:$C$50,0))):INDIRECT(CONCATENATE("Sheet1!$AH$", 1+MATCH($A28,Sheet1!$C$2:$C$50,0))),0),4),"1",""),"2")),"")</f>
        <v>Drop 1   In Home 12/1/22</v>
      </c>
      <c r="G28" t="str">
        <f t="shared" ca="1" si="8"/>
        <v>20221201</v>
      </c>
      <c r="H28" s="111">
        <v>20221201</v>
      </c>
      <c r="I28" t="str">
        <f t="shared" si="11"/>
        <v>postcard</v>
      </c>
      <c r="J28" t="str">
        <f t="shared" ca="1" si="12"/>
        <v>20221201</v>
      </c>
      <c r="K28" t="str">
        <f>IF(IFERROR(MATCH(IFERROR(INDEX(Sheet1!$C$2:$AH$50,MATCH($A28,Sheet1!$C$2:$C$50,0),MATCH(K$1,Sheet1!$C$2:$AH$2,0)),""),Table24[[#All],[Test Column]],0),0) &gt; 0, IFERROR(INDEX(Sheet1!$C$2:$AH$50,MATCH($A28,Sheet1!$C$2:$C$50,0),MATCH(K$1,Sheet1!$C$2:$AH$2,0)),""), "New value Found")</f>
        <v>6 x 10.75 postcard</v>
      </c>
      <c r="L28" t="str">
        <f t="shared" ca="1" si="13"/>
        <v>20221201</v>
      </c>
      <c r="M28" s="111">
        <v>20221014</v>
      </c>
    </row>
    <row r="29" spans="1:13" x14ac:dyDescent="0.35">
      <c r="A29" t="s">
        <v>435</v>
      </c>
      <c r="B29" t="str">
        <f t="shared" si="0"/>
        <v>CELL29</v>
      </c>
      <c r="C29" t="str">
        <f t="shared" si="7"/>
        <v>CELL29</v>
      </c>
      <c r="D29" t="str">
        <f>IFERROR(INDEX(Sheet1!$C$2:$AH$37,MATCH($A29,Sheet1!$C$2:$C$37,0),MATCH(D$1,Sheet1!$C$2:$AH$2,0)),"")</f>
        <v>DAVDM2</v>
      </c>
      <c r="E29" t="str">
        <f>IFERROR(IF(TEXT(INDEX(Sheet1!$C$2:$AH$37,MATCH($A29,Sheet1!$C$2:$C$37,0),MATCH(E$1,Sheet1!$C$2:$AH$2,0)), "yyyymmdd") = "19000100","",TEXT(INDEX(Sheet1!$C$2:$AH$37,MATCH($A29,Sheet1!$C$2:$C$37,0),MATCH(E$1,Sheet1!$C$2:$AH$2,0)), "yyyymmdd")),"")</f>
        <v>20230107</v>
      </c>
      <c r="F29" t="str">
        <f ca="1">IFERROR(INDIRECT(CONCATENATE("Sheet1!",SUBSTITUTE(ADDRESS(1,2+MATCH("X",INDIRECT(CONCATENATE("Sheet1!$C$", 1+MATCH($A29, Sheet1!$C$2:$C$50,0))):INDIRECT(CONCATENATE("Sheet1!$AH$", 1+MATCH($A29,Sheet1!$C$2:$C$50,0))),0),4),"1",""),"2")),"")</f>
        <v>Drop 2
In Home 12/8/22</v>
      </c>
      <c r="G29" t="str">
        <f t="shared" ca="1" si="8"/>
        <v>20221208</v>
      </c>
      <c r="H29" s="111">
        <v>20221201</v>
      </c>
      <c r="I29" t="str">
        <f t="shared" si="11"/>
        <v>postcard</v>
      </c>
      <c r="J29" t="str">
        <f t="shared" ca="1" si="12"/>
        <v>20221208</v>
      </c>
      <c r="K29" t="str">
        <f>IF(IFERROR(MATCH(IFERROR(INDEX(Sheet1!$C$2:$AH$50,MATCH($A29,Sheet1!$C$2:$C$50,0),MATCH(K$1,Sheet1!$C$2:$AH$2,0)),""),Table24[[#All],[Test Column]],0),0) &gt; 0, IFERROR(INDEX(Sheet1!$C$2:$AH$50,MATCH($A29,Sheet1!$C$2:$C$50,0),MATCH(K$1,Sheet1!$C$2:$AH$2,0)),""), "New value Found")</f>
        <v>6 x 10.75 postcard</v>
      </c>
      <c r="L29" t="str">
        <f t="shared" ca="1" si="13"/>
        <v>20221208</v>
      </c>
      <c r="M29" s="111">
        <v>20221014</v>
      </c>
    </row>
    <row r="30" spans="1:13" x14ac:dyDescent="0.35">
      <c r="A30" t="s">
        <v>436</v>
      </c>
      <c r="B30" t="str">
        <f t="shared" si="0"/>
        <v>CELL30</v>
      </c>
      <c r="C30" t="str">
        <f t="shared" si="7"/>
        <v>CELL30</v>
      </c>
      <c r="D30" t="str">
        <f>IFERROR(INDEX(Sheet1!$C$2:$AH$37,MATCH($A30,Sheet1!$C$2:$C$37,0),MATCH(D$1,Sheet1!$C$2:$AH$2,0)),"")</f>
        <v>DAVDM3</v>
      </c>
      <c r="E30" t="str">
        <f>IFERROR(IF(TEXT(INDEX(Sheet1!$C$2:$AH$37,MATCH($A30,Sheet1!$C$2:$C$37,0),MATCH(E$1,Sheet1!$C$2:$AH$2,0)), "yyyymmdd") = "19000100","",TEXT(INDEX(Sheet1!$C$2:$AH$37,MATCH($A30,Sheet1!$C$2:$C$37,0),MATCH(E$1,Sheet1!$C$2:$AH$2,0)), "yyyymmdd")),"")</f>
        <v>20230121</v>
      </c>
      <c r="F30" t="str">
        <f ca="1">IFERROR(INDIRECT(CONCATENATE("Sheet1!",SUBSTITUTE(ADDRESS(1,2+MATCH("X",INDIRECT(CONCATENATE("Sheet1!$C$", 1+MATCH($A30, Sheet1!$C$2:$C$50,0))):INDIRECT(CONCATENATE("Sheet1!$AH$", 1+MATCH($A30,Sheet1!$C$2:$C$50,0))),0),4),"1",""),"2")),"")</f>
        <v>Drop 2
In Home 12/8/22</v>
      </c>
      <c r="G30" t="str">
        <f t="shared" ca="1" si="8"/>
        <v>20221208</v>
      </c>
      <c r="H30" s="111">
        <v>20221201</v>
      </c>
      <c r="I30" t="str">
        <f t="shared" si="11"/>
        <v>postcard</v>
      </c>
      <c r="J30" t="str">
        <f t="shared" ca="1" si="12"/>
        <v>20221208</v>
      </c>
      <c r="K30" t="str">
        <f>IF(IFERROR(MATCH(IFERROR(INDEX(Sheet1!$C$2:$AH$50,MATCH($A30,Sheet1!$C$2:$C$50,0),MATCH(K$1,Sheet1!$C$2:$AH$2,0)),""),Table24[[#All],[Test Column]],0),0) &gt; 0, IFERROR(INDEX(Sheet1!$C$2:$AH$50,MATCH($A30,Sheet1!$C$2:$C$50,0),MATCH(K$1,Sheet1!$C$2:$AH$2,0)),""), "New value Found")</f>
        <v>6 x 10.75 postcard</v>
      </c>
      <c r="L30" t="str">
        <f t="shared" ca="1" si="13"/>
        <v>20221208</v>
      </c>
      <c r="M30" s="111">
        <v>20221014</v>
      </c>
    </row>
  </sheetData>
  <phoneticPr fontId="77" type="noConversion"/>
  <conditionalFormatting sqref="J1:M1 A1:H1 A31:G33 A2:E30 G2:G30">
    <cfRule type="containsText" dxfId="74" priority="23" operator="containsText" text="CELL NOT FOUND">
      <formula>NOT(ISERROR(SEARCH("CELL NOT FOUND",A1)))</formula>
    </cfRule>
  </conditionalFormatting>
  <conditionalFormatting sqref="J1:M1 A1:H1 A31:G33 A2:E30 G2:G30">
    <cfRule type="containsText" dxfId="73" priority="22" operator="containsText" text="MISSING">
      <formula>NOT(ISERROR(SEARCH("MISSING",A1)))</formula>
    </cfRule>
  </conditionalFormatting>
  <conditionalFormatting sqref="I1">
    <cfRule type="containsText" dxfId="72" priority="21" operator="containsText" text="CELL NOT FOUND">
      <formula>NOT(ISERROR(SEARCH("CELL NOT FOUND",I1)))</formula>
    </cfRule>
  </conditionalFormatting>
  <conditionalFormatting sqref="I1">
    <cfRule type="containsText" dxfId="71" priority="20" operator="containsText" text="MISSING">
      <formula>NOT(ISERROR(SEARCH("MISSING",I1)))</formula>
    </cfRule>
  </conditionalFormatting>
  <conditionalFormatting sqref="H31:H33">
    <cfRule type="containsText" dxfId="70" priority="17" operator="containsText" text="CELL NOT FOUND">
      <formula>NOT(ISERROR(SEARCH("CELL NOT FOUND",H31)))</formula>
    </cfRule>
  </conditionalFormatting>
  <conditionalFormatting sqref="H31:H33">
    <cfRule type="containsText" dxfId="69" priority="16" operator="containsText" text="MISSING">
      <formula>NOT(ISERROR(SEARCH("MISSING",H31)))</formula>
    </cfRule>
  </conditionalFormatting>
  <conditionalFormatting sqref="F2:F30">
    <cfRule type="containsText" dxfId="68" priority="3" operator="containsText" text="CELL NOT FOUND">
      <formula>NOT(ISERROR(SEARCH("CELL NOT FOUND",F2)))</formula>
    </cfRule>
  </conditionalFormatting>
  <conditionalFormatting sqref="F2:F30">
    <cfRule type="containsText" dxfId="67" priority="2" operator="containsText" text="MISSING">
      <formula>NOT(ISERROR(SEARCH("MISSING",F2)))</formula>
    </cfRule>
  </conditionalFormatting>
  <conditionalFormatting sqref="K1:K1048576">
    <cfRule type="containsText" dxfId="66" priority="1" operator="containsText" text="New Value">
      <formula>NOT(ISERROR(SEARCH("New Value",K1)))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2"/>
  <sheetViews>
    <sheetView zoomScale="90" zoomScaleNormal="90" workbookViewId="0">
      <pane xSplit="2" ySplit="1" topLeftCell="H24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defaultRowHeight="14.5" x14ac:dyDescent="0.35"/>
  <cols>
    <col min="1" max="1" width="29.26953125" customWidth="1"/>
    <col min="2" max="2" width="35.1796875" customWidth="1"/>
    <col min="3" max="3" width="16.81640625" customWidth="1"/>
    <col min="4" max="4" width="32.54296875" bestFit="1" customWidth="1"/>
    <col min="5" max="5" width="51.81640625" customWidth="1"/>
    <col min="6" max="6" width="197.54296875" customWidth="1"/>
    <col min="7" max="7" width="92.26953125" bestFit="1" customWidth="1"/>
    <col min="8" max="8" width="21" bestFit="1" customWidth="1"/>
    <col min="9" max="9" width="15.26953125" bestFit="1" customWidth="1"/>
    <col min="10" max="10" width="24.81640625" bestFit="1" customWidth="1"/>
    <col min="11" max="11" width="41" bestFit="1" customWidth="1"/>
    <col min="12" max="12" width="89.54296875" bestFit="1" customWidth="1"/>
    <col min="13" max="13" width="12.54296875" bestFit="1" customWidth="1"/>
    <col min="14" max="14" width="27.81640625" bestFit="1" customWidth="1"/>
    <col min="15" max="15" width="30.81640625" bestFit="1" customWidth="1"/>
    <col min="16" max="16" width="13.453125" bestFit="1" customWidth="1"/>
    <col min="17" max="17" width="21.81640625" bestFit="1" customWidth="1"/>
    <col min="18" max="18" width="11.26953125" bestFit="1" customWidth="1"/>
    <col min="19" max="19" width="6.81640625" bestFit="1" customWidth="1"/>
    <col min="20" max="20" width="7.54296875" bestFit="1" customWidth="1"/>
  </cols>
  <sheetData>
    <row r="1" spans="1:21" x14ac:dyDescent="0.35">
      <c r="A1" t="s">
        <v>437</v>
      </c>
      <c r="B1" t="s">
        <v>438</v>
      </c>
      <c r="C1" s="112" t="s">
        <v>447</v>
      </c>
      <c r="E1" s="112" t="s">
        <v>448</v>
      </c>
      <c r="F1" s="112" t="s">
        <v>449</v>
      </c>
      <c r="G1" s="112" t="s">
        <v>450</v>
      </c>
      <c r="H1" s="112" t="s">
        <v>451</v>
      </c>
      <c r="I1" s="112" t="s">
        <v>452</v>
      </c>
      <c r="J1" s="112" t="s">
        <v>453</v>
      </c>
      <c r="K1" s="112" t="s">
        <v>454</v>
      </c>
      <c r="L1" s="112" t="s">
        <v>455</v>
      </c>
      <c r="M1" s="112" t="s">
        <v>456</v>
      </c>
      <c r="N1" s="112" t="s">
        <v>457</v>
      </c>
      <c r="O1" s="112" t="s">
        <v>458</v>
      </c>
      <c r="P1" s="112" t="s">
        <v>459</v>
      </c>
      <c r="Q1" s="112" t="s">
        <v>460</v>
      </c>
      <c r="R1" s="112" t="s">
        <v>461</v>
      </c>
      <c r="S1" s="112" t="s">
        <v>462</v>
      </c>
      <c r="T1" s="112" t="s">
        <v>463</v>
      </c>
      <c r="U1" s="112" t="s">
        <v>464</v>
      </c>
    </row>
    <row r="2" spans="1:21" s="165" customFormat="1" x14ac:dyDescent="0.35">
      <c r="A2" s="165" t="s">
        <v>26</v>
      </c>
      <c r="B2" s="165" t="str">
        <f t="shared" ref="B2:B7" si="0">IF(LEN(A2)&gt;6,SUBSTITUTE(UPPER(A2)," ",""),SUBSTITUTE(UPPER(A2), " ", "0"))</f>
        <v>CELL01</v>
      </c>
      <c r="C2" s="313" t="s">
        <v>465</v>
      </c>
      <c r="D2" s="165" t="str">
        <f t="shared" ref="D2:D7" si="1">B2&amp;"_"&amp;C2</f>
        <v>CELL01_OT_MAIN</v>
      </c>
      <c r="E2" s="314" t="s">
        <v>466</v>
      </c>
      <c r="F2" s="313" t="str">
        <f t="shared" ref="F2:F8" si="2">CONCATENATE(IF(G2&lt;&gt;"",_xlfn.CONCAT("club=",G2),""),IF(H2&lt;&gt;"",_xlfn.CONCAT("club=",H2),""),IF(J2&lt;&gt;"",IF(G2="" &amp; H2="",L2,CONCATENATE(":", L2)),""),IF(M2&lt;&gt;"",CONCATENATE(":",O2),""),IF(P2&lt;&gt;"",CONCATENATE(":",R2),""),IF(S2&lt;&gt;"",CONCATENATE(":",U2),""))</f>
        <v>club='128','169','191','222','223','224','225','226','235','382','383','384','385','386','387','388','389','390','391','392','395':test_condition='freq_cell01_ot_main=1'</v>
      </c>
      <c r="G2" s="315" t="str">
        <f>IF(VLOOKUP(SUBSTITUTE($A2,"Ctrl","Cell"),Sheet1!$C:$G,5,FALSE)=0,"",_xlfn.CONCAT("'",SUBSTITUTE(SUBSTITUTE(VLOOKUP(SUBSTITUTE($A2,"Ctrl","Cell"),Sheet1!$C:$G,5,FALSE),", ",","), ",","','"),"'"))</f>
        <v>'128','169','191','222','223','224','225','226','235','382','383','384','385','386','387','388','389','390','391','392','395'</v>
      </c>
      <c r="H2" s="313"/>
      <c r="I2" s="313"/>
      <c r="J2" s="313" t="s">
        <v>467</v>
      </c>
      <c r="K2" s="315" t="s">
        <v>468</v>
      </c>
      <c r="L2" s="315" t="str">
        <f t="shared" ref="L2:L7" si="3">IF(J2&lt;&gt;"",IF(K2="null",CONCATENATE(J2,"=",K2),CONCATENATE(J2,"='",K2)),"")</f>
        <v>test_condition='freq_cell01_ot_main=1'</v>
      </c>
      <c r="M2" s="313"/>
      <c r="N2" s="313"/>
      <c r="O2" s="313"/>
      <c r="P2" s="313"/>
      <c r="Q2" s="313"/>
      <c r="R2" s="313"/>
      <c r="S2" s="313"/>
      <c r="T2" s="313"/>
      <c r="U2" s="313"/>
    </row>
    <row r="3" spans="1:21" s="165" customFormat="1" x14ac:dyDescent="0.35">
      <c r="A3" s="165" t="s">
        <v>469</v>
      </c>
      <c r="B3" s="165" t="str">
        <f t="shared" si="0"/>
        <v>CTRL01</v>
      </c>
      <c r="C3" s="313" t="s">
        <v>465</v>
      </c>
      <c r="D3" s="165" t="str">
        <f t="shared" si="1"/>
        <v>CTRL01_OT_MAIN</v>
      </c>
      <c r="E3" s="314" t="s">
        <v>466</v>
      </c>
      <c r="F3" s="313" t="str">
        <f t="shared" si="2"/>
        <v>club='128','169','191','222','223','224','225','226','235','382','383','384','385','386','387','388','389','390','391','392','395':test_condition='freq_ctrl01_ot_main=1'</v>
      </c>
      <c r="G3" s="315" t="str">
        <f>IF(VLOOKUP(SUBSTITUTE($A3,"Ctrl","Cell"),Sheet1!$C:$G,5,FALSE)=0,"",_xlfn.CONCAT("'",SUBSTITUTE(SUBSTITUTE(VLOOKUP(SUBSTITUTE($A3,"Ctrl","Cell"),Sheet1!$C:$G,5,FALSE),", ",","), ",","','"),"'"))</f>
        <v>'128','169','191','222','223','224','225','226','235','382','383','384','385','386','387','388','389','390','391','392','395'</v>
      </c>
      <c r="H3" s="313"/>
      <c r="I3" s="313"/>
      <c r="J3" s="313" t="s">
        <v>467</v>
      </c>
      <c r="K3" s="315" t="s">
        <v>470</v>
      </c>
      <c r="L3" s="315" t="str">
        <f t="shared" si="3"/>
        <v>test_condition='freq_ctrl01_ot_main=1'</v>
      </c>
      <c r="M3" s="313"/>
      <c r="N3" s="313"/>
      <c r="O3" s="313"/>
      <c r="P3" s="313"/>
      <c r="Q3" s="313"/>
      <c r="R3" s="313"/>
      <c r="S3" s="313"/>
      <c r="T3" s="313"/>
      <c r="U3" s="313"/>
    </row>
    <row r="4" spans="1:21" s="165" customFormat="1" x14ac:dyDescent="0.35">
      <c r="A4" s="165" t="s">
        <v>40</v>
      </c>
      <c r="B4" s="165" t="str">
        <f>IF(LEN(A4)&gt;6,SUBSTITUTE(UPPER(A4)," ",""),SUBSTITUTE(UPPER(A4), " ", "0"))</f>
        <v>CELL02</v>
      </c>
      <c r="C4" s="313" t="s">
        <v>465</v>
      </c>
      <c r="D4" s="165" t="s">
        <v>471</v>
      </c>
      <c r="E4" s="314" t="s">
        <v>466</v>
      </c>
      <c r="F4" s="313" t="str">
        <f t="shared" si="2"/>
        <v>club='128','169','191','222','223','224','225','226','235','382','383','384','385','386','387','388','389','390','391','392','395':test_condition='freq_cell02_ot_main=1'</v>
      </c>
      <c r="G4" s="315" t="str">
        <f>IF(VLOOKUP(SUBSTITUTE($A4,"Ctrl","Cell"),Sheet1!$C:$G,5,FALSE)=0,"",_xlfn.CONCAT("'",SUBSTITUTE(SUBSTITUTE(VLOOKUP(SUBSTITUTE($A4,"Ctrl","Cell"),Sheet1!$C:$G,5,FALSE),", ",","), ",","','"),"'"))</f>
        <v>'128','169','191','222','223','224','225','226','235','382','383','384','385','386','387','388','389','390','391','392','395'</v>
      </c>
      <c r="H4" s="313"/>
      <c r="I4" s="313"/>
      <c r="J4" s="313" t="s">
        <v>467</v>
      </c>
      <c r="K4" s="315" t="s">
        <v>472</v>
      </c>
      <c r="L4" s="315" t="str">
        <f t="shared" si="3"/>
        <v>test_condition='freq_cell02_ot_main=1'</v>
      </c>
      <c r="M4" s="313"/>
      <c r="N4" s="313"/>
      <c r="O4" s="313"/>
      <c r="P4" s="313"/>
      <c r="Q4" s="313"/>
      <c r="R4" s="313"/>
      <c r="S4" s="313"/>
      <c r="T4" s="313"/>
      <c r="U4" s="313"/>
    </row>
    <row r="5" spans="1:21" s="165" customFormat="1" x14ac:dyDescent="0.35">
      <c r="A5" s="165" t="s">
        <v>63</v>
      </c>
      <c r="B5" s="165" t="str">
        <f t="shared" si="0"/>
        <v>CELL05</v>
      </c>
      <c r="C5" s="313" t="s">
        <v>473</v>
      </c>
      <c r="D5" s="165" t="str">
        <f t="shared" si="1"/>
        <v>CELL05_MI_LONG</v>
      </c>
      <c r="E5" s="314" t="s">
        <v>474</v>
      </c>
      <c r="F5" s="313" t="str">
        <f t="shared" si="2"/>
        <v>club='382','383','384','385':test_condition='freq_cell05_mi_long=1'</v>
      </c>
      <c r="G5" s="315" t="str">
        <f>IF(VLOOKUP(SUBSTITUTE($A5,"Ctrl","Cell"),Sheet1!$C:$G,5,FALSE)=0,"",_xlfn.CONCAT("'",SUBSTITUTE(SUBSTITUTE(VLOOKUP(SUBSTITUTE($A5,"Ctrl","Cell"),Sheet1!$C:$G,5,FALSE),", ",","), ",","','"),"'"))</f>
        <v/>
      </c>
      <c r="H5" s="315" t="str">
        <f>IF(VLOOKUP(SUBSTITUTE($A5,"Ctrl","Cell"),Sheet1!$C:$H,6,FALSE)=0,"",_xlfn.CONCAT("'",SUBSTITUTE(SUBSTITUTE(VLOOKUP(SUBSTITUTE($A5,"Ctrl","Cell"),Sheet1!$C:$H,6,FALSE),", ",","), ",","','"),"'"))</f>
        <v>'382','383','384','385'</v>
      </c>
      <c r="I5" s="313"/>
      <c r="J5" s="313" t="s">
        <v>467</v>
      </c>
      <c r="K5" s="315" t="s">
        <v>475</v>
      </c>
      <c r="L5" s="315" t="str">
        <f t="shared" si="3"/>
        <v>test_condition='freq_cell05_mi_long=1'</v>
      </c>
      <c r="M5" s="313"/>
      <c r="N5" s="313"/>
      <c r="O5" s="313"/>
      <c r="P5" s="313"/>
      <c r="Q5" s="313"/>
      <c r="R5" s="313"/>
      <c r="S5" s="313"/>
      <c r="T5" s="313"/>
      <c r="U5" s="313"/>
    </row>
    <row r="6" spans="1:21" s="165" customFormat="1" x14ac:dyDescent="0.35">
      <c r="A6" s="165" t="s">
        <v>476</v>
      </c>
      <c r="B6" s="165" t="str">
        <f t="shared" si="0"/>
        <v>CTRL05</v>
      </c>
      <c r="C6" s="313" t="s">
        <v>473</v>
      </c>
      <c r="D6" s="165" t="str">
        <f t="shared" si="1"/>
        <v>CTRL05_MI_LONG</v>
      </c>
      <c r="E6" s="314" t="s">
        <v>474</v>
      </c>
      <c r="F6" s="313" t="str">
        <f t="shared" si="2"/>
        <v>club='382','383','384','385':test_condition='freq_ctrl05_mi_long=1'</v>
      </c>
      <c r="G6" s="315" t="str">
        <f>IF(VLOOKUP(SUBSTITUTE($A6,"Ctrl","Cell"),Sheet1!$C:$G,5,FALSE)=0,"",_xlfn.CONCAT("'",SUBSTITUTE(SUBSTITUTE(VLOOKUP(SUBSTITUTE($A6,"Ctrl","Cell"),Sheet1!$C:$G,5,FALSE),", ",","), ",","','"),"'"))</f>
        <v/>
      </c>
      <c r="H6" s="315" t="str">
        <f>IF(VLOOKUP(SUBSTITUTE($A6,"Ctrl","Cell"),Sheet1!$C:$H,6,FALSE)=0,"",_xlfn.CONCAT("'",SUBSTITUTE(SUBSTITUTE(VLOOKUP(SUBSTITUTE($A6,"Ctrl","Cell"),Sheet1!$C:$H,6,FALSE),", ",","), ",","','"),"'"))</f>
        <v>'382','383','384','385'</v>
      </c>
      <c r="I6" s="313"/>
      <c r="J6" s="313" t="s">
        <v>467</v>
      </c>
      <c r="K6" s="315" t="s">
        <v>477</v>
      </c>
      <c r="L6" s="315" t="str">
        <f t="shared" si="3"/>
        <v>test_condition='freq_ctrl05_mi_long=1'</v>
      </c>
      <c r="M6" s="313"/>
      <c r="N6" s="313"/>
      <c r="O6" s="313"/>
      <c r="P6" s="313"/>
      <c r="Q6" s="313"/>
      <c r="R6" s="313"/>
      <c r="S6" s="313"/>
      <c r="T6" s="313"/>
      <c r="U6" s="313"/>
    </row>
    <row r="7" spans="1:21" s="165" customFormat="1" x14ac:dyDescent="0.35">
      <c r="A7" s="165" t="s">
        <v>70</v>
      </c>
      <c r="B7" s="165" t="str">
        <f t="shared" si="0"/>
        <v>CELL06</v>
      </c>
      <c r="C7" s="313" t="s">
        <v>473</v>
      </c>
      <c r="D7" s="165" t="str">
        <f t="shared" si="1"/>
        <v>CELL06_MI_LONG</v>
      </c>
      <c r="E7" s="314" t="s">
        <v>474</v>
      </c>
      <c r="F7" s="313" t="str">
        <f t="shared" si="2"/>
        <v>club='382','383','384','385':test_condition='freq_cell06_mi_long=1'</v>
      </c>
      <c r="G7" s="315" t="str">
        <f>IF(VLOOKUP(SUBSTITUTE($A7,"Ctrl","Cell"),Sheet1!$C:$G,5,FALSE)=0,"",_xlfn.CONCAT("'",SUBSTITUTE(SUBSTITUTE(VLOOKUP(SUBSTITUTE($A7,"Ctrl","Cell"),Sheet1!$C:$G,5,FALSE),", ",","), ",","','"),"'"))</f>
        <v/>
      </c>
      <c r="H7" s="315" t="str">
        <f>IF(VLOOKUP(SUBSTITUTE($A7,"Ctrl","Cell"),Sheet1!$C:$H,6,FALSE)=0,"",_xlfn.CONCAT("'",SUBSTITUTE(SUBSTITUTE(VLOOKUP(SUBSTITUTE($A7,"Ctrl","Cell"),Sheet1!$C:$H,6,FALSE),", ",","), ",","','"),"'"))</f>
        <v>'382','383','384','385'</v>
      </c>
      <c r="I7" s="313"/>
      <c r="J7" s="313" t="s">
        <v>467</v>
      </c>
      <c r="K7" s="315" t="s">
        <v>478</v>
      </c>
      <c r="L7" s="315" t="str">
        <f t="shared" si="3"/>
        <v>test_condition='freq_cell06_mi_long=1'</v>
      </c>
      <c r="M7" s="313"/>
      <c r="N7" s="313"/>
      <c r="O7" s="313"/>
      <c r="P7" s="313"/>
      <c r="Q7" s="313"/>
      <c r="R7" s="313"/>
      <c r="S7" s="313"/>
      <c r="T7" s="313"/>
      <c r="U7" s="313"/>
    </row>
    <row r="8" spans="1:21" s="165" customFormat="1" x14ac:dyDescent="0.35">
      <c r="A8" s="165" t="s">
        <v>47</v>
      </c>
      <c r="B8" s="165" t="str">
        <f t="shared" ref="B8:B58" si="4">IF(LEN(A8)&gt;6,SUBSTITUTE(UPPER(A8)," ",""),SUBSTITUTE(UPPER(A8), " ", "0"))</f>
        <v>CELL03</v>
      </c>
      <c r="C8" s="313" t="s">
        <v>479</v>
      </c>
      <c r="D8" s="165" t="str">
        <f t="shared" ref="D8:D14" si="5">B8&amp;"_"&amp;C8</f>
        <v>CELL03_UTEST</v>
      </c>
      <c r="E8" s="314" t="s">
        <v>480</v>
      </c>
      <c r="F8" s="313" t="str">
        <f t="shared" si="2"/>
        <v>club='128','169','191','222','223','224','225','226','235','382','383','384','385','386','387','388','389','390','391','392','395':utuc='ut_pros':mbrcode=null:force_in='1'</v>
      </c>
      <c r="G8" s="315" t="str">
        <f>IF(VLOOKUP(SUBSTITUTE($A8,"Ctrl","Cell"),Sheet1!$C:$G,5,FALSE)=0,"",_xlfn.CONCAT("'",SUBSTITUTE(SUBSTITUTE(VLOOKUP(SUBSTITUTE($A8,"Ctrl","Cell"),Sheet1!$C:$G,5,FALSE),", ",","), ",","','"),"'"))</f>
        <v>'128','169','191','222','223','224','225','226','235','382','383','384','385','386','387','388','389','390','391','392','395'</v>
      </c>
      <c r="H8" s="315"/>
      <c r="J8" s="313" t="s">
        <v>481</v>
      </c>
      <c r="K8" s="315" t="s">
        <v>482</v>
      </c>
      <c r="L8" s="315" t="str">
        <f>IF(J8&lt;&gt;"",IF(K8="null",CONCATENATE(J8,"=",K8),CONCATENATE(J8,"='",K8)),"")</f>
        <v>utuc='ut_pros'</v>
      </c>
      <c r="M8" s="313" t="s">
        <v>483</v>
      </c>
      <c r="N8" s="315" t="s">
        <v>484</v>
      </c>
      <c r="O8" s="315" t="str">
        <f>IF(M8&lt;&gt;"",IF(N8="null",CONCATENATE(M8,"=",N8),CONCATENATE(M8,"='",N8)),"")</f>
        <v>mbrcode=null</v>
      </c>
      <c r="P8" s="313" t="s">
        <v>485</v>
      </c>
      <c r="Q8" s="315" t="s">
        <v>486</v>
      </c>
      <c r="R8" s="315" t="str">
        <f t="shared" ref="R8:R11" si="6">IF(P8&lt;&gt;"",IF(Q8="null",CONCATENATE(P8,"=",Q8),CONCATENATE(P8,"='",Q8)),"")</f>
        <v>force_in='1'</v>
      </c>
      <c r="S8" s="313"/>
      <c r="U8" s="315" t="str">
        <f t="shared" ref="U8:U14" si="7">IF(S8&lt;&gt;"",IF(T8="null",CONCATENATE(S8,"=",T8),CONCATENATE(S8,"='",T8)),"")</f>
        <v/>
      </c>
    </row>
    <row r="9" spans="1:21" s="165" customFormat="1" x14ac:dyDescent="0.35">
      <c r="A9" s="165" t="s">
        <v>487</v>
      </c>
      <c r="B9" s="165" t="str">
        <f t="shared" si="4"/>
        <v>CTRL03</v>
      </c>
      <c r="C9" s="165" t="s">
        <v>488</v>
      </c>
      <c r="D9" s="165" t="str">
        <f t="shared" si="5"/>
        <v>CTRL03_UCTRL</v>
      </c>
      <c r="E9" s="314" t="s">
        <v>480</v>
      </c>
      <c r="F9" s="313" t="str">
        <f t="shared" ref="F9:F31" si="8">CONCATENATE(IF(G9&lt;&gt;"",_xlfn.CONCAT("club=",G9),""),IF(H9&lt;&gt;"",_xlfn.CONCAT("club=",H9),""),IF(J9&lt;&gt;"",IF(G9="" &amp; H9="",L9,CONCATENATE(":", L9)),""),IF(M9&lt;&gt;"",CONCATENATE(":",O9),""),IF(P9&lt;&gt;"",CONCATENATE(":",R9),""),IF(S9&lt;&gt;"",CONCATENATE(":",U9),""))</f>
        <v>club='128','169','191','222','223','224','225','226','235','382','383','384','385','386','387','388','389','390','391','392','395':utuc='uc_pros':mbrcode=null:force_in='1'</v>
      </c>
      <c r="G9" s="315" t="str">
        <f>IF(VLOOKUP(SUBSTITUTE($A9,"Ctrl","Cell"),Sheet1!$C:$G,5,FALSE)=0,"",_xlfn.CONCAT("'",SUBSTITUTE(SUBSTITUTE(VLOOKUP(SUBSTITUTE($A9,"Ctrl","Cell"),Sheet1!$C:$G,5,FALSE),", ",","), ",","','"),"'"))</f>
        <v>'128','169','191','222','223','224','225','226','235','382','383','384','385','386','387','388','389','390','391','392','395'</v>
      </c>
      <c r="H9" s="315"/>
      <c r="J9" s="313" t="s">
        <v>481</v>
      </c>
      <c r="K9" s="315" t="s">
        <v>489</v>
      </c>
      <c r="L9" s="315" t="str">
        <f t="shared" ref="L9:L11" si="9">IF(J9&lt;&gt;"",IF(K9="null",CONCATENATE(J9,"=",K9),CONCATENATE(J9,"='",K9)),"")</f>
        <v>utuc='uc_pros'</v>
      </c>
      <c r="M9" s="313" t="s">
        <v>483</v>
      </c>
      <c r="N9" s="315" t="s">
        <v>484</v>
      </c>
      <c r="O9" s="315" t="str">
        <f t="shared" ref="O9:O11" si="10">IF(M9&lt;&gt;"",IF(N9="null",CONCATENATE(M9,"=",N9),CONCATENATE(M9,"='",N9)),"")</f>
        <v>mbrcode=null</v>
      </c>
      <c r="P9" s="313" t="s">
        <v>485</v>
      </c>
      <c r="Q9" s="315" t="s">
        <v>486</v>
      </c>
      <c r="R9" s="315" t="str">
        <f t="shared" si="6"/>
        <v>force_in='1'</v>
      </c>
      <c r="S9" s="313"/>
      <c r="U9" s="315" t="str">
        <f t="shared" si="7"/>
        <v/>
      </c>
    </row>
    <row r="10" spans="1:21" s="165" customFormat="1" x14ac:dyDescent="0.35">
      <c r="A10" s="165" t="s">
        <v>47</v>
      </c>
      <c r="B10" s="165" t="str">
        <f t="shared" si="4"/>
        <v>CELL03</v>
      </c>
      <c r="C10" s="165" t="s">
        <v>490</v>
      </c>
      <c r="D10" s="165" t="str">
        <f t="shared" si="5"/>
        <v>CELL03_UTPP</v>
      </c>
      <c r="E10" s="314" t="s">
        <v>480</v>
      </c>
      <c r="F10" s="313" t="str">
        <f t="shared" si="8"/>
        <v>club='128','169','191','222','223','224','225','226','235','382','383','384','385','386','387','388','389','390','391','392','395':utuc='ut_pp':mbrcode='PP','PT':force_in='1'</v>
      </c>
      <c r="G10" s="315" t="str">
        <f>IF(VLOOKUP(SUBSTITUTE($A10,"Ctrl","Cell"),Sheet1!$C:$G,5,FALSE)=0,"",_xlfn.CONCAT("'",SUBSTITUTE(SUBSTITUTE(VLOOKUP(SUBSTITUTE($A10,"Ctrl","Cell"),Sheet1!$C:$G,5,FALSE),", ",","), ",","','"),"'"))</f>
        <v>'128','169','191','222','223','224','225','226','235','382','383','384','385','386','387','388','389','390','391','392','395'</v>
      </c>
      <c r="H10" s="315"/>
      <c r="J10" s="313" t="s">
        <v>481</v>
      </c>
      <c r="K10" s="315" t="s">
        <v>491</v>
      </c>
      <c r="L10" s="315" t="str">
        <f t="shared" si="9"/>
        <v>utuc='ut_pp'</v>
      </c>
      <c r="M10" s="313" t="s">
        <v>483</v>
      </c>
      <c r="N10" s="315" t="s">
        <v>492</v>
      </c>
      <c r="O10" s="315" t="str">
        <f t="shared" si="10"/>
        <v>mbrcode='PP','PT'</v>
      </c>
      <c r="P10" s="313" t="s">
        <v>485</v>
      </c>
      <c r="Q10" s="315" t="s">
        <v>486</v>
      </c>
      <c r="R10" s="315" t="str">
        <f t="shared" si="6"/>
        <v>force_in='1'</v>
      </c>
      <c r="U10" s="315" t="str">
        <f t="shared" si="7"/>
        <v/>
      </c>
    </row>
    <row r="11" spans="1:21" s="165" customFormat="1" x14ac:dyDescent="0.35">
      <c r="A11" s="165" t="s">
        <v>487</v>
      </c>
      <c r="B11" s="165" t="str">
        <f t="shared" si="4"/>
        <v>CTRL03</v>
      </c>
      <c r="C11" s="165" t="s">
        <v>493</v>
      </c>
      <c r="D11" s="165" t="str">
        <f t="shared" si="5"/>
        <v>CTRL03_UCPP</v>
      </c>
      <c r="E11" s="314" t="s">
        <v>480</v>
      </c>
      <c r="F11" s="313" t="str">
        <f t="shared" si="8"/>
        <v>club='128','169','191','222','223','224','225','226','235','382','383','384','385','386','387','388','389','390','391','392','395':utuc='uc_pp':mbrcode='PP','PT':force_in='1'</v>
      </c>
      <c r="G11" s="315" t="str">
        <f>IF(VLOOKUP(SUBSTITUTE($A11,"Ctrl","Cell"),Sheet1!$C:$G,5,FALSE)=0,"",_xlfn.CONCAT("'",SUBSTITUTE(SUBSTITUTE(VLOOKUP(SUBSTITUTE($A11,"Ctrl","Cell"),Sheet1!$C:$G,5,FALSE),", ",","), ",","','"),"'"))</f>
        <v>'128','169','191','222','223','224','225','226','235','382','383','384','385','386','387','388','389','390','391','392','395'</v>
      </c>
      <c r="H11" s="315"/>
      <c r="J11" s="313" t="s">
        <v>481</v>
      </c>
      <c r="K11" s="315" t="s">
        <v>494</v>
      </c>
      <c r="L11" s="315" t="str">
        <f t="shared" si="9"/>
        <v>utuc='uc_pp'</v>
      </c>
      <c r="M11" s="313" t="s">
        <v>483</v>
      </c>
      <c r="N11" s="315" t="s">
        <v>492</v>
      </c>
      <c r="O11" s="315" t="str">
        <f t="shared" si="10"/>
        <v>mbrcode='PP','PT'</v>
      </c>
      <c r="P11" s="313" t="s">
        <v>485</v>
      </c>
      <c r="Q11" s="315" t="s">
        <v>486</v>
      </c>
      <c r="R11" s="315" t="str">
        <f t="shared" si="6"/>
        <v>force_in='1'</v>
      </c>
      <c r="U11" s="315" t="str">
        <f t="shared" si="7"/>
        <v/>
      </c>
    </row>
    <row r="12" spans="1:21" s="165" customFormat="1" x14ac:dyDescent="0.35">
      <c r="A12" s="165" t="s">
        <v>47</v>
      </c>
      <c r="B12" s="165" t="str">
        <f t="shared" si="4"/>
        <v>CELL03</v>
      </c>
      <c r="C12" s="165" t="s">
        <v>495</v>
      </c>
      <c r="D12" s="165" t="str">
        <f t="shared" si="5"/>
        <v>CELL03_LP_VC_CR_SUP</v>
      </c>
      <c r="E12" s="314" t="s">
        <v>466</v>
      </c>
      <c r="F12" s="313" t="str">
        <f t="shared" si="8"/>
        <v>club='128','169','191','222','223','224','225','226','235','382','383','384','385','386','387','388','389','390','391','392','395':test_condition='(mbr_stts_cd in ("VC","CR") or addr_type_flg in ("J","S") ) and past_mbr_cd in ("LP","LT")'</v>
      </c>
      <c r="G12" s="315" t="str">
        <f>IF(VLOOKUP(SUBSTITUTE($A12,"Ctrl","Cell"),Sheet1!$C:$G,5,FALSE)=0,"",_xlfn.CONCAT("'",SUBSTITUTE(SUBSTITUTE(VLOOKUP(SUBSTITUTE($A12,"Ctrl","Cell"),Sheet1!$C:$G,5,FALSE),", ",","), ",","','"),"'"))</f>
        <v>'128','169','191','222','223','224','225','226','235','382','383','384','385','386','387','388','389','390','391','392','395'</v>
      </c>
      <c r="H12" s="315"/>
      <c r="J12" s="313" t="s">
        <v>467</v>
      </c>
      <c r="K12" s="315" t="s">
        <v>496</v>
      </c>
      <c r="L12" s="315" t="str">
        <f>IF(J12&lt;&gt;"",IF(K12="null",CONCATENATE(J12,"=",K12),CONCATENATE(J12,"='",K12)),"")</f>
        <v>test_condition='(mbr_stts_cd in ("VC","CR") or addr_type_flg in ("J","S") ) and past_mbr_cd in ("LP","LT")'</v>
      </c>
      <c r="M12" s="313"/>
      <c r="N12" s="315"/>
      <c r="O12" s="315"/>
      <c r="P12" s="313"/>
      <c r="Q12" s="315"/>
      <c r="R12" s="315"/>
      <c r="U12" s="315" t="str">
        <f t="shared" si="7"/>
        <v/>
      </c>
    </row>
    <row r="13" spans="1:21" s="165" customFormat="1" x14ac:dyDescent="0.35">
      <c r="A13" s="165" t="s">
        <v>111</v>
      </c>
      <c r="B13" s="165" t="str">
        <f t="shared" si="4"/>
        <v>CELL12</v>
      </c>
      <c r="C13" s="165" t="s">
        <v>497</v>
      </c>
      <c r="D13" s="165" t="str">
        <f t="shared" si="5"/>
        <v>CELL12_UTLP</v>
      </c>
      <c r="E13" s="314" t="s">
        <v>480</v>
      </c>
      <c r="F13" s="313" t="str">
        <f t="shared" si="8"/>
        <v>club='128','169','191','223','224','225','382','383','384','385','387','389','392','388':utuc='ut_pp':mbrcode='LP','LT':force_in='1'</v>
      </c>
      <c r="G13" s="315" t="str">
        <f>IF(VLOOKUP(SUBSTITUTE($A13,"Ctrl","Cell"),Sheet1!$C:$G,5,FALSE)=0,"",_xlfn.CONCAT("'",SUBSTITUTE(SUBSTITUTE(VLOOKUP(SUBSTITUTE($A13,"Ctrl","Cell"),Sheet1!$C:$G,5,FALSE),", ",","), ",","','"),"'"))</f>
        <v>'128','169','191','223','224','225','382','383','384','385','387','389','392','388'</v>
      </c>
      <c r="H13" s="315"/>
      <c r="J13" s="313" t="s">
        <v>481</v>
      </c>
      <c r="K13" s="315" t="s">
        <v>491</v>
      </c>
      <c r="L13" s="315" t="str">
        <f t="shared" ref="L13:L14" si="11">IF(J13&lt;&gt;"",IF(K13="null",CONCATENATE(J13,"=",K13),CONCATENATE(J13,"='",K13)),"")</f>
        <v>utuc='ut_pp'</v>
      </c>
      <c r="M13" s="313" t="s">
        <v>483</v>
      </c>
      <c r="N13" s="315" t="s">
        <v>498</v>
      </c>
      <c r="O13" s="315" t="str">
        <f t="shared" ref="O13:O14" si="12">IF(M13&lt;&gt;"",IF(N13="null",CONCATENATE(M13,"=",N13),CONCATENATE(M13,"='",N13)),"")</f>
        <v>mbrcode='LP','LT'</v>
      </c>
      <c r="P13" s="313" t="s">
        <v>485</v>
      </c>
      <c r="Q13" s="315" t="s">
        <v>486</v>
      </c>
      <c r="R13" s="315" t="str">
        <f t="shared" ref="R13:R14" si="13">IF(P13&lt;&gt;"",IF(Q13="null",CONCATENATE(P13,"=",Q13),CONCATENATE(P13,"='",Q13)),"")</f>
        <v>force_in='1'</v>
      </c>
      <c r="U13" s="315" t="str">
        <f t="shared" si="7"/>
        <v/>
      </c>
    </row>
    <row r="14" spans="1:21" s="165" customFormat="1" x14ac:dyDescent="0.35">
      <c r="A14" s="165" t="s">
        <v>111</v>
      </c>
      <c r="B14" s="165" t="str">
        <f>IF(LEN(A14)&gt;6,SUBSTITUTE(UPPER(A14)," ",""),SUBSTITUTE(UPPER(A14), " ", "0"))</f>
        <v>CELL12</v>
      </c>
      <c r="C14" s="165" t="s">
        <v>499</v>
      </c>
      <c r="D14" s="165" t="str">
        <f t="shared" si="5"/>
        <v>CELL12_UCLP</v>
      </c>
      <c r="E14" s="314" t="s">
        <v>480</v>
      </c>
      <c r="F14" s="313" t="str">
        <f t="shared" si="8"/>
        <v>club='128','169','191','223','224','225','382','383','384','385','387','389','392','388':utuc='uc_pp':mbrcode='LP','LT':force_in='1'</v>
      </c>
      <c r="G14" s="315" t="str">
        <f>IF(VLOOKUP(SUBSTITUTE($A14,"Ctrl","Cell"),Sheet1!$C:$G,5,FALSE)=0,"",_xlfn.CONCAT("'",SUBSTITUTE(SUBSTITUTE(VLOOKUP(SUBSTITUTE($A14,"Ctrl","Cell"),Sheet1!$C:$G,5,FALSE),", ",","), ",","','"),"'"))</f>
        <v>'128','169','191','223','224','225','382','383','384','385','387','389','392','388'</v>
      </c>
      <c r="H14" s="315"/>
      <c r="J14" s="313" t="s">
        <v>481</v>
      </c>
      <c r="K14" s="315" t="s">
        <v>494</v>
      </c>
      <c r="L14" s="315" t="str">
        <f t="shared" si="11"/>
        <v>utuc='uc_pp'</v>
      </c>
      <c r="M14" s="313" t="s">
        <v>483</v>
      </c>
      <c r="N14" s="315" t="s">
        <v>498</v>
      </c>
      <c r="O14" s="315" t="str">
        <f t="shared" si="12"/>
        <v>mbrcode='LP','LT'</v>
      </c>
      <c r="P14" s="313" t="s">
        <v>485</v>
      </c>
      <c r="Q14" s="315" t="s">
        <v>486</v>
      </c>
      <c r="R14" s="315" t="str">
        <f t="shared" si="13"/>
        <v>force_in='1'</v>
      </c>
      <c r="U14" s="315" t="str">
        <f t="shared" si="7"/>
        <v/>
      </c>
    </row>
    <row r="15" spans="1:21" s="165" customFormat="1" x14ac:dyDescent="0.35">
      <c r="A15" s="165" t="s">
        <v>487</v>
      </c>
      <c r="B15" s="165" t="str">
        <f t="shared" si="4"/>
        <v>CTRL03</v>
      </c>
      <c r="C15" s="165" t="s">
        <v>500</v>
      </c>
      <c r="D15" s="165" t="str">
        <f>_xlfn.CONCAT(B15,"_",C15)</f>
        <v>CTRL03_OP_P</v>
      </c>
      <c r="E15" s="314" t="s">
        <v>501</v>
      </c>
      <c r="F15" s="313" t="str">
        <f t="shared" si="8"/>
        <v>club='128','169','191','222','223','224','225','226','235','382','383','384','385','386','387','388','389','390','391','392','395':wave_condition='wave_p=1 and wave_op=1':mbrcode='PP','PT'</v>
      </c>
      <c r="G15" s="315" t="str">
        <f>IF(VLOOKUP(SUBSTITUTE($A15,"Ctrl","Cell"),Sheet1!$C:$G,5,FALSE)=0,"",_xlfn.CONCAT("'",SUBSTITUTE(SUBSTITUTE(VLOOKUP(SUBSTITUTE($A15,"Ctrl","Cell"),Sheet1!$C:$G,5,FALSE),", ",","), ",","','"),"'"))</f>
        <v>'128','169','191','222','223','224','225','226','235','382','383','384','385','386','387','388','389','390','391','392','395'</v>
      </c>
      <c r="H15" s="315"/>
      <c r="J15" s="313" t="s">
        <v>502</v>
      </c>
      <c r="K15" s="315" t="s">
        <v>503</v>
      </c>
      <c r="L15" s="315" t="str">
        <f>IF(J15&lt;&gt;"",IF(K15="null",CONCATENATE(J15,"=",K15),CONCATENATE(J15,"='",K15)),"")</f>
        <v>wave_condition='wave_p=1 and wave_op=1'</v>
      </c>
      <c r="M15" s="313" t="s">
        <v>483</v>
      </c>
      <c r="N15" s="315" t="s">
        <v>492</v>
      </c>
      <c r="O15" s="315" t="str">
        <f>IF(M15&lt;&gt;"",IF(N15="null",CONCATENATE(M15,"=",N15),CONCATENATE(M15,"='",N15)),"")</f>
        <v>mbrcode='PP','PT'</v>
      </c>
      <c r="P15" s="313"/>
      <c r="Q15" s="315"/>
      <c r="R15" s="315" t="str">
        <f>IF(P15&lt;&gt;"",IF(Q15="null",CONCATENATE(P15,"=",Q15),CONCATENATE(P15,"='",Q15)),"")</f>
        <v/>
      </c>
      <c r="U15" s="315" t="str">
        <f>IF(S15&lt;&gt;"",IF(T15="null",CONCATENATE(S15,"=",T15),CONCATENATE(S15,"='",T15)),"")</f>
        <v/>
      </c>
    </row>
    <row r="16" spans="1:21" s="165" customFormat="1" x14ac:dyDescent="0.35">
      <c r="A16" s="165" t="s">
        <v>47</v>
      </c>
      <c r="B16" s="165" t="str">
        <f t="shared" si="4"/>
        <v>CELL03</v>
      </c>
      <c r="C16" s="165" t="s">
        <v>500</v>
      </c>
      <c r="D16" s="165" t="str">
        <f t="shared" ref="D16:D20" si="14">_xlfn.CONCAT(B16,"_",C16)</f>
        <v>CELL03_OP_P</v>
      </c>
      <c r="E16" s="314" t="s">
        <v>501</v>
      </c>
      <c r="F16" s="313" t="str">
        <f t="shared" si="8"/>
        <v>club='128','169','191','222','223','224','225','226','235','382','383','384','385','386','387','388','389','390','391','392','395':wave_condition='wave_p=1 and wave_op=1':mbrcode='PP','PT'</v>
      </c>
      <c r="G16" s="315" t="str">
        <f>IF(VLOOKUP(SUBSTITUTE($A16,"Ctrl","Cell"),Sheet1!$C:$G,5,FALSE)=0,"",_xlfn.CONCAT("'",SUBSTITUTE(SUBSTITUTE(VLOOKUP(SUBSTITUTE($A16,"Ctrl","Cell"),Sheet1!$C:$G,5,FALSE),", ",","), ",","','"),"'"))</f>
        <v>'128','169','191','222','223','224','225','226','235','382','383','384','385','386','387','388','389','390','391','392','395'</v>
      </c>
      <c r="H16" s="315"/>
      <c r="J16" s="313" t="s">
        <v>502</v>
      </c>
      <c r="K16" s="315" t="s">
        <v>503</v>
      </c>
      <c r="L16" s="315" t="str">
        <f t="shared" ref="L16:L25" si="15">IF(J16&lt;&gt;"",IF(K16="null",CONCATENATE(J16,"=",K16),CONCATENATE(J16,"='",K16)),"")</f>
        <v>wave_condition='wave_p=1 and wave_op=1'</v>
      </c>
      <c r="M16" s="313" t="s">
        <v>483</v>
      </c>
      <c r="N16" s="315" t="s">
        <v>492</v>
      </c>
      <c r="O16" s="315" t="str">
        <f t="shared" ref="O16:O25" si="16">IF(M16&lt;&gt;"",IF(N16="null",CONCATENATE(M16,"=",N16),CONCATENATE(M16,"='",N16)),"")</f>
        <v>mbrcode='PP','PT'</v>
      </c>
      <c r="R16" s="315" t="str">
        <f t="shared" ref="R16" si="17">IF(P16&lt;&gt;"",IF(Q16="null",CONCATENATE(P16,"=",Q16),CONCATENATE(P16,"='",Q16)),"")</f>
        <v/>
      </c>
      <c r="U16" s="315" t="str">
        <f t="shared" ref="U16:U25" si="18">IF(S16&lt;&gt;"",IF(T16="null",CONCATENATE(S16,"=",T16),CONCATENATE(S16,"='",T16)),"")</f>
        <v/>
      </c>
    </row>
    <row r="17" spans="1:21" s="165" customFormat="1" x14ac:dyDescent="0.35">
      <c r="A17" s="165" t="s">
        <v>487</v>
      </c>
      <c r="B17" s="165" t="str">
        <f t="shared" si="4"/>
        <v>CTRL03</v>
      </c>
      <c r="C17" s="165" t="s">
        <v>500</v>
      </c>
      <c r="D17" s="165" t="str">
        <f>_xlfn.CONCAT(B17,"_",C17)</f>
        <v>CTRL03_OP_P</v>
      </c>
      <c r="E17" s="314" t="s">
        <v>504</v>
      </c>
      <c r="F17" s="313" t="str">
        <f t="shared" si="8"/>
        <v>club='128','169','191','222','223','224','225','226','235','382','383','384','385','386','387','388','389','390','391','392','395':wave_condition='wave_p=1 and wave_op=1':mbrcode='PP','PT':bjs_cell='CTRL03_OP_P'</v>
      </c>
      <c r="G17" s="315" t="str">
        <f>IF(VLOOKUP(SUBSTITUTE($A17,"Ctrl","Cell"),Sheet1!$C:$G,5,FALSE)=0,"",_xlfn.CONCAT("'",SUBSTITUTE(SUBSTITUTE(VLOOKUP(SUBSTITUTE($A17,"Ctrl","Cell"),Sheet1!$C:$G,5,FALSE),", ",","), ",","','"),"'"))</f>
        <v>'128','169','191','222','223','224','225','226','235','382','383','384','385','386','387','388','389','390','391','392','395'</v>
      </c>
      <c r="H17" s="315"/>
      <c r="J17" s="313" t="s">
        <v>502</v>
      </c>
      <c r="K17" s="315" t="s">
        <v>503</v>
      </c>
      <c r="L17" s="315" t="str">
        <f>IF(J17&lt;&gt;"",IF(K17="null",CONCATENATE(J17,"=",K17),CONCATENATE(J17,"='",K17)),"")</f>
        <v>wave_condition='wave_p=1 and wave_op=1'</v>
      </c>
      <c r="M17" s="313" t="s">
        <v>483</v>
      </c>
      <c r="N17" s="315" t="s">
        <v>492</v>
      </c>
      <c r="O17" s="315" t="str">
        <f>IF(M17&lt;&gt;"",IF(N17="null",CONCATENATE(M17,"=",N17),CONCATENATE(M17,"='",N17)),"")</f>
        <v>mbrcode='PP','PT'</v>
      </c>
      <c r="P17" s="313" t="s">
        <v>505</v>
      </c>
      <c r="Q17" s="315" t="s">
        <v>506</v>
      </c>
      <c r="R17" s="315" t="str">
        <f t="shared" ref="R17:R24" si="19">IF(P17&lt;&gt;"",IF(Q17="null",CONCATENATE(P17,"=",Q17),CONCATENATE(P17,"='",Q17)),"")</f>
        <v>bjs_cell='CTRL03_OP_P'</v>
      </c>
      <c r="U17" s="315" t="str">
        <f>IF(S17&lt;&gt;"",IF(T17="null",CONCATENATE(S17,"=",T17),CONCATENATE(S17,"='",T17)),"")</f>
        <v/>
      </c>
    </row>
    <row r="18" spans="1:21" s="165" customFormat="1" x14ac:dyDescent="0.35">
      <c r="A18" s="165" t="s">
        <v>47</v>
      </c>
      <c r="B18" s="165" t="str">
        <f t="shared" si="4"/>
        <v>CELL03</v>
      </c>
      <c r="C18" s="165" t="s">
        <v>500</v>
      </c>
      <c r="D18" s="165" t="str">
        <f t="shared" si="14"/>
        <v>CELL03_OP_P</v>
      </c>
      <c r="E18" s="314" t="s">
        <v>504</v>
      </c>
      <c r="F18" s="313" t="str">
        <f t="shared" si="8"/>
        <v>club='128','169','191','222','223','224','225','226','235','382','383','384','385','386','387','388','389','390','391','392','395':wave_condition='wave_p=1 and wave_op=1':mbrcode='PP','PT':bjs_cell='CELL03_OP_P'</v>
      </c>
      <c r="G18" s="315" t="str">
        <f>IF(VLOOKUP(SUBSTITUTE($A18,"Ctrl","Cell"),Sheet1!$C:$G,5,FALSE)=0,"",_xlfn.CONCAT("'",SUBSTITUTE(SUBSTITUTE(VLOOKUP(SUBSTITUTE($A18,"Ctrl","Cell"),Sheet1!$C:$G,5,FALSE),", ",","), ",","','"),"'"))</f>
        <v>'128','169','191','222','223','224','225','226','235','382','383','384','385','386','387','388','389','390','391','392','395'</v>
      </c>
      <c r="H18" s="315"/>
      <c r="J18" s="313" t="s">
        <v>502</v>
      </c>
      <c r="K18" s="315" t="s">
        <v>503</v>
      </c>
      <c r="L18" s="315" t="str">
        <f t="shared" si="15"/>
        <v>wave_condition='wave_p=1 and wave_op=1'</v>
      </c>
      <c r="M18" s="313" t="s">
        <v>483</v>
      </c>
      <c r="N18" s="315" t="s">
        <v>492</v>
      </c>
      <c r="O18" s="315" t="str">
        <f t="shared" si="16"/>
        <v>mbrcode='PP','PT'</v>
      </c>
      <c r="P18" s="313" t="s">
        <v>505</v>
      </c>
      <c r="Q18" s="315" t="s">
        <v>507</v>
      </c>
      <c r="R18" s="315" t="str">
        <f t="shared" si="19"/>
        <v>bjs_cell='CELL03_OP_P'</v>
      </c>
      <c r="U18" s="315" t="str">
        <f t="shared" si="18"/>
        <v/>
      </c>
    </row>
    <row r="19" spans="1:21" s="165" customFormat="1" x14ac:dyDescent="0.35">
      <c r="A19" s="165" t="s">
        <v>47</v>
      </c>
      <c r="B19" s="165" t="str">
        <f t="shared" si="4"/>
        <v>CELL03</v>
      </c>
      <c r="C19" s="165" t="s">
        <v>508</v>
      </c>
      <c r="D19" s="165" t="str">
        <f t="shared" si="14"/>
        <v>CELL03_ON_N</v>
      </c>
      <c r="E19" s="314" t="s">
        <v>501</v>
      </c>
      <c r="F19" s="313" t="str">
        <f t="shared" si="8"/>
        <v>club='128','169','191','222','223','224','225','226','235','382','383','384','385','386','387','388','389','390','391','392','395':wave_condition='wave_on=1 and wave_n=1':mbrcode='PP','PT'</v>
      </c>
      <c r="G19" s="315" t="str">
        <f>IF(VLOOKUP(SUBSTITUTE($A19,"Ctrl","Cell"),Sheet1!$C:$G,5,FALSE)=0,"",_xlfn.CONCAT("'",SUBSTITUTE(SUBSTITUTE(VLOOKUP(SUBSTITUTE($A19,"Ctrl","Cell"),Sheet1!$C:$G,5,FALSE),", ",","), ",","','"),"'"))</f>
        <v>'128','169','191','222','223','224','225','226','235','382','383','384','385','386','387','388','389','390','391','392','395'</v>
      </c>
      <c r="H19" s="315"/>
      <c r="J19" s="313" t="s">
        <v>502</v>
      </c>
      <c r="K19" s="315" t="s">
        <v>509</v>
      </c>
      <c r="L19" s="315" t="str">
        <f t="shared" si="15"/>
        <v>wave_condition='wave_on=1 and wave_n=1'</v>
      </c>
      <c r="M19" s="313" t="s">
        <v>483</v>
      </c>
      <c r="N19" s="315" t="s">
        <v>492</v>
      </c>
      <c r="O19" s="315" t="str">
        <f t="shared" si="16"/>
        <v>mbrcode='PP','PT'</v>
      </c>
      <c r="P19" s="313"/>
      <c r="Q19" s="315"/>
      <c r="R19" s="315" t="str">
        <f t="shared" si="19"/>
        <v/>
      </c>
      <c r="U19" s="315" t="str">
        <f t="shared" si="18"/>
        <v/>
      </c>
    </row>
    <row r="20" spans="1:21" s="165" customFormat="1" x14ac:dyDescent="0.35">
      <c r="A20" s="165" t="s">
        <v>47</v>
      </c>
      <c r="B20" s="165" t="str">
        <f t="shared" si="4"/>
        <v>CELL03</v>
      </c>
      <c r="C20" s="165" t="s">
        <v>508</v>
      </c>
      <c r="D20" s="165" t="str">
        <f t="shared" si="14"/>
        <v>CELL03_ON_N</v>
      </c>
      <c r="E20" s="314" t="s">
        <v>504</v>
      </c>
      <c r="F20" s="313" t="str">
        <f t="shared" si="8"/>
        <v>club='128','169','191','222','223','224','225','226','235','382','383','384','385','386','387','388','389','390','391','392','395':wave_condition='wave_on=1 and wave_n=1':mbrcode='PP','PT':bjs_cell='CELL03_ON_N'</v>
      </c>
      <c r="G20" s="315" t="str">
        <f>IF(VLOOKUP(SUBSTITUTE($A20,"Ctrl","Cell"),Sheet1!$C:$G,5,FALSE)=0,"",_xlfn.CONCAT("'",SUBSTITUTE(SUBSTITUTE(VLOOKUP(SUBSTITUTE($A20,"Ctrl","Cell"),Sheet1!$C:$G,5,FALSE),", ",","), ",","','"),"'"))</f>
        <v>'128','169','191','222','223','224','225','226','235','382','383','384','385','386','387','388','389','390','391','392','395'</v>
      </c>
      <c r="H20" s="315"/>
      <c r="J20" s="313" t="s">
        <v>502</v>
      </c>
      <c r="K20" s="315" t="s">
        <v>509</v>
      </c>
      <c r="L20" s="315" t="str">
        <f t="shared" si="15"/>
        <v>wave_condition='wave_on=1 and wave_n=1'</v>
      </c>
      <c r="M20" s="313" t="s">
        <v>483</v>
      </c>
      <c r="N20" s="315" t="s">
        <v>492</v>
      </c>
      <c r="O20" s="315" t="str">
        <f t="shared" si="16"/>
        <v>mbrcode='PP','PT'</v>
      </c>
      <c r="P20" s="313" t="s">
        <v>505</v>
      </c>
      <c r="Q20" s="315" t="s">
        <v>510</v>
      </c>
      <c r="R20" s="315" t="str">
        <f t="shared" si="19"/>
        <v>bjs_cell='CELL03_ON_N'</v>
      </c>
      <c r="U20" s="315" t="str">
        <f t="shared" si="18"/>
        <v/>
      </c>
    </row>
    <row r="21" spans="1:21" s="165" customFormat="1" x14ac:dyDescent="0.35">
      <c r="A21" s="165" t="s">
        <v>111</v>
      </c>
      <c r="B21" s="165" t="str">
        <f t="shared" si="4"/>
        <v>CELL12</v>
      </c>
      <c r="C21" s="165" t="s">
        <v>508</v>
      </c>
      <c r="D21" s="165" t="str">
        <f>_xlfn.CONCAT(B21,"_",C21)</f>
        <v>CELL12_ON_N</v>
      </c>
      <c r="E21" s="314" t="s">
        <v>501</v>
      </c>
      <c r="F21" s="313" t="str">
        <f t="shared" si="8"/>
        <v>club='128','169','191','223','224','225','382','383','384','385','387','389','392','388':wave_condition='wave_on=1 and wave_n=1':mbrcode='LP','LT'</v>
      </c>
      <c r="G21" s="315" t="str">
        <f>IF(VLOOKUP(SUBSTITUTE($A21,"Ctrl","Cell"),Sheet1!$C:$G,5,FALSE)=0,"",_xlfn.CONCAT("'",SUBSTITUTE(SUBSTITUTE(VLOOKUP(SUBSTITUTE($A21,"Ctrl","Cell"),Sheet1!$C:$G,5,FALSE),", ",","), ",","','"),"'"))</f>
        <v>'128','169','191','223','224','225','382','383','384','385','387','389','392','388'</v>
      </c>
      <c r="J21" s="313" t="s">
        <v>502</v>
      </c>
      <c r="K21" s="315" t="s">
        <v>509</v>
      </c>
      <c r="L21" s="315" t="str">
        <f t="shared" si="15"/>
        <v>wave_condition='wave_on=1 and wave_n=1'</v>
      </c>
      <c r="M21" s="313" t="s">
        <v>483</v>
      </c>
      <c r="N21" s="315" t="s">
        <v>498</v>
      </c>
      <c r="O21" s="315" t="str">
        <f t="shared" si="16"/>
        <v>mbrcode='LP','LT'</v>
      </c>
      <c r="P21" s="313"/>
      <c r="Q21" s="315"/>
      <c r="R21" s="315" t="str">
        <f t="shared" si="19"/>
        <v/>
      </c>
      <c r="U21" s="315" t="str">
        <f t="shared" si="18"/>
        <v/>
      </c>
    </row>
    <row r="22" spans="1:21" s="165" customFormat="1" x14ac:dyDescent="0.35">
      <c r="A22" s="165" t="s">
        <v>111</v>
      </c>
      <c r="B22" s="165" t="str">
        <f t="shared" si="4"/>
        <v>CELL12</v>
      </c>
      <c r="C22" s="165" t="s">
        <v>508</v>
      </c>
      <c r="D22" s="165" t="str">
        <f t="shared" ref="D22:D25" si="20">_xlfn.CONCAT(B22,"_",C22)</f>
        <v>CELL12_ON_N</v>
      </c>
      <c r="E22" s="314" t="s">
        <v>504</v>
      </c>
      <c r="F22" s="313" t="str">
        <f t="shared" si="8"/>
        <v>club='128','169','191','223','224','225','382','383','384','385','387','389','392','388':wave_condition='wave_on=1 and wave_n=1':mbrcode='LP','LT':bjs_cell='CELL12_ON_N'</v>
      </c>
      <c r="G22" s="315" t="str">
        <f>IF(VLOOKUP(SUBSTITUTE($A22,"Ctrl","Cell"),Sheet1!$C:$G,5,FALSE)=0,"",_xlfn.CONCAT("'",SUBSTITUTE(SUBSTITUTE(VLOOKUP(SUBSTITUTE($A22,"Ctrl","Cell"),Sheet1!$C:$G,5,FALSE),", ",","), ",","','"),"'"))</f>
        <v>'128','169','191','223','224','225','382','383','384','385','387','389','392','388'</v>
      </c>
      <c r="J22" s="313" t="s">
        <v>502</v>
      </c>
      <c r="K22" s="315" t="s">
        <v>509</v>
      </c>
      <c r="L22" s="315" t="str">
        <f t="shared" si="15"/>
        <v>wave_condition='wave_on=1 and wave_n=1'</v>
      </c>
      <c r="M22" s="313" t="s">
        <v>483</v>
      </c>
      <c r="N22" s="315" t="s">
        <v>498</v>
      </c>
      <c r="O22" s="315" t="str">
        <f t="shared" si="16"/>
        <v>mbrcode='LP','LT'</v>
      </c>
      <c r="P22" s="313" t="s">
        <v>505</v>
      </c>
      <c r="Q22" s="315" t="s">
        <v>511</v>
      </c>
      <c r="R22" s="313" t="str">
        <f>IF(P22&lt;&gt;"",IF(Q22="null",CONCATENATE(P22,"=",Q22),CONCATENATE(P22,"='",Q22)),"")</f>
        <v>bjs_cell='CELL12_ON_N'</v>
      </c>
      <c r="U22" s="315" t="str">
        <f t="shared" si="18"/>
        <v/>
      </c>
    </row>
    <row r="23" spans="1:21" s="165" customFormat="1" x14ac:dyDescent="0.35">
      <c r="A23" s="165" t="s">
        <v>111</v>
      </c>
      <c r="B23" s="165" t="str">
        <f t="shared" si="4"/>
        <v>CELL12</v>
      </c>
      <c r="C23" s="165" t="s">
        <v>500</v>
      </c>
      <c r="D23" s="165" t="str">
        <f t="shared" si="20"/>
        <v>CELL12_OP_P</v>
      </c>
      <c r="E23" s="314" t="s">
        <v>501</v>
      </c>
      <c r="F23" s="313" t="str">
        <f t="shared" si="8"/>
        <v>club='128','169','191','223','224','225','382','383','384','385','387','389','392','388':wave_condition='wave_op=1 and wave_p=1':mbrcode='LP','LT'</v>
      </c>
      <c r="G23" s="315" t="str">
        <f>IF(VLOOKUP(SUBSTITUTE($A23,"Ctrl","Cell"),Sheet1!$C:$G,5,FALSE)=0,"",_xlfn.CONCAT("'",SUBSTITUTE(SUBSTITUTE(VLOOKUP(SUBSTITUTE($A23,"Ctrl","Cell"),Sheet1!$C:$G,5,FALSE),", ",","), ",","','"),"'"))</f>
        <v>'128','169','191','223','224','225','382','383','384','385','387','389','392','388'</v>
      </c>
      <c r="J23" s="313" t="s">
        <v>502</v>
      </c>
      <c r="K23" s="315" t="s">
        <v>512</v>
      </c>
      <c r="L23" s="315" t="str">
        <f t="shared" si="15"/>
        <v>wave_condition='wave_op=1 and wave_p=1'</v>
      </c>
      <c r="M23" s="313" t="s">
        <v>483</v>
      </c>
      <c r="N23" s="315" t="s">
        <v>498</v>
      </c>
      <c r="O23" s="315" t="str">
        <f t="shared" si="16"/>
        <v>mbrcode='LP','LT'</v>
      </c>
      <c r="P23" s="313"/>
      <c r="Q23" s="315"/>
      <c r="R23" s="315" t="str">
        <f t="shared" si="19"/>
        <v/>
      </c>
      <c r="U23" s="315" t="str">
        <f t="shared" si="18"/>
        <v/>
      </c>
    </row>
    <row r="24" spans="1:21" s="165" customFormat="1" x14ac:dyDescent="0.35">
      <c r="A24" s="165" t="s">
        <v>111</v>
      </c>
      <c r="B24" s="165" t="str">
        <f t="shared" si="4"/>
        <v>CELL12</v>
      </c>
      <c r="C24" s="165" t="s">
        <v>500</v>
      </c>
      <c r="D24" s="165" t="str">
        <f t="shared" si="20"/>
        <v>CELL12_OP_P</v>
      </c>
      <c r="E24" s="314" t="s">
        <v>504</v>
      </c>
      <c r="F24" s="313" t="str">
        <f t="shared" si="8"/>
        <v>club='128','169','191','223','224','225','382','383','384','385','387','389','392','388':wave_condition='wave_op=1 and wave_p=1':mbrcode='LP','LT':bjs_cell='CELL12_OP_P'</v>
      </c>
      <c r="G24" s="315" t="str">
        <f>IF(VLOOKUP(SUBSTITUTE($A24,"Ctrl","Cell"),Sheet1!$C:$G,5,FALSE)=0,"",_xlfn.CONCAT("'",SUBSTITUTE(SUBSTITUTE(VLOOKUP(SUBSTITUTE($A24,"Ctrl","Cell"),Sheet1!$C:$G,5,FALSE),", ",","), ",","','"),"'"))</f>
        <v>'128','169','191','223','224','225','382','383','384','385','387','389','392','388'</v>
      </c>
      <c r="J24" s="313" t="s">
        <v>502</v>
      </c>
      <c r="K24" s="315" t="s">
        <v>512</v>
      </c>
      <c r="L24" s="315" t="str">
        <f t="shared" si="15"/>
        <v>wave_condition='wave_op=1 and wave_p=1'</v>
      </c>
      <c r="M24" s="313" t="s">
        <v>483</v>
      </c>
      <c r="N24" s="315" t="s">
        <v>498</v>
      </c>
      <c r="O24" s="315" t="str">
        <f t="shared" si="16"/>
        <v>mbrcode='LP','LT'</v>
      </c>
      <c r="P24" s="313" t="s">
        <v>505</v>
      </c>
      <c r="Q24" s="315" t="s">
        <v>513</v>
      </c>
      <c r="R24" s="315" t="str">
        <f t="shared" si="19"/>
        <v>bjs_cell='CELL12_OP_P'</v>
      </c>
      <c r="U24" s="315" t="str">
        <f t="shared" si="18"/>
        <v/>
      </c>
    </row>
    <row r="25" spans="1:21" s="317" customFormat="1" x14ac:dyDescent="0.35">
      <c r="A25" s="317" t="s">
        <v>47</v>
      </c>
      <c r="B25" s="317" t="str">
        <f t="shared" si="4"/>
        <v>CELL03</v>
      </c>
      <c r="C25" s="317" t="s">
        <v>514</v>
      </c>
      <c r="D25" s="317" t="str">
        <f t="shared" si="20"/>
        <v>CELL03_PP_BUS</v>
      </c>
      <c r="E25" s="317" t="s">
        <v>515</v>
      </c>
      <c r="F25" s="318" t="str">
        <f t="shared" si="8"/>
        <v>club='128','169','191','222','223','224','225','226','235','382','383','384','385','386','387','388','389','390','391','392','395':biz_mbr_primary='1':mbrcode='PP','PT'</v>
      </c>
      <c r="G25" s="319" t="str">
        <f>IF(VLOOKUP(SUBSTITUTE($A25,"Ctrl","Cell"),Sheet1!$C:$G,5,FALSE)=0,"",_xlfn.CONCAT("'",SUBSTITUTE(SUBSTITUTE(VLOOKUP(SUBSTITUTE($A25,"Ctrl","Cell"),Sheet1!$C:$G,5,FALSE),", ",","), ",","','"),"'"))</f>
        <v>'128','169','191','222','223','224','225','226','235','382','383','384','385','386','387','388','389','390','391','392','395'</v>
      </c>
      <c r="J25" s="318" t="s">
        <v>516</v>
      </c>
      <c r="K25" s="319" t="s">
        <v>486</v>
      </c>
      <c r="L25" s="319" t="str">
        <f t="shared" si="15"/>
        <v>biz_mbr_primary='1'</v>
      </c>
      <c r="M25" s="318" t="s">
        <v>483</v>
      </c>
      <c r="N25" s="319" t="s">
        <v>492</v>
      </c>
      <c r="O25" s="319" t="str">
        <f t="shared" si="16"/>
        <v>mbrcode='PP','PT'</v>
      </c>
      <c r="P25" s="318"/>
      <c r="Q25" s="318"/>
      <c r="R25" s="319"/>
      <c r="U25" s="319" t="str">
        <f t="shared" si="18"/>
        <v/>
      </c>
    </row>
    <row r="26" spans="1:21" s="165" customFormat="1" x14ac:dyDescent="0.35">
      <c r="A26" s="165" t="s">
        <v>85</v>
      </c>
      <c r="B26" s="165" t="str">
        <f t="shared" si="4"/>
        <v>CELL08</v>
      </c>
      <c r="D26" s="165" t="str">
        <f t="shared" ref="D26:D31" si="21">_xlfn.CONCAT(B26)</f>
        <v>CELL08</v>
      </c>
      <c r="E26" s="165" t="s">
        <v>517</v>
      </c>
      <c r="F26" s="313" t="str">
        <f>CONCATENATE(IF(G26&lt;&gt;"",_xlfn.CONCAT("club=",G26),""),IF(H26&lt;&gt;"",_xlfn.CONCAT("club=",H26),""),IF(J26&lt;&gt;"",IF(G26="" &amp; H26="",L26,CONCATENATE(":", L26)),""),IF(M26&lt;&gt;"",CONCATENATE(":",O26),""),IF(P26&lt;&gt;"",CONCATENATE(":",R26),""),IF(S26&lt;&gt;"",CONCATENATE(":",U26),""))</f>
        <v>:mbr_exp_dt="'2022-01-31' and '2022-07-31'":mbr_typ_cd='2','4':tenure=660:mbr_mfi_amt='0.01 and 9999'</v>
      </c>
      <c r="G26" s="315" t="str">
        <f>IF(VLOOKUP(SUBSTITUTE($A26,"Ctrl","Cell"),Sheet1!$C:$G,5,FALSE)=0,"",_xlfn.CONCAT("'",SUBSTITUTE(SUBSTITUTE(VLOOKUP(SUBSTITUTE($A26,"Ctrl","Cell"),Sheet1!$C:$G,5,FALSE),", ",","), ",","','"),"'"))</f>
        <v/>
      </c>
      <c r="J26" s="165" t="s">
        <v>518</v>
      </c>
      <c r="K26" s="165" t="s">
        <v>519</v>
      </c>
      <c r="L26" s="165" t="str">
        <f>IF(J26&lt;&gt;"",IF(K26="null",CONCATENATE(J26,"=",K26),CONCATENATE(J26,"=",K26)),"")</f>
        <v>mbr_exp_dt="'2022-01-31' and '2022-07-31'"</v>
      </c>
      <c r="M26" s="165" t="s">
        <v>520</v>
      </c>
      <c r="N26" s="165" t="s">
        <v>521</v>
      </c>
      <c r="O26" s="165" t="str">
        <f>IF(M26&lt;&gt;"",IF(N26="null",CONCATENATE(M26,"=",N26),CONCATENATE(M26,"='",N26)),"")</f>
        <v>mbr_typ_cd='2','4'</v>
      </c>
      <c r="P26" s="165" t="s">
        <v>522</v>
      </c>
      <c r="Q26" s="165">
        <v>660</v>
      </c>
      <c r="R26" s="165" t="str">
        <f>IF(P26&lt;&gt;"",IF(Q26="null",CONCATENATE(P26,"=",Q26),CONCATENATE(P26,"=",Q26)),"")</f>
        <v>tenure=660</v>
      </c>
      <c r="S26" s="314" t="s">
        <v>523</v>
      </c>
      <c r="T26" s="314" t="s">
        <v>524</v>
      </c>
      <c r="U26" s="313" t="str">
        <f>IF(S26&lt;&gt;"",IF(T26="null",CONCATENATE(S26,"=",T26),CONCATENATE(S26,"='",T26)),"")</f>
        <v>mbr_mfi_amt='0.01 and 9999'</v>
      </c>
    </row>
    <row r="27" spans="1:21" s="320" customFormat="1" x14ac:dyDescent="0.35">
      <c r="A27" s="320" t="s">
        <v>92</v>
      </c>
      <c r="B27" s="320" t="str">
        <f t="shared" si="4"/>
        <v>CELL09</v>
      </c>
      <c r="D27" s="320" t="str">
        <f t="shared" si="21"/>
        <v>CELL09</v>
      </c>
      <c r="E27" s="320" t="s">
        <v>525</v>
      </c>
      <c r="F27" s="321" t="str">
        <f t="shared" si="8"/>
        <v>:high_ltv_cell='high_ltv_lapsed_paid',null:bjs_cell='CELL08'</v>
      </c>
      <c r="G27" s="322" t="str">
        <f>IF(VLOOKUP(SUBSTITUTE($A27,"Ctrl","Cell"),Sheet1!$C:$G,5,FALSE)=0,"",_xlfn.CONCAT("'",SUBSTITUTE(SUBSTITUTE(VLOOKUP(SUBSTITUTE($A27,"Ctrl","Cell"),Sheet1!$C:$G,5,FALSE),", ",","), ",","','"),"'"))</f>
        <v/>
      </c>
      <c r="H27" s="321"/>
      <c r="J27" s="321" t="s">
        <v>526</v>
      </c>
      <c r="K27" s="322" t="s">
        <v>527</v>
      </c>
      <c r="L27" s="321" t="str">
        <f>IF(J27&lt;&gt;"",IF(K27="null",CONCATENATE(J27,"=",K27),CONCATENATE(J27,"='",K27)),"")</f>
        <v>high_ltv_cell='high_ltv_lapsed_paid',null</v>
      </c>
      <c r="M27" s="321" t="s">
        <v>505</v>
      </c>
      <c r="N27" s="322" t="s">
        <v>528</v>
      </c>
      <c r="O27" s="321" t="str">
        <f>IF(M27&lt;&gt;"",IF(N27="null",CONCATENATE(M27,"=",N27),CONCATENATE(M27,"='",N27)),"")</f>
        <v>bjs_cell='CELL08'</v>
      </c>
      <c r="P27" s="321"/>
      <c r="Q27" s="321"/>
      <c r="R27" s="321"/>
      <c r="U27" s="321" t="str">
        <f>IF(S27&lt;&gt;"",IF(T27="null",CONCATENATE(S27,"=",T27),CONCATENATE(S27,"='",T27)),"")</f>
        <v/>
      </c>
    </row>
    <row r="28" spans="1:21" s="323" customFormat="1" x14ac:dyDescent="0.35">
      <c r="A28" s="323" t="s">
        <v>111</v>
      </c>
      <c r="B28" s="323" t="str">
        <f t="shared" si="4"/>
        <v>CELL12</v>
      </c>
      <c r="C28" s="323" t="s">
        <v>529</v>
      </c>
      <c r="D28" s="323" t="str">
        <f>_xlfn.CONCAT(B28,"_",C28)</f>
        <v>CELL12_LP_BUS</v>
      </c>
      <c r="E28" s="323" t="s">
        <v>515</v>
      </c>
      <c r="F28" s="324" t="str">
        <f t="shared" si="8"/>
        <v>club='128','169','191','223','224','225','382','383','384','385','387','389','392','388':biz_mbr_primary='1':mbrcode='LP','LT'</v>
      </c>
      <c r="G28" s="325" t="str">
        <f>IF(VLOOKUP(SUBSTITUTE($A28,"Ctrl","Cell"),Sheet1!$C:$G,5,FALSE)=0,"",_xlfn.CONCAT("'",SUBSTITUTE(SUBSTITUTE(VLOOKUP(SUBSTITUTE($A28,"Ctrl","Cell"),Sheet1!$C:$G,5,FALSE),", ",","), ",","','"),"'"))</f>
        <v>'128','169','191','223','224','225','382','383','384','385','387','389','392','388'</v>
      </c>
      <c r="H28" s="324"/>
      <c r="J28" s="324" t="s">
        <v>516</v>
      </c>
      <c r="K28" s="325" t="s">
        <v>486</v>
      </c>
      <c r="L28" s="324" t="str">
        <f>IF(J28&lt;&gt;"",IF(K28="null",CONCATENATE(J28,"=",K28),CONCATENATE(J28,"='",K28)),"")</f>
        <v>biz_mbr_primary='1'</v>
      </c>
      <c r="M28" s="324" t="s">
        <v>483</v>
      </c>
      <c r="N28" s="325" t="s">
        <v>498</v>
      </c>
      <c r="O28" s="324" t="str">
        <f>IF(M28&lt;&gt;"",IF(N28="null",CONCATENATE(M28,"=",N28),CONCATENATE(M28,"='",N28)),"")</f>
        <v>mbrcode='LP','LT'</v>
      </c>
      <c r="P28" s="324"/>
      <c r="Q28" s="324"/>
      <c r="R28" s="324"/>
      <c r="U28" s="324" t="str">
        <f>IF(S28&lt;&gt;"",IF(T28="null",CONCATENATE(S28,"=",T28),CONCATENATE(S28,"='",T28)),"")</f>
        <v/>
      </c>
    </row>
    <row r="29" spans="1:21" s="323" customFormat="1" ht="12.75" customHeight="1" x14ac:dyDescent="0.35">
      <c r="A29" s="323" t="s">
        <v>111</v>
      </c>
      <c r="B29" s="323" t="str">
        <f t="shared" si="4"/>
        <v>CELL12</v>
      </c>
      <c r="D29" s="323" t="str">
        <f t="shared" si="21"/>
        <v>CELL12</v>
      </c>
      <c r="E29" s="323" t="s">
        <v>515</v>
      </c>
      <c r="F29" s="324" t="str">
        <f t="shared" si="8"/>
        <v>club='128','169','191','223','224','225','382','383','384','385','387','389','392','388':biz_mbr_primary='0','1':mbrcode='LP','LT'</v>
      </c>
      <c r="G29" s="325" t="str">
        <f>IF(VLOOKUP(SUBSTITUTE($A29,"Ctrl","Cell"),Sheet1!$C:$G,5,FALSE)=0,"",_xlfn.CONCAT("'",SUBSTITUTE(SUBSTITUTE(VLOOKUP(SUBSTITUTE($A29,"Ctrl","Cell"),Sheet1!$C:$G,5,FALSE),", ",","), ",","','"),"'"))</f>
        <v>'128','169','191','223','224','225','382','383','384','385','387','389','392','388'</v>
      </c>
      <c r="H29" s="324"/>
      <c r="J29" s="324" t="s">
        <v>516</v>
      </c>
      <c r="K29" s="325" t="s">
        <v>530</v>
      </c>
      <c r="L29" s="324" t="str">
        <f>IF(J29&lt;&gt;"",IF(K29="null",CONCATENATE(J29,"=",K29),CONCATENATE(J29,"='",K29)),"")</f>
        <v>biz_mbr_primary='0','1'</v>
      </c>
      <c r="M29" s="324" t="s">
        <v>483</v>
      </c>
      <c r="N29" s="325" t="s">
        <v>498</v>
      </c>
      <c r="O29" s="324" t="str">
        <f>IF(M29&lt;&gt;"",IF(N29="null",CONCATENATE(M29,"=",N29),CONCATENATE(M29,"='",N29)),"")</f>
        <v>mbrcode='LP','LT'</v>
      </c>
      <c r="P29" s="324"/>
      <c r="Q29" s="324"/>
      <c r="R29" s="324"/>
      <c r="U29" s="324" t="str">
        <f>IF(S29&lt;&gt;"",IF(T29="null",CONCATENATE(S29,"=",T29),CONCATENATE(S29,"='",T29)),"")</f>
        <v/>
      </c>
    </row>
    <row r="30" spans="1:21" s="323" customFormat="1" x14ac:dyDescent="0.35">
      <c r="A30" s="323" t="s">
        <v>121</v>
      </c>
      <c r="B30" s="323" t="str">
        <f t="shared" si="4"/>
        <v>CELL13</v>
      </c>
      <c r="D30" s="323" t="str">
        <f t="shared" si="21"/>
        <v>CELL13</v>
      </c>
      <c r="E30" s="323" t="s">
        <v>525</v>
      </c>
      <c r="F30" s="324" t="str">
        <f t="shared" si="8"/>
        <v>club='128','169','191','223','224','225','382','383','384','385','387','389','392','388':high_ltv_cell='high_ltv_lapsed_paid':bjs_cell='CELL12','CELL12_LP_BUS'</v>
      </c>
      <c r="G30" s="325" t="str">
        <f>IF(VLOOKUP(SUBSTITUTE($A30,"Ctrl","Cell"),Sheet1!$C:$G,5,FALSE)=0,"",_xlfn.CONCAT("'",SUBSTITUTE(SUBSTITUTE(VLOOKUP(SUBSTITUTE($A30,"Ctrl","Cell"),Sheet1!$C:$G,5,FALSE),", ",","), ",","','"),"'"))</f>
        <v>'128','169','191','223','224','225','382','383','384','385','387','389','392','388'</v>
      </c>
      <c r="J30" s="326" t="s">
        <v>526</v>
      </c>
      <c r="K30" s="326" t="s">
        <v>531</v>
      </c>
      <c r="L30" s="325" t="str">
        <f>IF(J30&lt;&gt;"",IF(K30="null",CONCATENATE(J30,"=",K30),CONCATENATE(J30,"='",K30)),"")</f>
        <v>high_ltv_cell='high_ltv_lapsed_paid'</v>
      </c>
      <c r="M30" s="326" t="s">
        <v>505</v>
      </c>
      <c r="N30" s="326" t="s">
        <v>532</v>
      </c>
      <c r="O30" s="325" t="str">
        <f>IF(M30&lt;&gt;"",IF(N30="null",CONCATENATE(M30,"=",N30),CONCATENATE(M30,"='",N30)),"")</f>
        <v>bjs_cell='CELL12','CELL12_LP_BUS'</v>
      </c>
      <c r="P30" s="324"/>
      <c r="Q30" s="327"/>
      <c r="R30" s="325"/>
      <c r="U30" s="325" t="str">
        <f>IF(S30&lt;&gt;"",IF(T30="null",CONCATENATE(S30,"=",T30),CONCATENATE(S30,"='",T30)),"")</f>
        <v/>
      </c>
    </row>
    <row r="31" spans="1:21" s="323" customFormat="1" x14ac:dyDescent="0.35">
      <c r="A31" s="323" t="s">
        <v>256</v>
      </c>
      <c r="B31" s="323" t="str">
        <f t="shared" si="4"/>
        <v>CELL10</v>
      </c>
      <c r="D31" s="323" t="str">
        <f t="shared" si="21"/>
        <v>CELL10</v>
      </c>
      <c r="E31" s="328" t="s">
        <v>515</v>
      </c>
      <c r="F31" s="324" t="str">
        <f t="shared" si="8"/>
        <v>club='388':biz_mbr_primary='0','1':mbrcode='LP','LT'</v>
      </c>
      <c r="G31" s="325" t="str">
        <f>IF(VLOOKUP(SUBSTITUTE($A31,"Ctrl","Cell"),Sheet1!$C:$G,5,FALSE)=0,"",_xlfn.CONCAT("'",SUBSTITUTE(SUBSTITUTE(VLOOKUP(SUBSTITUTE($A31,"Ctrl","Cell"),Sheet1!$C:$G,5,FALSE),", ",","), ",","','"),"'"))</f>
        <v/>
      </c>
      <c r="H31" s="327" t="s">
        <v>533</v>
      </c>
      <c r="J31" s="326" t="s">
        <v>516</v>
      </c>
      <c r="K31" s="329" t="s">
        <v>530</v>
      </c>
      <c r="L31" s="325" t="str">
        <f t="shared" ref="L31" si="22">IF(J31&lt;&gt;"",IF(K31="null",CONCATENATE(J31,"=",K31),CONCATENATE(J31,"='",K31)),"")</f>
        <v>biz_mbr_primary='0','1'</v>
      </c>
      <c r="M31" s="326" t="s">
        <v>483</v>
      </c>
      <c r="N31" s="329" t="s">
        <v>498</v>
      </c>
      <c r="O31" s="325" t="str">
        <f t="shared" ref="O31:O58" si="23">IF(M31&lt;&gt;"",IF(N31="null",CONCATENATE(M31,"=",N31),CONCATENATE(M31,"='",N31)),"")</f>
        <v>mbrcode='LP','LT'</v>
      </c>
      <c r="R31" s="325"/>
      <c r="U31" s="325" t="str">
        <f t="shared" ref="U31:U52" si="24">IF(S31&lt;&gt;"",IF(T31="null",CONCATENATE(S31,"=",T31),CONCATENATE(S31,"='",T31)),"")</f>
        <v/>
      </c>
    </row>
    <row r="32" spans="1:21" s="323" customFormat="1" x14ac:dyDescent="0.35">
      <c r="A32" s="323" t="s">
        <v>105</v>
      </c>
      <c r="B32" s="323" t="str">
        <f t="shared" ref="B32" si="25">IF(LEN(A32)&gt;6,SUBSTITUTE(UPPER(A32)," ",""),SUBSTITUTE(UPPER(A32), " ", "0"))</f>
        <v>CELL11</v>
      </c>
      <c r="D32" s="323" t="str">
        <f t="shared" ref="D32" si="26">_xlfn.CONCAT(B32)</f>
        <v>CELL11</v>
      </c>
      <c r="E32" s="328" t="s">
        <v>515</v>
      </c>
      <c r="F32" s="324" t="str">
        <f t="shared" ref="F32:F66" si="27">CONCATENATE(IF(G32&lt;&gt;"",_xlfn.CONCAT("club=",G32),""),IF(H32&lt;&gt;"",_xlfn.CONCAT("club=",H32),""),IF(J32&lt;&gt;"",IF(G32="" &amp; H32="",L32,CONCATENATE(":", L32)),""),IF(M32&lt;&gt;"",CONCATENATE(":",O32),""),IF(P32&lt;&gt;"",CONCATENATE(":",R32),""),IF(S32&lt;&gt;"",CONCATENATE(":",U32),""))</f>
        <v>club='na':biz_mbr_primary='0','1':mbrcode='LP','LT'</v>
      </c>
      <c r="G32" s="325" t="str">
        <f>IF(VLOOKUP(SUBSTITUTE($A32,"Ctrl","Cell"),Sheet1!$C:$G,5,FALSE)=0,"",_xlfn.CONCAT("'",SUBSTITUTE(SUBSTITUTE(VLOOKUP(SUBSTITUTE($A32,"Ctrl","Cell"),Sheet1!$C:$G,5,FALSE),", ",","), ",","','"),"'"))</f>
        <v/>
      </c>
      <c r="H32" s="327" t="s">
        <v>534</v>
      </c>
      <c r="J32" s="326" t="s">
        <v>516</v>
      </c>
      <c r="K32" s="329" t="s">
        <v>530</v>
      </c>
      <c r="L32" s="325" t="str">
        <f t="shared" ref="L32" si="28">IF(J32&lt;&gt;"",IF(K32="null",CONCATENATE(J32,"=",K32),CONCATENATE(J32,"='",K32)),"")</f>
        <v>biz_mbr_primary='0','1'</v>
      </c>
      <c r="M32" s="326" t="s">
        <v>483</v>
      </c>
      <c r="N32" s="329" t="s">
        <v>498</v>
      </c>
      <c r="O32" s="325" t="str">
        <f t="shared" ref="O32" si="29">IF(M32&lt;&gt;"",IF(N32="null",CONCATENATE(M32,"=",N32),CONCATENATE(M32,"='",N32)),"")</f>
        <v>mbrcode='LP','LT'</v>
      </c>
      <c r="R32" s="325"/>
      <c r="U32" s="325" t="str">
        <f t="shared" ref="U32" si="30">IF(S32&lt;&gt;"",IF(T32="null",CONCATENATE(S32,"=",T32),CONCATENATE(S32,"='",T32)),"")</f>
        <v/>
      </c>
    </row>
    <row r="33" spans="1:21" s="323" customFormat="1" x14ac:dyDescent="0.35">
      <c r="A33" s="323" t="s">
        <v>128</v>
      </c>
      <c r="B33" s="323" t="str">
        <f t="shared" si="4"/>
        <v>CELL14</v>
      </c>
      <c r="D33" s="323" t="str">
        <f>_xlfn.CONCAT(B33)</f>
        <v>CELL14</v>
      </c>
      <c r="E33" s="330" t="s">
        <v>535</v>
      </c>
      <c r="F33" s="324" t="str">
        <f t="shared" si="27"/>
        <v>club='387':index_key='0 and 30000000':priority_num='1'</v>
      </c>
      <c r="H33" s="325" t="str">
        <f>IF(VLOOKUP(SUBSTITUTE($A33,"Ctrl","Cell"),Sheet1!$C:$H,6,FALSE)=0,"",_xlfn.CONCAT("'",SUBSTITUTE(SUBSTITUTE(VLOOKUP(SUBSTITUTE($A33,"Ctrl","Cell"),Sheet1!$C:$H,6,FALSE),", ",","), ",","','"),"'"))</f>
        <v>'387'</v>
      </c>
      <c r="J33" s="326" t="s">
        <v>536</v>
      </c>
      <c r="K33" s="326" t="s">
        <v>537</v>
      </c>
      <c r="L33" s="325" t="str">
        <f>IF(J33&lt;&gt;"",IF(K33="null",CONCATENATE(J33,"=",K33),CONCATENATE(J33,"='",K33)),"")</f>
        <v>index_key='0 and 30000000'</v>
      </c>
      <c r="M33" s="326" t="s">
        <v>538</v>
      </c>
      <c r="N33" s="326" t="s">
        <v>486</v>
      </c>
      <c r="O33" s="325" t="str">
        <f t="shared" si="23"/>
        <v>priority_num='1'</v>
      </c>
      <c r="P33" s="324"/>
      <c r="Q33" s="327"/>
      <c r="R33" s="325"/>
      <c r="U33" s="325" t="str">
        <f t="shared" si="24"/>
        <v/>
      </c>
    </row>
    <row r="34" spans="1:21" s="323" customFormat="1" x14ac:dyDescent="0.35">
      <c r="A34" s="323" t="s">
        <v>128</v>
      </c>
      <c r="B34" s="323" t="str">
        <f t="shared" si="4"/>
        <v>CELL14</v>
      </c>
      <c r="C34" s="323" t="s">
        <v>539</v>
      </c>
      <c r="D34" s="323" t="str">
        <f>_xlfn.CONCAT(B34,"_",C34)</f>
        <v>CELL14_BNZD</v>
      </c>
      <c r="E34" s="330" t="s">
        <v>535</v>
      </c>
      <c r="F34" s="324" t="str">
        <f t="shared" si="27"/>
        <v>club='387':index_key='30000000 and 50000000':priority_num='1'</v>
      </c>
      <c r="H34" s="325" t="str">
        <f>IF(VLOOKUP(SUBSTITUTE($A34,"Ctrl","Cell"),Sheet1!$C:$H,6,FALSE)=0,"",_xlfn.CONCAT("'",SUBSTITUTE(SUBSTITUTE(VLOOKUP(SUBSTITUTE($A34,"Ctrl","Cell"),Sheet1!$C:$H,6,FALSE),", ",","), ",","','"),"'"))</f>
        <v>'387'</v>
      </c>
      <c r="J34" s="326" t="s">
        <v>536</v>
      </c>
      <c r="K34" s="326" t="s">
        <v>540</v>
      </c>
      <c r="L34" s="325" t="str">
        <f>IF(J34&lt;&gt;"",IF(K34="null",CONCATENATE(J34,"=",K34),CONCATENATE(J34,"='",K34)),"")</f>
        <v>index_key='30000000 and 50000000'</v>
      </c>
      <c r="M34" s="326" t="s">
        <v>538</v>
      </c>
      <c r="N34" s="326" t="s">
        <v>486</v>
      </c>
      <c r="O34" s="325" t="str">
        <f t="shared" si="23"/>
        <v>priority_num='1'</v>
      </c>
      <c r="P34" s="324"/>
      <c r="Q34" s="327"/>
      <c r="R34" s="325"/>
      <c r="U34" s="325" t="str">
        <f t="shared" si="24"/>
        <v/>
      </c>
    </row>
    <row r="35" spans="1:21" s="323" customFormat="1" x14ac:dyDescent="0.35">
      <c r="A35" s="323" t="s">
        <v>133</v>
      </c>
      <c r="B35" s="323" t="str">
        <f t="shared" si="4"/>
        <v>CELL15</v>
      </c>
      <c r="D35" s="323" t="str">
        <f>_xlfn.CONCAT(B35)</f>
        <v>CELL15</v>
      </c>
      <c r="E35" s="330" t="s">
        <v>535</v>
      </c>
      <c r="F35" s="324" t="str">
        <f t="shared" si="27"/>
        <v>club='223':index_key='0 and 30000000':priority_num='1'</v>
      </c>
      <c r="H35" s="325" t="str">
        <f>IF(VLOOKUP(SUBSTITUTE($A35,"Ctrl","Cell"),Sheet1!$C:$H,6,FALSE)=0,"",_xlfn.CONCAT("'",SUBSTITUTE(SUBSTITUTE(VLOOKUP(SUBSTITUTE($A35,"Ctrl","Cell"),Sheet1!$C:$H,6,FALSE),", ",","), ",","','"),"'"))</f>
        <v>'223'</v>
      </c>
      <c r="J35" s="326" t="s">
        <v>536</v>
      </c>
      <c r="K35" s="326" t="s">
        <v>537</v>
      </c>
      <c r="L35" s="325" t="str">
        <f t="shared" ref="L35:L58" si="31">IF(J35&lt;&gt;"",IF(K35="null",CONCATENATE(J35,"=",K35),CONCATENATE(J35,"='",K35)),"")</f>
        <v>index_key='0 and 30000000'</v>
      </c>
      <c r="M35" s="326" t="s">
        <v>538</v>
      </c>
      <c r="N35" s="326" t="s">
        <v>486</v>
      </c>
      <c r="O35" s="325" t="str">
        <f t="shared" si="23"/>
        <v>priority_num='1'</v>
      </c>
      <c r="P35" s="324"/>
      <c r="Q35" s="327"/>
      <c r="R35" s="325"/>
      <c r="U35" s="325" t="str">
        <f t="shared" si="24"/>
        <v/>
      </c>
    </row>
    <row r="36" spans="1:21" s="323" customFormat="1" x14ac:dyDescent="0.35">
      <c r="A36" s="323" t="s">
        <v>133</v>
      </c>
      <c r="B36" s="323" t="str">
        <f t="shared" si="4"/>
        <v>CELL15</v>
      </c>
      <c r="C36" s="323" t="s">
        <v>539</v>
      </c>
      <c r="D36" s="323" t="str">
        <f>_xlfn.CONCAT(B36,"_",C36)</f>
        <v>CELL15_BNZD</v>
      </c>
      <c r="E36" s="330" t="s">
        <v>535</v>
      </c>
      <c r="F36" s="324" t="str">
        <f t="shared" si="27"/>
        <v>club='223':index_key='30000000 and 50000000':priority_num='1'</v>
      </c>
      <c r="H36" s="325" t="str">
        <f>IF(VLOOKUP(SUBSTITUTE($A36,"Ctrl","Cell"),Sheet1!$C:$H,6,FALSE)=0,"",_xlfn.CONCAT("'",SUBSTITUTE(SUBSTITUTE(VLOOKUP(SUBSTITUTE($A36,"Ctrl","Cell"),Sheet1!$C:$H,6,FALSE),", ",","), ",","','"),"'"))</f>
        <v>'223'</v>
      </c>
      <c r="J36" s="326" t="s">
        <v>536</v>
      </c>
      <c r="K36" s="326" t="s">
        <v>540</v>
      </c>
      <c r="L36" s="325" t="str">
        <f t="shared" si="31"/>
        <v>index_key='30000000 and 50000000'</v>
      </c>
      <c r="M36" s="326" t="s">
        <v>538</v>
      </c>
      <c r="N36" s="326" t="s">
        <v>486</v>
      </c>
      <c r="O36" s="325" t="str">
        <f t="shared" si="23"/>
        <v>priority_num='1'</v>
      </c>
      <c r="P36" s="324"/>
      <c r="Q36" s="327"/>
      <c r="R36" s="325"/>
      <c r="U36" s="325" t="str">
        <f t="shared" si="24"/>
        <v/>
      </c>
    </row>
    <row r="37" spans="1:21" x14ac:dyDescent="0.35">
      <c r="A37" t="s">
        <v>139</v>
      </c>
      <c r="B37" t="str">
        <f t="shared" si="4"/>
        <v>CELL16</v>
      </c>
      <c r="D37" t="str">
        <f>_xlfn.CONCAT(B37)</f>
        <v>CELL16</v>
      </c>
      <c r="E37" s="117" t="s">
        <v>535</v>
      </c>
      <c r="F37" s="112" t="str">
        <f t="shared" si="27"/>
        <v>club='389':index_key='0 and 30000000':priority_num='1'</v>
      </c>
      <c r="H37" s="113" t="str">
        <f>IF(VLOOKUP(SUBSTITUTE($A37,"Ctrl","Cell"),Sheet1!$C:$H,6,FALSE)=0,"",_xlfn.CONCAT("'",SUBSTITUTE(SUBSTITUTE(VLOOKUP(SUBSTITUTE($A37,"Ctrl","Cell"),Sheet1!$C:$H,6,FALSE),", ",","), ",","','"),"'"))</f>
        <v>'389'</v>
      </c>
      <c r="J37" s="114" t="s">
        <v>536</v>
      </c>
      <c r="K37" s="114" t="s">
        <v>537</v>
      </c>
      <c r="L37" s="113" t="str">
        <f t="shared" si="31"/>
        <v>index_key='0 and 30000000'</v>
      </c>
      <c r="M37" s="114" t="s">
        <v>538</v>
      </c>
      <c r="N37" s="114" t="s">
        <v>486</v>
      </c>
      <c r="O37" s="113" t="str">
        <f t="shared" si="23"/>
        <v>priority_num='1'</v>
      </c>
      <c r="P37" s="112"/>
      <c r="Q37" s="116"/>
      <c r="R37" s="113"/>
      <c r="U37" s="113" t="str">
        <f t="shared" si="24"/>
        <v/>
      </c>
    </row>
    <row r="38" spans="1:21" x14ac:dyDescent="0.35">
      <c r="A38" t="s">
        <v>139</v>
      </c>
      <c r="B38" t="str">
        <f t="shared" si="4"/>
        <v>CELL16</v>
      </c>
      <c r="C38" t="s">
        <v>539</v>
      </c>
      <c r="D38" t="str">
        <f>_xlfn.CONCAT(B38,"_",C38)</f>
        <v>CELL16_BNZD</v>
      </c>
      <c r="E38" s="117" t="s">
        <v>535</v>
      </c>
      <c r="F38" s="112" t="str">
        <f t="shared" si="27"/>
        <v>club='389':index_key='30000000 and 50000000':priority_num='1'</v>
      </c>
      <c r="H38" s="113" t="str">
        <f>IF(VLOOKUP(SUBSTITUTE($A38,"Ctrl","Cell"),Sheet1!$C:$H,6,FALSE)=0,"",_xlfn.CONCAT("'",SUBSTITUTE(SUBSTITUTE(VLOOKUP(SUBSTITUTE($A38,"Ctrl","Cell"),Sheet1!$C:$H,6,FALSE),", ",","), ",","','"),"'"))</f>
        <v>'389'</v>
      </c>
      <c r="J38" s="114" t="s">
        <v>536</v>
      </c>
      <c r="K38" s="114" t="s">
        <v>540</v>
      </c>
      <c r="L38" s="113" t="str">
        <f t="shared" si="31"/>
        <v>index_key='30000000 and 50000000'</v>
      </c>
      <c r="M38" s="114" t="s">
        <v>538</v>
      </c>
      <c r="N38" s="114" t="s">
        <v>486</v>
      </c>
      <c r="O38" s="113" t="str">
        <f t="shared" si="23"/>
        <v>priority_num='1'</v>
      </c>
      <c r="P38" s="112"/>
      <c r="Q38" s="116"/>
      <c r="R38" s="113"/>
      <c r="U38" s="113" t="str">
        <f t="shared" si="24"/>
        <v/>
      </c>
    </row>
    <row r="39" spans="1:21" x14ac:dyDescent="0.35">
      <c r="A39" t="s">
        <v>146</v>
      </c>
      <c r="B39" t="str">
        <f t="shared" si="4"/>
        <v>CELL17</v>
      </c>
      <c r="D39" t="str">
        <f>_xlfn.CONCAT(B39)</f>
        <v>CELL17</v>
      </c>
      <c r="E39" s="117" t="s">
        <v>535</v>
      </c>
      <c r="F39" s="112" t="str">
        <f t="shared" si="27"/>
        <v>club='386':index_key='0 and 30000000':priority_num='1'</v>
      </c>
      <c r="H39" s="113" t="str">
        <f>IF(VLOOKUP(SUBSTITUTE($A39,"Ctrl","Cell"),Sheet1!$C:$H,6,FALSE)=0,"",_xlfn.CONCAT("'",SUBSTITUTE(SUBSTITUTE(VLOOKUP(SUBSTITUTE($A39,"Ctrl","Cell"),Sheet1!$C:$H,6,FALSE),", ",","), ",","','"),"'"))</f>
        <v>'386'</v>
      </c>
      <c r="J39" s="114" t="s">
        <v>536</v>
      </c>
      <c r="K39" s="114" t="s">
        <v>537</v>
      </c>
      <c r="L39" s="113" t="str">
        <f t="shared" si="31"/>
        <v>index_key='0 and 30000000'</v>
      </c>
      <c r="M39" s="114" t="s">
        <v>538</v>
      </c>
      <c r="N39" s="114" t="s">
        <v>486</v>
      </c>
      <c r="O39" s="113" t="str">
        <f t="shared" si="23"/>
        <v>priority_num='1'</v>
      </c>
      <c r="P39" s="112"/>
      <c r="Q39" s="116"/>
      <c r="R39" s="113"/>
      <c r="U39" s="113" t="str">
        <f t="shared" si="24"/>
        <v/>
      </c>
    </row>
    <row r="40" spans="1:21" x14ac:dyDescent="0.35">
      <c r="A40" t="s">
        <v>146</v>
      </c>
      <c r="B40" t="str">
        <f t="shared" si="4"/>
        <v>CELL17</v>
      </c>
      <c r="C40" t="s">
        <v>539</v>
      </c>
      <c r="D40" t="str">
        <f>_xlfn.CONCAT(B40,"_",C40)</f>
        <v>CELL17_BNZD</v>
      </c>
      <c r="E40" s="117" t="s">
        <v>535</v>
      </c>
      <c r="F40" s="112" t="str">
        <f t="shared" si="27"/>
        <v>club='386':index_key='30000000 and 50000000':priority_num='1'</v>
      </c>
      <c r="H40" s="113" t="str">
        <f>IF(VLOOKUP(SUBSTITUTE($A40,"Ctrl","Cell"),Sheet1!$C:$H,6,FALSE)=0,"",_xlfn.CONCAT("'",SUBSTITUTE(SUBSTITUTE(VLOOKUP(SUBSTITUTE($A40,"Ctrl","Cell"),Sheet1!$C:$H,6,FALSE),", ",","), ",","','"),"'"))</f>
        <v>'386'</v>
      </c>
      <c r="J40" s="114" t="s">
        <v>536</v>
      </c>
      <c r="K40" s="114" t="s">
        <v>540</v>
      </c>
      <c r="L40" s="113" t="str">
        <f t="shared" si="31"/>
        <v>index_key='30000000 and 50000000'</v>
      </c>
      <c r="M40" s="114" t="s">
        <v>538</v>
      </c>
      <c r="N40" s="114" t="s">
        <v>486</v>
      </c>
      <c r="O40" s="113" t="str">
        <f t="shared" si="23"/>
        <v>priority_num='1'</v>
      </c>
      <c r="R40" s="113"/>
      <c r="U40" s="113" t="str">
        <f t="shared" si="24"/>
        <v/>
      </c>
    </row>
    <row r="41" spans="1:21" x14ac:dyDescent="0.35">
      <c r="A41" t="s">
        <v>151</v>
      </c>
      <c r="B41" t="str">
        <f t="shared" si="4"/>
        <v>CELL18</v>
      </c>
      <c r="D41" t="str">
        <f>_xlfn.CONCAT(B41)</f>
        <v>CELL18</v>
      </c>
      <c r="E41" s="117" t="s">
        <v>535</v>
      </c>
      <c r="F41" s="112" t="str">
        <f t="shared" si="27"/>
        <v>club='390':index_key='0 and 30000000':priority_num='1','2'</v>
      </c>
      <c r="H41" s="113" t="str">
        <f>IF(VLOOKUP(SUBSTITUTE($A41,"Ctrl","Cell"),Sheet1!$C:$H,6,FALSE)=0,"",_xlfn.CONCAT("'",SUBSTITUTE(SUBSTITUTE(VLOOKUP(SUBSTITUTE($A41,"Ctrl","Cell"),Sheet1!$C:$H,6,FALSE),", ",","), ",","','"),"'"))</f>
        <v>'390'</v>
      </c>
      <c r="J41" s="114" t="s">
        <v>536</v>
      </c>
      <c r="K41" s="114" t="s">
        <v>537</v>
      </c>
      <c r="L41" s="113" t="str">
        <f t="shared" si="31"/>
        <v>index_key='0 and 30000000'</v>
      </c>
      <c r="M41" s="114" t="s">
        <v>538</v>
      </c>
      <c r="N41" s="114" t="s">
        <v>541</v>
      </c>
      <c r="O41" s="113" t="str">
        <f t="shared" si="23"/>
        <v>priority_num='1','2'</v>
      </c>
      <c r="R41" s="113"/>
      <c r="U41" s="113" t="str">
        <f t="shared" si="24"/>
        <v/>
      </c>
    </row>
    <row r="42" spans="1:21" x14ac:dyDescent="0.35">
      <c r="A42" t="s">
        <v>151</v>
      </c>
      <c r="B42" t="str">
        <f t="shared" si="4"/>
        <v>CELL18</v>
      </c>
      <c r="C42" t="s">
        <v>539</v>
      </c>
      <c r="D42" t="str">
        <f>_xlfn.CONCAT(B42,"_",C42)</f>
        <v>CELL18_BNZD</v>
      </c>
      <c r="E42" s="117" t="s">
        <v>535</v>
      </c>
      <c r="F42" s="112" t="str">
        <f t="shared" si="27"/>
        <v>club='390':index_key='30000000 and 50000000':priority_num='1','2'</v>
      </c>
      <c r="H42" s="113" t="str">
        <f>IF(VLOOKUP(SUBSTITUTE($A42,"Ctrl","Cell"),Sheet1!$C:$H,6,FALSE)=0,"",_xlfn.CONCAT("'",SUBSTITUTE(SUBSTITUTE(VLOOKUP(SUBSTITUTE($A42,"Ctrl","Cell"),Sheet1!$C:$H,6,FALSE),", ",","), ",","','"),"'"))</f>
        <v>'390'</v>
      </c>
      <c r="J42" s="114" t="s">
        <v>536</v>
      </c>
      <c r="K42" s="114" t="s">
        <v>540</v>
      </c>
      <c r="L42" s="113" t="str">
        <f t="shared" si="31"/>
        <v>index_key='30000000 and 50000000'</v>
      </c>
      <c r="M42" s="114" t="s">
        <v>538</v>
      </c>
      <c r="N42" s="114" t="s">
        <v>541</v>
      </c>
      <c r="O42" s="113" t="str">
        <f t="shared" si="23"/>
        <v>priority_num='1','2'</v>
      </c>
      <c r="R42" s="113"/>
      <c r="U42" s="113" t="str">
        <f t="shared" si="24"/>
        <v/>
      </c>
    </row>
    <row r="43" spans="1:21" x14ac:dyDescent="0.35">
      <c r="A43" t="s">
        <v>156</v>
      </c>
      <c r="B43" t="str">
        <f t="shared" si="4"/>
        <v>CELL19</v>
      </c>
      <c r="D43" t="str">
        <f>_xlfn.CONCAT(B43)</f>
        <v>CELL19</v>
      </c>
      <c r="E43" s="117" t="s">
        <v>535</v>
      </c>
      <c r="F43" s="112" t="str">
        <f t="shared" si="27"/>
        <v>club='225':index_key='0 and 30000000':priority_num='1'</v>
      </c>
      <c r="H43" s="113" t="str">
        <f>IF(VLOOKUP(SUBSTITUTE($A43,"Ctrl","Cell"),Sheet1!$C:$H,6,FALSE)=0,"",_xlfn.CONCAT("'",SUBSTITUTE(SUBSTITUTE(VLOOKUP(SUBSTITUTE($A43,"Ctrl","Cell"),Sheet1!$C:$H,6,FALSE),", ",","), ",","','"),"'"))</f>
        <v>'225'</v>
      </c>
      <c r="J43" s="114" t="s">
        <v>536</v>
      </c>
      <c r="K43" s="114" t="s">
        <v>537</v>
      </c>
      <c r="L43" s="113" t="str">
        <f t="shared" si="31"/>
        <v>index_key='0 and 30000000'</v>
      </c>
      <c r="M43" s="114" t="s">
        <v>538</v>
      </c>
      <c r="N43" s="114" t="s">
        <v>486</v>
      </c>
      <c r="O43" s="113" t="str">
        <f t="shared" si="23"/>
        <v>priority_num='1'</v>
      </c>
      <c r="R43" s="113"/>
      <c r="U43" s="113" t="str">
        <f t="shared" si="24"/>
        <v/>
      </c>
    </row>
    <row r="44" spans="1:21" x14ac:dyDescent="0.35">
      <c r="A44" t="s">
        <v>156</v>
      </c>
      <c r="B44" t="str">
        <f t="shared" si="4"/>
        <v>CELL19</v>
      </c>
      <c r="C44" t="s">
        <v>539</v>
      </c>
      <c r="D44" t="str">
        <f>_xlfn.CONCAT(B44,"_",C44)</f>
        <v>CELL19_BNZD</v>
      </c>
      <c r="E44" s="117" t="s">
        <v>535</v>
      </c>
      <c r="F44" s="112" t="str">
        <f t="shared" si="27"/>
        <v>club='225':index_key='30000000 and 50000000':priority_num='1'</v>
      </c>
      <c r="H44" s="113" t="str">
        <f>IF(VLOOKUP(SUBSTITUTE($A44,"Ctrl","Cell"),Sheet1!$C:$H,6,FALSE)=0,"",_xlfn.CONCAT("'",SUBSTITUTE(SUBSTITUTE(VLOOKUP(SUBSTITUTE($A44,"Ctrl","Cell"),Sheet1!$C:$H,6,FALSE),", ",","), ",","','"),"'"))</f>
        <v>'225'</v>
      </c>
      <c r="J44" s="114" t="s">
        <v>536</v>
      </c>
      <c r="K44" s="114" t="s">
        <v>540</v>
      </c>
      <c r="L44" s="113" t="str">
        <f t="shared" si="31"/>
        <v>index_key='30000000 and 50000000'</v>
      </c>
      <c r="M44" s="114" t="s">
        <v>538</v>
      </c>
      <c r="N44" s="114" t="s">
        <v>486</v>
      </c>
      <c r="O44" s="113" t="str">
        <f t="shared" si="23"/>
        <v>priority_num='1'</v>
      </c>
      <c r="R44" s="113"/>
      <c r="U44" s="113" t="str">
        <f t="shared" si="24"/>
        <v/>
      </c>
    </row>
    <row r="45" spans="1:21" x14ac:dyDescent="0.35">
      <c r="A45" t="s">
        <v>161</v>
      </c>
      <c r="B45" t="str">
        <f t="shared" si="4"/>
        <v>CELL20</v>
      </c>
      <c r="D45" t="str">
        <f>_xlfn.CONCAT(B45)</f>
        <v>CELL20</v>
      </c>
      <c r="E45" s="117" t="s">
        <v>535</v>
      </c>
      <c r="F45" s="112" t="str">
        <f t="shared" si="27"/>
        <v>club='224':index_key='0 and 30000000':priority_num='1'</v>
      </c>
      <c r="H45" s="113" t="str">
        <f>IF(VLOOKUP(SUBSTITUTE($A45,"Ctrl","Cell"),Sheet1!$C:$H,6,FALSE)=0,"",_xlfn.CONCAT("'",SUBSTITUTE(SUBSTITUTE(VLOOKUP(SUBSTITUTE($A45,"Ctrl","Cell"),Sheet1!$C:$H,6,FALSE),", ",","), ",","','"),"'"))</f>
        <v>'224'</v>
      </c>
      <c r="J45" s="114" t="s">
        <v>536</v>
      </c>
      <c r="K45" s="114" t="s">
        <v>537</v>
      </c>
      <c r="L45" s="113" t="str">
        <f t="shared" si="31"/>
        <v>index_key='0 and 30000000'</v>
      </c>
      <c r="M45" s="114" t="s">
        <v>538</v>
      </c>
      <c r="N45" s="114" t="s">
        <v>486</v>
      </c>
      <c r="O45" s="113" t="str">
        <f t="shared" si="23"/>
        <v>priority_num='1'</v>
      </c>
      <c r="R45" s="113"/>
      <c r="U45" s="113" t="str">
        <f t="shared" si="24"/>
        <v/>
      </c>
    </row>
    <row r="46" spans="1:21" x14ac:dyDescent="0.35">
      <c r="A46" t="s">
        <v>161</v>
      </c>
      <c r="B46" t="str">
        <f t="shared" si="4"/>
        <v>CELL20</v>
      </c>
      <c r="C46" t="s">
        <v>539</v>
      </c>
      <c r="D46" t="str">
        <f>_xlfn.CONCAT(B46,"_",C46)</f>
        <v>CELL20_BNZD</v>
      </c>
      <c r="E46" s="117" t="s">
        <v>535</v>
      </c>
      <c r="F46" s="112" t="str">
        <f t="shared" si="27"/>
        <v>club='224':index_key='30000000 and 50000000':priority_num='1'</v>
      </c>
      <c r="H46" s="113" t="str">
        <f>IF(VLOOKUP(SUBSTITUTE($A46,"Ctrl","Cell"),Sheet1!$C:$H,6,FALSE)=0,"",_xlfn.CONCAT("'",SUBSTITUTE(SUBSTITUTE(VLOOKUP(SUBSTITUTE($A46,"Ctrl","Cell"),Sheet1!$C:$H,6,FALSE),", ",","), ",","','"),"'"))</f>
        <v>'224'</v>
      </c>
      <c r="J46" s="114" t="s">
        <v>536</v>
      </c>
      <c r="K46" s="114" t="s">
        <v>540</v>
      </c>
      <c r="L46" s="113" t="str">
        <f t="shared" si="31"/>
        <v>index_key='30000000 and 50000000'</v>
      </c>
      <c r="M46" s="114" t="s">
        <v>538</v>
      </c>
      <c r="N46" s="114" t="s">
        <v>486</v>
      </c>
      <c r="O46" s="113" t="str">
        <f t="shared" si="23"/>
        <v>priority_num='1'</v>
      </c>
      <c r="R46" s="113"/>
      <c r="U46" s="113" t="str">
        <f t="shared" si="24"/>
        <v/>
      </c>
    </row>
    <row r="47" spans="1:21" x14ac:dyDescent="0.35">
      <c r="A47" t="s">
        <v>166</v>
      </c>
      <c r="B47" t="str">
        <f t="shared" si="4"/>
        <v>CELL21</v>
      </c>
      <c r="D47" t="str">
        <f>_xlfn.CONCAT(B47)</f>
        <v>CELL21</v>
      </c>
      <c r="E47" s="117" t="s">
        <v>542</v>
      </c>
      <c r="F47" s="112" t="str">
        <f t="shared" si="27"/>
        <v>club='224':index_key='0 and 30000000':priority_num='1':bjs_cell='CELL20'</v>
      </c>
      <c r="H47" s="113" t="str">
        <f>IF(VLOOKUP(SUBSTITUTE($A47,"Ctrl","Cell"),Sheet1!$C:$H,6,FALSE)=0,"",_xlfn.CONCAT("'",SUBSTITUTE(SUBSTITUTE(VLOOKUP(SUBSTITUTE($A47,"Ctrl","Cell"),Sheet1!$C:$H,6,FALSE),", ",","), ",","','"),"'"))</f>
        <v>'224'</v>
      </c>
      <c r="J47" s="114" t="s">
        <v>536</v>
      </c>
      <c r="K47" s="114" t="s">
        <v>537</v>
      </c>
      <c r="L47" s="113" t="str">
        <f t="shared" si="31"/>
        <v>index_key='0 and 30000000'</v>
      </c>
      <c r="M47" s="114" t="s">
        <v>538</v>
      </c>
      <c r="N47" s="114" t="s">
        <v>486</v>
      </c>
      <c r="O47" s="113" t="str">
        <f t="shared" si="23"/>
        <v>priority_num='1'</v>
      </c>
      <c r="P47" t="s">
        <v>505</v>
      </c>
      <c r="Q47" s="113" t="s">
        <v>543</v>
      </c>
      <c r="R47" s="113" t="str">
        <f>IF(P47&lt;&gt;"",IF(Q47="null",CONCATENATE(P47,"=",Q47),CONCATENATE(P47,"='",Q47)),"")</f>
        <v>bjs_cell='CELL20'</v>
      </c>
      <c r="U47" s="113" t="str">
        <f t="shared" si="24"/>
        <v/>
      </c>
    </row>
    <row r="48" spans="1:21" x14ac:dyDescent="0.35">
      <c r="A48" t="s">
        <v>166</v>
      </c>
      <c r="B48" t="str">
        <f t="shared" si="4"/>
        <v>CELL21</v>
      </c>
      <c r="C48" t="s">
        <v>539</v>
      </c>
      <c r="D48" t="str">
        <f>_xlfn.CONCAT(B48,"_",C48)</f>
        <v>CELL21_BNZD</v>
      </c>
      <c r="E48" s="117" t="s">
        <v>542</v>
      </c>
      <c r="F48" s="112" t="str">
        <f t="shared" si="27"/>
        <v>club='224':index_key='30000000 and 50000000':priority_num='1':bjs_cell='CELL20_BNZD'</v>
      </c>
      <c r="H48" s="113" t="str">
        <f>IF(VLOOKUP(SUBSTITUTE($A48,"Ctrl","Cell"),Sheet1!$C:$H,6,FALSE)=0,"",_xlfn.CONCAT("'",SUBSTITUTE(SUBSTITUTE(VLOOKUP(SUBSTITUTE($A48,"Ctrl","Cell"),Sheet1!$C:$H,6,FALSE),", ",","), ",","','"),"'"))</f>
        <v>'224'</v>
      </c>
      <c r="J48" s="114" t="s">
        <v>536</v>
      </c>
      <c r="K48" s="114" t="s">
        <v>540</v>
      </c>
      <c r="L48" s="113" t="str">
        <f t="shared" si="31"/>
        <v>index_key='30000000 and 50000000'</v>
      </c>
      <c r="M48" s="114" t="s">
        <v>538</v>
      </c>
      <c r="N48" s="114" t="s">
        <v>486</v>
      </c>
      <c r="O48" s="113" t="str">
        <f t="shared" si="23"/>
        <v>priority_num='1'</v>
      </c>
      <c r="P48" t="s">
        <v>505</v>
      </c>
      <c r="Q48" s="113" t="s">
        <v>544</v>
      </c>
      <c r="R48" s="113" t="str">
        <f>IF(P48&lt;&gt;"",IF(Q48="null",CONCATENATE(P48,"=",Q48),CONCATENATE(P48,"='",Q48)),"")</f>
        <v>bjs_cell='CELL20_BNZD'</v>
      </c>
      <c r="U48" s="113" t="str">
        <f t="shared" si="24"/>
        <v/>
      </c>
    </row>
    <row r="49" spans="1:21" x14ac:dyDescent="0.35">
      <c r="A49" t="s">
        <v>422</v>
      </c>
      <c r="B49" t="str">
        <f t="shared" si="4"/>
        <v>CELL22</v>
      </c>
      <c r="D49" t="str">
        <f>_xlfn.CONCAT(B49)</f>
        <v>CELL22</v>
      </c>
      <c r="E49" s="117" t="s">
        <v>535</v>
      </c>
      <c r="F49" s="112" t="str">
        <f t="shared" si="27"/>
        <v>club='392':index_key='0 and 30000000':priority_num='1'</v>
      </c>
      <c r="H49" s="113" t="str">
        <f>IF(VLOOKUP(SUBSTITUTE($A49,"Ctrl","Cell"),Sheet1!$C:$H,6,FALSE)=0,"",_xlfn.CONCAT("'",SUBSTITUTE(SUBSTITUTE(VLOOKUP(SUBSTITUTE($A49,"Ctrl","Cell"),Sheet1!$C:$H,6,FALSE),", ",","), ",","','"),"'"))</f>
        <v>'392'</v>
      </c>
      <c r="J49" s="114" t="s">
        <v>536</v>
      </c>
      <c r="K49" s="114" t="s">
        <v>537</v>
      </c>
      <c r="L49" s="113" t="str">
        <f t="shared" si="31"/>
        <v>index_key='0 and 30000000'</v>
      </c>
      <c r="M49" s="114" t="s">
        <v>538</v>
      </c>
      <c r="N49" s="114" t="s">
        <v>486</v>
      </c>
      <c r="O49" s="113" t="str">
        <f t="shared" si="23"/>
        <v>priority_num='1'</v>
      </c>
      <c r="Q49" s="113"/>
      <c r="R49" s="113"/>
      <c r="U49" s="113" t="str">
        <f t="shared" si="24"/>
        <v/>
      </c>
    </row>
    <row r="50" spans="1:21" x14ac:dyDescent="0.35">
      <c r="A50" t="s">
        <v>422</v>
      </c>
      <c r="B50" t="str">
        <f t="shared" si="4"/>
        <v>CELL22</v>
      </c>
      <c r="C50" t="s">
        <v>539</v>
      </c>
      <c r="D50" t="str">
        <f>_xlfn.CONCAT(B50,"_",C50)</f>
        <v>CELL22_BNZD</v>
      </c>
      <c r="E50" s="117" t="s">
        <v>535</v>
      </c>
      <c r="F50" s="112" t="str">
        <f t="shared" si="27"/>
        <v>club='392':index_key='30000000 and 50000000':priority_num='1'</v>
      </c>
      <c r="H50" s="113" t="str">
        <f>IF(VLOOKUP(SUBSTITUTE($A50,"Ctrl","Cell"),Sheet1!$C:$H,6,FALSE)=0,"",_xlfn.CONCAT("'",SUBSTITUTE(SUBSTITUTE(VLOOKUP(SUBSTITUTE($A50,"Ctrl","Cell"),Sheet1!$C:$H,6,FALSE),", ",","), ",","','"),"'"))</f>
        <v>'392'</v>
      </c>
      <c r="J50" s="114" t="s">
        <v>536</v>
      </c>
      <c r="K50" s="114" t="s">
        <v>540</v>
      </c>
      <c r="L50" s="113" t="str">
        <f t="shared" si="31"/>
        <v>index_key='30000000 and 50000000'</v>
      </c>
      <c r="M50" s="114" t="s">
        <v>538</v>
      </c>
      <c r="N50" s="114" t="s">
        <v>486</v>
      </c>
      <c r="O50" s="113" t="str">
        <f t="shared" si="23"/>
        <v>priority_num='1'</v>
      </c>
      <c r="Q50" s="113"/>
      <c r="R50" s="113"/>
      <c r="U50" s="113" t="str">
        <f t="shared" si="24"/>
        <v/>
      </c>
    </row>
    <row r="51" spans="1:21" x14ac:dyDescent="0.35">
      <c r="A51" t="s">
        <v>424</v>
      </c>
      <c r="B51" t="str">
        <f t="shared" si="4"/>
        <v>CELL23</v>
      </c>
      <c r="D51" t="str">
        <f>_xlfn.CONCAT(B51)</f>
        <v>CELL23</v>
      </c>
      <c r="E51" s="117" t="s">
        <v>535</v>
      </c>
      <c r="F51" s="112" t="str">
        <f t="shared" si="27"/>
        <v>club='395':index_key='0 and 30000000':priority_num='1'</v>
      </c>
      <c r="H51" s="113" t="str">
        <f>IF(VLOOKUP(SUBSTITUTE($A51,"Ctrl","Cell"),Sheet1!$C:$H,6,FALSE)=0,"",_xlfn.CONCAT("'",SUBSTITUTE(SUBSTITUTE(VLOOKUP(SUBSTITUTE($A51,"Ctrl","Cell"),Sheet1!$C:$H,6,FALSE),", ",","), ",","','"),"'"))</f>
        <v>'395'</v>
      </c>
      <c r="J51" s="114" t="s">
        <v>536</v>
      </c>
      <c r="K51" s="114" t="s">
        <v>537</v>
      </c>
      <c r="L51" s="113" t="str">
        <f t="shared" si="31"/>
        <v>index_key='0 and 30000000'</v>
      </c>
      <c r="M51" s="114" t="s">
        <v>538</v>
      </c>
      <c r="N51" s="114" t="s">
        <v>486</v>
      </c>
      <c r="O51" s="113" t="str">
        <f t="shared" si="23"/>
        <v>priority_num='1'</v>
      </c>
      <c r="R51" s="113"/>
      <c r="U51" s="113" t="str">
        <f t="shared" si="24"/>
        <v/>
      </c>
    </row>
    <row r="52" spans="1:21" x14ac:dyDescent="0.35">
      <c r="A52" t="s">
        <v>424</v>
      </c>
      <c r="B52" t="str">
        <f t="shared" si="4"/>
        <v>CELL23</v>
      </c>
      <c r="C52" t="s">
        <v>539</v>
      </c>
      <c r="D52" t="str">
        <f>_xlfn.CONCAT(B52,"_",C52)</f>
        <v>CELL23_BNZD</v>
      </c>
      <c r="E52" s="117" t="s">
        <v>535</v>
      </c>
      <c r="F52" s="112" t="str">
        <f t="shared" si="27"/>
        <v>club='395':index_key='30000000 and 50000000':priority_num='1'</v>
      </c>
      <c r="H52" s="113" t="str">
        <f>IF(VLOOKUP(SUBSTITUTE($A52,"Ctrl","Cell"),Sheet1!$C:$H,6,FALSE)=0,"",_xlfn.CONCAT("'",SUBSTITUTE(SUBSTITUTE(VLOOKUP(SUBSTITUTE($A52,"Ctrl","Cell"),Sheet1!$C:$H,6,FALSE),", ",","), ",","','"),"'"))</f>
        <v>'395'</v>
      </c>
      <c r="J52" s="114" t="s">
        <v>536</v>
      </c>
      <c r="K52" s="114" t="s">
        <v>540</v>
      </c>
      <c r="L52" s="113" t="str">
        <f t="shared" si="31"/>
        <v>index_key='30000000 and 50000000'</v>
      </c>
      <c r="M52" s="114" t="s">
        <v>538</v>
      </c>
      <c r="N52" s="114" t="s">
        <v>486</v>
      </c>
      <c r="O52" s="113" t="str">
        <f t="shared" si="23"/>
        <v>priority_num='1'</v>
      </c>
      <c r="R52" s="113"/>
      <c r="U52" s="113" t="str">
        <f t="shared" si="24"/>
        <v/>
      </c>
    </row>
    <row r="53" spans="1:21" x14ac:dyDescent="0.35">
      <c r="A53" t="s">
        <v>426</v>
      </c>
      <c r="B53" t="str">
        <f t="shared" si="4"/>
        <v>CELL24</v>
      </c>
      <c r="D53" t="str">
        <f>_xlfn.CONCAT(B53)</f>
        <v>CELL24</v>
      </c>
      <c r="E53" s="117" t="s">
        <v>535</v>
      </c>
      <c r="F53" s="169" t="str">
        <f t="shared" si="27"/>
        <v>club='391':index_key='0 and 30000000':priority_num='1','2'</v>
      </c>
      <c r="H53" s="113" t="str">
        <f>IF(VLOOKUP(SUBSTITUTE($A53,"Ctrl","Cell"),Sheet1!$C:$H,6,FALSE)=0,"",_xlfn.CONCAT("'",SUBSTITUTE(SUBSTITUTE(VLOOKUP(SUBSTITUTE($A53,"Ctrl","Cell"),Sheet1!$C:$H,6,FALSE),", ",","), ",","','"),"'"))</f>
        <v>'391'</v>
      </c>
      <c r="J53" s="114" t="s">
        <v>536</v>
      </c>
      <c r="K53" s="114" t="s">
        <v>537</v>
      </c>
      <c r="L53" s="113" t="str">
        <f t="shared" si="31"/>
        <v>index_key='0 and 30000000'</v>
      </c>
      <c r="M53" s="114" t="s">
        <v>538</v>
      </c>
      <c r="N53" s="114" t="s">
        <v>541</v>
      </c>
      <c r="O53" s="113" t="str">
        <f t="shared" si="23"/>
        <v>priority_num='1','2'</v>
      </c>
      <c r="Q53" s="113"/>
      <c r="R53" s="113"/>
      <c r="U53" s="113" t="str">
        <f t="shared" ref="U53:U58" si="32">IF(S53&lt;&gt;"",IF(T53="null",CONCATENATE(S53,"=",T53),CONCATENATE(S53,"='",T53)),"")</f>
        <v/>
      </c>
    </row>
    <row r="54" spans="1:21" x14ac:dyDescent="0.35">
      <c r="A54" t="s">
        <v>426</v>
      </c>
      <c r="B54" t="str">
        <f t="shared" si="4"/>
        <v>CELL24</v>
      </c>
      <c r="C54" t="s">
        <v>539</v>
      </c>
      <c r="D54" t="str">
        <f>_xlfn.CONCAT(B54,"_",C54)</f>
        <v>CELL24_BNZD</v>
      </c>
      <c r="E54" s="117" t="s">
        <v>535</v>
      </c>
      <c r="F54" s="169" t="str">
        <f t="shared" si="27"/>
        <v>club='391':index_key='30000000 and 50000000':priority_num='1','2'</v>
      </c>
      <c r="H54" s="113" t="str">
        <f>IF(VLOOKUP(SUBSTITUTE($A54,"Ctrl","Cell"),Sheet1!$C:$H,6,FALSE)=0,"",_xlfn.CONCAT("'",SUBSTITUTE(SUBSTITUTE(VLOOKUP(SUBSTITUTE($A54,"Ctrl","Cell"),Sheet1!$C:$H,6,FALSE),", ",","), ",","','"),"'"))</f>
        <v>'391'</v>
      </c>
      <c r="J54" s="114" t="s">
        <v>536</v>
      </c>
      <c r="K54" s="114" t="s">
        <v>540</v>
      </c>
      <c r="L54" s="113" t="str">
        <f t="shared" si="31"/>
        <v>index_key='30000000 and 50000000'</v>
      </c>
      <c r="M54" s="114" t="s">
        <v>538</v>
      </c>
      <c r="N54" s="114" t="s">
        <v>541</v>
      </c>
      <c r="O54" s="113" t="str">
        <f t="shared" si="23"/>
        <v>priority_num='1','2'</v>
      </c>
      <c r="Q54" s="113"/>
      <c r="R54" s="113"/>
      <c r="U54" s="113" t="str">
        <f t="shared" si="32"/>
        <v/>
      </c>
    </row>
    <row r="55" spans="1:21" x14ac:dyDescent="0.35">
      <c r="A55" t="s">
        <v>428</v>
      </c>
      <c r="B55" t="str">
        <f t="shared" si="4"/>
        <v>CELL25</v>
      </c>
      <c r="D55" t="str">
        <f>_xlfn.CONCAT(B55)</f>
        <v>CELL25</v>
      </c>
      <c r="E55" s="117" t="s">
        <v>542</v>
      </c>
      <c r="F55" s="112" t="str">
        <f t="shared" si="27"/>
        <v>club='391':index_key='0 and 30000000':priority_num='1':bjs_cell='CELL24'</v>
      </c>
      <c r="H55" s="113" t="str">
        <f>IF(VLOOKUP(SUBSTITUTE($A55,"Ctrl","Cell"),Sheet1!$C:$H,6,FALSE)=0,"",_xlfn.CONCAT("'",SUBSTITUTE(SUBSTITUTE(VLOOKUP(SUBSTITUTE($A55,"Ctrl","Cell"),Sheet1!$C:$H,6,FALSE),", ",","), ",","','"),"'"))</f>
        <v>'391'</v>
      </c>
      <c r="J55" s="114" t="s">
        <v>536</v>
      </c>
      <c r="K55" s="114" t="s">
        <v>537</v>
      </c>
      <c r="L55" s="113" t="str">
        <f t="shared" si="31"/>
        <v>index_key='0 and 30000000'</v>
      </c>
      <c r="M55" s="114" t="s">
        <v>538</v>
      </c>
      <c r="N55" s="114" t="s">
        <v>486</v>
      </c>
      <c r="O55" s="113" t="str">
        <f t="shared" si="23"/>
        <v>priority_num='1'</v>
      </c>
      <c r="P55" t="s">
        <v>505</v>
      </c>
      <c r="Q55" s="113" t="s">
        <v>545</v>
      </c>
      <c r="R55" s="113" t="str">
        <f>IF(P55&lt;&gt;"",IF(Q55="null",CONCATENATE(P55,"=",Q55),CONCATENATE(P55,"='",Q55)),"")</f>
        <v>bjs_cell='CELL24'</v>
      </c>
      <c r="U55" s="113" t="str">
        <f t="shared" si="32"/>
        <v/>
      </c>
    </row>
    <row r="56" spans="1:21" x14ac:dyDescent="0.35">
      <c r="A56" t="s">
        <v>428</v>
      </c>
      <c r="B56" t="str">
        <f t="shared" si="4"/>
        <v>CELL25</v>
      </c>
      <c r="C56" t="s">
        <v>539</v>
      </c>
      <c r="D56" t="str">
        <f>_xlfn.CONCAT(B56,"_",C56)</f>
        <v>CELL25_BNZD</v>
      </c>
      <c r="E56" s="117" t="s">
        <v>542</v>
      </c>
      <c r="F56" s="112" t="str">
        <f t="shared" si="27"/>
        <v>club='391':index_key='30000000 and 50000000':priority_num='1':bjs_cell='CELL24_BNZD'</v>
      </c>
      <c r="H56" s="113" t="str">
        <f>IF(VLOOKUP(SUBSTITUTE($A56,"Ctrl","Cell"),Sheet1!$C:$H,6,FALSE)=0,"",_xlfn.CONCAT("'",SUBSTITUTE(SUBSTITUTE(VLOOKUP(SUBSTITUTE($A56,"Ctrl","Cell"),Sheet1!$C:$H,6,FALSE),", ",","), ",","','"),"'"))</f>
        <v>'391'</v>
      </c>
      <c r="J56" s="114" t="s">
        <v>536</v>
      </c>
      <c r="K56" s="114" t="s">
        <v>540</v>
      </c>
      <c r="L56" s="113" t="str">
        <f t="shared" si="31"/>
        <v>index_key='30000000 and 50000000'</v>
      </c>
      <c r="M56" s="114" t="s">
        <v>538</v>
      </c>
      <c r="N56" s="114" t="s">
        <v>486</v>
      </c>
      <c r="O56" s="113" t="str">
        <f t="shared" si="23"/>
        <v>priority_num='1'</v>
      </c>
      <c r="P56" t="s">
        <v>505</v>
      </c>
      <c r="Q56" s="113" t="s">
        <v>546</v>
      </c>
      <c r="R56" s="113" t="str">
        <f>IF(P56&lt;&gt;"",IF(Q56="null",CONCATENATE(P56,"=",Q56),CONCATENATE(P56,"='",Q56)),"")</f>
        <v>bjs_cell='CELL24_BNZD'</v>
      </c>
      <c r="U56" s="113" t="str">
        <f t="shared" si="32"/>
        <v/>
      </c>
    </row>
    <row r="57" spans="1:21" x14ac:dyDescent="0.35">
      <c r="A57" t="s">
        <v>429</v>
      </c>
      <c r="B57" t="str">
        <f t="shared" si="4"/>
        <v>CELL26</v>
      </c>
      <c r="D57" t="str">
        <f>_xlfn.CONCAT(B57)</f>
        <v>CELL26</v>
      </c>
      <c r="E57" s="117" t="s">
        <v>535</v>
      </c>
      <c r="F57" s="112" t="str">
        <f t="shared" si="27"/>
        <v>club='222':index_key='0 and 30000000':priority_num='1'</v>
      </c>
      <c r="H57" s="113" t="str">
        <f>IF(VLOOKUP(SUBSTITUTE($A57,"Ctrl","Cell"),Sheet1!$C:$H,6,FALSE)=0,"",_xlfn.CONCAT("'",SUBSTITUTE(SUBSTITUTE(VLOOKUP(SUBSTITUTE($A57,"Ctrl","Cell"),Sheet1!$C:$H,6,FALSE),", ",","), ",","','"),"'"))</f>
        <v>'222'</v>
      </c>
      <c r="J57" s="114" t="s">
        <v>536</v>
      </c>
      <c r="K57" s="114" t="s">
        <v>537</v>
      </c>
      <c r="L57" s="113" t="str">
        <f t="shared" si="31"/>
        <v>index_key='0 and 30000000'</v>
      </c>
      <c r="M57" s="114" t="s">
        <v>538</v>
      </c>
      <c r="N57" s="114" t="s">
        <v>486</v>
      </c>
      <c r="O57" s="113" t="str">
        <f t="shared" si="23"/>
        <v>priority_num='1'</v>
      </c>
      <c r="R57" s="113"/>
      <c r="U57" s="113" t="str">
        <f t="shared" si="32"/>
        <v/>
      </c>
    </row>
    <row r="58" spans="1:21" x14ac:dyDescent="0.35">
      <c r="A58" t="s">
        <v>429</v>
      </c>
      <c r="B58" t="str">
        <f t="shared" si="4"/>
        <v>CELL26</v>
      </c>
      <c r="C58" t="s">
        <v>539</v>
      </c>
      <c r="D58" t="str">
        <f t="shared" ref="D58:D66" si="33">_xlfn.CONCAT(B58,"_",C58)</f>
        <v>CELL26_BNZD</v>
      </c>
      <c r="E58" s="117" t="s">
        <v>535</v>
      </c>
      <c r="F58" s="112" t="str">
        <f t="shared" si="27"/>
        <v>club='222':index_key='30000000 and 50000000':priority_num='1'</v>
      </c>
      <c r="H58" s="113" t="str">
        <f>IF(VLOOKUP(SUBSTITUTE($A58,"Ctrl","Cell"),Sheet1!$C:$H,6,FALSE)=0,"",_xlfn.CONCAT("'",SUBSTITUTE(SUBSTITUTE(VLOOKUP(SUBSTITUTE($A58,"Ctrl","Cell"),Sheet1!$C:$H,6,FALSE),", ",","), ",","','"),"'"))</f>
        <v>'222'</v>
      </c>
      <c r="J58" s="114" t="s">
        <v>536</v>
      </c>
      <c r="K58" s="114" t="s">
        <v>540</v>
      </c>
      <c r="L58" s="113" t="str">
        <f t="shared" si="31"/>
        <v>index_key='30000000 and 50000000'</v>
      </c>
      <c r="M58" s="114" t="s">
        <v>538</v>
      </c>
      <c r="N58" s="114" t="s">
        <v>486</v>
      </c>
      <c r="O58" s="113" t="str">
        <f t="shared" si="23"/>
        <v>priority_num='1'</v>
      </c>
      <c r="R58" s="113"/>
      <c r="U58" s="113" t="str">
        <f t="shared" si="32"/>
        <v/>
      </c>
    </row>
    <row r="59" spans="1:21" x14ac:dyDescent="0.35">
      <c r="A59" t="s">
        <v>431</v>
      </c>
      <c r="B59" t="str">
        <f t="shared" ref="B59:B66" si="34">IF(LEN(A59)&gt;6,SUBSTITUTE(UPPER(A59)," ",""),SUBSTITUTE(UPPER(A59), " ", "0"))</f>
        <v>CELL27</v>
      </c>
      <c r="D59" t="str">
        <f>_xlfn.CONCAT(B59)</f>
        <v>CELL27</v>
      </c>
      <c r="E59" s="117" t="s">
        <v>535</v>
      </c>
      <c r="F59" s="112" t="str">
        <f t="shared" si="27"/>
        <v>club='235':index_key='0 and 30000000':priority_num='1','2'</v>
      </c>
      <c r="H59" s="113" t="str">
        <f>IF(VLOOKUP(SUBSTITUTE($A59,"Ctrl","Cell"),Sheet1!$C:$H,6,FALSE)=0,"",_xlfn.CONCAT("'",SUBSTITUTE(SUBSTITUTE(VLOOKUP(SUBSTITUTE($A59,"Ctrl","Cell"),Sheet1!$C:$H,6,FALSE),", ",","), ",","','"),"'"))</f>
        <v>'235'</v>
      </c>
      <c r="J59" s="114" t="s">
        <v>536</v>
      </c>
      <c r="K59" s="114" t="s">
        <v>537</v>
      </c>
      <c r="L59" s="113" t="str">
        <f t="shared" ref="L59:L66" si="35">IF(J59&lt;&gt;"",IF(K59="null",CONCATENATE(J59,"=",K59),CONCATENATE(J59,"='",K59)),"")</f>
        <v>index_key='0 and 30000000'</v>
      </c>
      <c r="M59" s="114" t="s">
        <v>538</v>
      </c>
      <c r="N59" s="114" t="s">
        <v>541</v>
      </c>
      <c r="O59" s="113" t="str">
        <f t="shared" ref="O59:O66" si="36">IF(M59&lt;&gt;"",IF(N59="null",CONCATENATE(M59,"=",N59),CONCATENATE(M59,"='",N59)),"")</f>
        <v>priority_num='1','2'</v>
      </c>
      <c r="R59" s="113"/>
      <c r="U59" s="113" t="str">
        <f t="shared" ref="U59:U66" si="37">IF(S59&lt;&gt;"",IF(T59="null",CONCATENATE(S59,"=",T59),CONCATENATE(S59,"='",T59)),"")</f>
        <v/>
      </c>
    </row>
    <row r="60" spans="1:21" x14ac:dyDescent="0.35">
      <c r="A60" t="s">
        <v>431</v>
      </c>
      <c r="B60" t="str">
        <f t="shared" si="34"/>
        <v>CELL27</v>
      </c>
      <c r="C60" t="s">
        <v>539</v>
      </c>
      <c r="D60" t="str">
        <f t="shared" si="33"/>
        <v>CELL27_BNZD</v>
      </c>
      <c r="E60" s="117" t="s">
        <v>535</v>
      </c>
      <c r="F60" s="112" t="str">
        <f t="shared" si="27"/>
        <v>club='235':index_key='30000000 and 50000000':priority_num='1','2'</v>
      </c>
      <c r="H60" s="113" t="str">
        <f>IF(VLOOKUP(SUBSTITUTE($A60,"Ctrl","Cell"),Sheet1!$C:$H,6,FALSE)=0,"",_xlfn.CONCAT("'",SUBSTITUTE(SUBSTITUTE(VLOOKUP(SUBSTITUTE($A60,"Ctrl","Cell"),Sheet1!$C:$H,6,FALSE),", ",","), ",","','"),"'"))</f>
        <v>'235'</v>
      </c>
      <c r="J60" s="114" t="s">
        <v>536</v>
      </c>
      <c r="K60" s="114" t="s">
        <v>540</v>
      </c>
      <c r="L60" s="113" t="str">
        <f t="shared" si="35"/>
        <v>index_key='30000000 and 50000000'</v>
      </c>
      <c r="M60" s="114" t="s">
        <v>538</v>
      </c>
      <c r="N60" s="114" t="s">
        <v>541</v>
      </c>
      <c r="O60" s="113" t="str">
        <f t="shared" si="36"/>
        <v>priority_num='1','2'</v>
      </c>
      <c r="R60" s="113"/>
      <c r="U60" s="113" t="str">
        <f t="shared" si="37"/>
        <v/>
      </c>
    </row>
    <row r="61" spans="1:21" x14ac:dyDescent="0.35">
      <c r="A61" t="s">
        <v>433</v>
      </c>
      <c r="B61" t="str">
        <f t="shared" si="34"/>
        <v>CELL28</v>
      </c>
      <c r="D61" t="str">
        <f>_xlfn.CONCAT(B61)</f>
        <v>CELL28</v>
      </c>
      <c r="E61" s="117" t="s">
        <v>535</v>
      </c>
      <c r="F61" s="112" t="str">
        <f t="shared" si="27"/>
        <v>club='226':index_key='0 and 30000000':priority_num='1','2'</v>
      </c>
      <c r="H61" s="113" t="str">
        <f>IF(VLOOKUP(SUBSTITUTE($A61,"Ctrl","Cell"),Sheet1!$C:$H,6,FALSE)=0,"",_xlfn.CONCAT("'",SUBSTITUTE(SUBSTITUTE(VLOOKUP(SUBSTITUTE($A61,"Ctrl","Cell"),Sheet1!$C:$H,6,FALSE),", ",","), ",","','"),"'"))</f>
        <v>'226'</v>
      </c>
      <c r="J61" s="114" t="s">
        <v>536</v>
      </c>
      <c r="K61" s="114" t="s">
        <v>537</v>
      </c>
      <c r="L61" s="113" t="str">
        <f t="shared" si="35"/>
        <v>index_key='0 and 30000000'</v>
      </c>
      <c r="M61" s="114" t="s">
        <v>538</v>
      </c>
      <c r="N61" s="114" t="s">
        <v>541</v>
      </c>
      <c r="O61" s="113" t="str">
        <f t="shared" si="36"/>
        <v>priority_num='1','2'</v>
      </c>
      <c r="R61" s="113"/>
      <c r="U61" s="113" t="str">
        <f t="shared" si="37"/>
        <v/>
      </c>
    </row>
    <row r="62" spans="1:21" x14ac:dyDescent="0.35">
      <c r="A62" t="s">
        <v>433</v>
      </c>
      <c r="B62" t="str">
        <f t="shared" si="34"/>
        <v>CELL28</v>
      </c>
      <c r="C62" t="s">
        <v>539</v>
      </c>
      <c r="D62" t="str">
        <f t="shared" si="33"/>
        <v>CELL28_BNZD</v>
      </c>
      <c r="E62" s="117" t="s">
        <v>535</v>
      </c>
      <c r="F62" s="112" t="str">
        <f t="shared" si="27"/>
        <v>club='226':index_key='30000000 and 50000000':priority_num='1','2'</v>
      </c>
      <c r="H62" s="113" t="str">
        <f>IF(VLOOKUP(SUBSTITUTE($A62,"Ctrl","Cell"),Sheet1!$C:$H,6,FALSE)=0,"",_xlfn.CONCAT("'",SUBSTITUTE(SUBSTITUTE(VLOOKUP(SUBSTITUTE($A62,"Ctrl","Cell"),Sheet1!$C:$H,6,FALSE),", ",","), ",","','"),"'"))</f>
        <v>'226'</v>
      </c>
      <c r="J62" s="114" t="s">
        <v>536</v>
      </c>
      <c r="K62" s="114" t="s">
        <v>540</v>
      </c>
      <c r="L62" s="113" t="str">
        <f t="shared" si="35"/>
        <v>index_key='30000000 and 50000000'</v>
      </c>
      <c r="M62" s="114" t="s">
        <v>538</v>
      </c>
      <c r="N62" s="114" t="s">
        <v>541</v>
      </c>
      <c r="O62" s="113" t="str">
        <f t="shared" si="36"/>
        <v>priority_num='1','2'</v>
      </c>
      <c r="R62" s="113"/>
      <c r="U62" s="113" t="str">
        <f t="shared" si="37"/>
        <v/>
      </c>
    </row>
    <row r="63" spans="1:21" x14ac:dyDescent="0.35">
      <c r="A63" t="s">
        <v>435</v>
      </c>
      <c r="B63" t="str">
        <f t="shared" si="34"/>
        <v>CELL29</v>
      </c>
      <c r="D63" t="str">
        <f>_xlfn.CONCAT(B63)</f>
        <v>CELL29</v>
      </c>
      <c r="E63" s="117" t="s">
        <v>542</v>
      </c>
      <c r="F63" s="112" t="str">
        <f t="shared" si="27"/>
        <v>club='226':index_key='0 and 30000000':priority_num='1':bjs_cell='CELL28'</v>
      </c>
      <c r="H63" s="113" t="str">
        <f>IF(VLOOKUP(SUBSTITUTE($A63,"Ctrl","Cell"),Sheet1!$C:$H,6,FALSE)=0,"",_xlfn.CONCAT("'",SUBSTITUTE(SUBSTITUTE(VLOOKUP(SUBSTITUTE($A63,"Ctrl","Cell"),Sheet1!$C:$H,6,FALSE),", ",","), ",","','"),"'"))</f>
        <v>'226'</v>
      </c>
      <c r="J63" s="114" t="s">
        <v>536</v>
      </c>
      <c r="K63" s="114" t="s">
        <v>537</v>
      </c>
      <c r="L63" s="113" t="str">
        <f t="shared" si="35"/>
        <v>index_key='0 and 30000000'</v>
      </c>
      <c r="M63" s="114" t="s">
        <v>538</v>
      </c>
      <c r="N63" s="114" t="s">
        <v>486</v>
      </c>
      <c r="O63" s="113" t="str">
        <f t="shared" si="36"/>
        <v>priority_num='1'</v>
      </c>
      <c r="P63" t="s">
        <v>505</v>
      </c>
      <c r="Q63" s="113" t="s">
        <v>547</v>
      </c>
      <c r="R63" s="113" t="str">
        <f>IF(P63&lt;&gt;"",IF(Q63="null",CONCATENATE(P63,"=",Q63),CONCATENATE(P63,"='",Q63)),"")</f>
        <v>bjs_cell='CELL28'</v>
      </c>
      <c r="U63" s="113" t="str">
        <f t="shared" si="37"/>
        <v/>
      </c>
    </row>
    <row r="64" spans="1:21" x14ac:dyDescent="0.35">
      <c r="A64" t="s">
        <v>435</v>
      </c>
      <c r="B64" t="str">
        <f t="shared" si="34"/>
        <v>CELL29</v>
      </c>
      <c r="C64" t="s">
        <v>539</v>
      </c>
      <c r="D64" t="str">
        <f t="shared" si="33"/>
        <v>CELL29_BNZD</v>
      </c>
      <c r="E64" s="117" t="s">
        <v>542</v>
      </c>
      <c r="F64" s="112" t="str">
        <f t="shared" si="27"/>
        <v>club='226':index_key='30000000 and 50000000':priority_num='1':bjs_cell='CELL28_BNZD'</v>
      </c>
      <c r="H64" s="113" t="str">
        <f>IF(VLOOKUP(SUBSTITUTE($A64,"Ctrl","Cell"),Sheet1!$C:$H,6,FALSE)=0,"",_xlfn.CONCAT("'",SUBSTITUTE(SUBSTITUTE(VLOOKUP(SUBSTITUTE($A64,"Ctrl","Cell"),Sheet1!$C:$H,6,FALSE),", ",","), ",","','"),"'"))</f>
        <v>'226'</v>
      </c>
      <c r="J64" s="114" t="s">
        <v>536</v>
      </c>
      <c r="K64" s="114" t="s">
        <v>540</v>
      </c>
      <c r="L64" s="113" t="str">
        <f t="shared" si="35"/>
        <v>index_key='30000000 and 50000000'</v>
      </c>
      <c r="M64" s="114" t="s">
        <v>538</v>
      </c>
      <c r="N64" s="114" t="s">
        <v>486</v>
      </c>
      <c r="O64" s="113" t="str">
        <f t="shared" si="36"/>
        <v>priority_num='1'</v>
      </c>
      <c r="P64" t="s">
        <v>505</v>
      </c>
      <c r="Q64" s="113" t="s">
        <v>548</v>
      </c>
      <c r="R64" s="113" t="str">
        <f>IF(P64&lt;&gt;"",IF(Q64="null",CONCATENATE(P64,"=",Q64),CONCATENATE(P64,"='",Q64)),"")</f>
        <v>bjs_cell='CELL28_BNZD'</v>
      </c>
      <c r="U64" s="113" t="str">
        <f t="shared" si="37"/>
        <v/>
      </c>
    </row>
    <row r="65" spans="1:21" x14ac:dyDescent="0.35">
      <c r="A65" t="s">
        <v>436</v>
      </c>
      <c r="B65" t="str">
        <f t="shared" si="34"/>
        <v>CELL30</v>
      </c>
      <c r="D65" t="str">
        <f>_xlfn.CONCAT(B65)</f>
        <v>CELL30</v>
      </c>
      <c r="E65" s="117" t="s">
        <v>542</v>
      </c>
      <c r="F65" s="170" t="str">
        <f t="shared" si="27"/>
        <v>club='226':index_key='0 and 30000000':priority_num='1':bjs_cell='CELL29'</v>
      </c>
      <c r="H65" s="113" t="str">
        <f>IF(VLOOKUP(SUBSTITUTE($A65,"Ctrl","Cell"),Sheet1!$C:$H,6,FALSE)=0,"",_xlfn.CONCAT("'",SUBSTITUTE(SUBSTITUTE(VLOOKUP(SUBSTITUTE($A65,"Ctrl","Cell"),Sheet1!$C:$H,6,FALSE),", ",","), ",","','"),"'"))</f>
        <v>'226'</v>
      </c>
      <c r="J65" s="114" t="s">
        <v>536</v>
      </c>
      <c r="K65" s="114" t="s">
        <v>537</v>
      </c>
      <c r="L65" s="113" t="str">
        <f t="shared" si="35"/>
        <v>index_key='0 and 30000000'</v>
      </c>
      <c r="M65" s="114" t="s">
        <v>538</v>
      </c>
      <c r="N65" s="114" t="s">
        <v>486</v>
      </c>
      <c r="O65" s="113" t="str">
        <f t="shared" si="36"/>
        <v>priority_num='1'</v>
      </c>
      <c r="P65" t="s">
        <v>505</v>
      </c>
      <c r="Q65" s="113" t="s">
        <v>549</v>
      </c>
      <c r="R65" s="113" t="str">
        <f>IF(P65&lt;&gt;"",IF(Q65="null",CONCATENATE(P65,"=",Q65),CONCATENATE(P65,"='",Q65)),"")</f>
        <v>bjs_cell='CELL29'</v>
      </c>
      <c r="U65" s="113" t="str">
        <f t="shared" si="37"/>
        <v/>
      </c>
    </row>
    <row r="66" spans="1:21" x14ac:dyDescent="0.35">
      <c r="A66" t="s">
        <v>436</v>
      </c>
      <c r="B66" t="str">
        <f t="shared" si="34"/>
        <v>CELL30</v>
      </c>
      <c r="C66" t="s">
        <v>539</v>
      </c>
      <c r="D66" t="str">
        <f t="shared" si="33"/>
        <v>CELL30_BNZD</v>
      </c>
      <c r="E66" s="117" t="s">
        <v>542</v>
      </c>
      <c r="F66" s="170" t="str">
        <f t="shared" si="27"/>
        <v>club='226':index_key='30000000 and 50000000':priority_num='1':bjs_cell='CELL29_BNZD'</v>
      </c>
      <c r="H66" s="113" t="str">
        <f>IF(VLOOKUP(SUBSTITUTE($A66,"Ctrl","Cell"),Sheet1!$C:$H,6,FALSE)=0,"",_xlfn.CONCAT("'",SUBSTITUTE(SUBSTITUTE(VLOOKUP(SUBSTITUTE($A66,"Ctrl","Cell"),Sheet1!$C:$H,6,FALSE),", ",","), ",","','"),"'"))</f>
        <v>'226'</v>
      </c>
      <c r="J66" s="114" t="s">
        <v>536</v>
      </c>
      <c r="K66" s="114" t="s">
        <v>540</v>
      </c>
      <c r="L66" s="113" t="str">
        <f t="shared" si="35"/>
        <v>index_key='30000000 and 50000000'</v>
      </c>
      <c r="M66" s="114" t="s">
        <v>538</v>
      </c>
      <c r="N66" s="114" t="s">
        <v>486</v>
      </c>
      <c r="O66" s="113" t="str">
        <f t="shared" si="36"/>
        <v>priority_num='1'</v>
      </c>
      <c r="P66" t="s">
        <v>505</v>
      </c>
      <c r="Q66" s="113" t="s">
        <v>550</v>
      </c>
      <c r="R66" s="113" t="str">
        <f>IF(P66&lt;&gt;"",IF(Q66="null",CONCATENATE(P66,"=",Q66),CONCATENATE(P66,"='",Q66)),"")</f>
        <v>bjs_cell='CELL29_BNZD'</v>
      </c>
      <c r="U66" s="113" t="str">
        <f t="shared" si="37"/>
        <v/>
      </c>
    </row>
    <row r="69" spans="1:21" x14ac:dyDescent="0.35">
      <c r="A69" t="s">
        <v>551</v>
      </c>
    </row>
    <row r="70" spans="1:21" x14ac:dyDescent="0.35">
      <c r="A70" t="s">
        <v>552</v>
      </c>
    </row>
    <row r="71" spans="1:21" x14ac:dyDescent="0.35">
      <c r="A71" t="s">
        <v>553</v>
      </c>
    </row>
    <row r="72" spans="1:21" x14ac:dyDescent="0.35">
      <c r="A72" t="s">
        <v>554</v>
      </c>
    </row>
  </sheetData>
  <phoneticPr fontId="77" type="noConversion"/>
  <conditionalFormatting sqref="A1:B1 A26:B27 I27:I28 B13:B24">
    <cfRule type="containsText" dxfId="65" priority="136" operator="containsText" text="CELL NOT FOUND">
      <formula>NOT(ISERROR(SEARCH("CELL NOT FOUND",A1)))</formula>
    </cfRule>
  </conditionalFormatting>
  <conditionalFormatting sqref="A1:B1 A26:B27 I27:I28 B13:B24">
    <cfRule type="containsText" dxfId="64" priority="135" operator="containsText" text="MISSING">
      <formula>NOT(ISERROR(SEARCH("MISSING",A1)))</formula>
    </cfRule>
  </conditionalFormatting>
  <conditionalFormatting sqref="A8:B8 A9:A11 B9:B12">
    <cfRule type="containsText" dxfId="63" priority="120" operator="containsText" text="CELL NOT FOUND">
      <formula>NOT(ISERROR(SEARCH("CELL NOT FOUND",A8)))</formula>
    </cfRule>
  </conditionalFormatting>
  <conditionalFormatting sqref="A8:B8 A9:A11 B9:B12">
    <cfRule type="containsText" dxfId="62" priority="119" operator="containsText" text="MISSING">
      <formula>NOT(ISERROR(SEARCH("MISSING",A8)))</formula>
    </cfRule>
  </conditionalFormatting>
  <conditionalFormatting sqref="A12">
    <cfRule type="containsText" dxfId="61" priority="116" operator="containsText" text="CELL NOT FOUND">
      <formula>NOT(ISERROR(SEARCH("CELL NOT FOUND",A12)))</formula>
    </cfRule>
  </conditionalFormatting>
  <conditionalFormatting sqref="A12">
    <cfRule type="containsText" dxfId="60" priority="115" operator="containsText" text="MISSING">
      <formula>NOT(ISERROR(SEARCH("MISSING",A12)))</formula>
    </cfRule>
  </conditionalFormatting>
  <conditionalFormatting sqref="E25">
    <cfRule type="containsText" dxfId="59" priority="98" operator="containsText" text="CELL NOT FOUND">
      <formula>NOT(ISERROR(SEARCH("CELL NOT FOUND",E25)))</formula>
    </cfRule>
  </conditionalFormatting>
  <conditionalFormatting sqref="E25">
    <cfRule type="containsText" dxfId="58" priority="97" operator="containsText" text="MISSING">
      <formula>NOT(ISERROR(SEARCH("MISSING",E25)))</formula>
    </cfRule>
  </conditionalFormatting>
  <conditionalFormatting sqref="E26 H26:R26">
    <cfRule type="containsText" dxfId="57" priority="94" operator="containsText" text="CELL NOT FOUND">
      <formula>NOT(ISERROR(SEARCH("CELL NOT FOUND",E26)))</formula>
    </cfRule>
  </conditionalFormatting>
  <conditionalFormatting sqref="E26 H26:R26">
    <cfRule type="containsText" dxfId="56" priority="93" operator="containsText" text="MISSING">
      <formula>NOT(ISERROR(SEARCH("MISSING",E26)))</formula>
    </cfRule>
  </conditionalFormatting>
  <conditionalFormatting sqref="E27">
    <cfRule type="containsText" dxfId="55" priority="92" operator="containsText" text="CELL NOT FOUND">
      <formula>NOT(ISERROR(SEARCH("CELL NOT FOUND",E27)))</formula>
    </cfRule>
  </conditionalFormatting>
  <conditionalFormatting sqref="E27">
    <cfRule type="containsText" dxfId="54" priority="91" operator="containsText" text="MISSING">
      <formula>NOT(ISERROR(SEARCH("MISSING",E27)))</formula>
    </cfRule>
  </conditionalFormatting>
  <conditionalFormatting sqref="E28">
    <cfRule type="containsText" dxfId="53" priority="84" operator="containsText" text="CELL NOT FOUND">
      <formula>NOT(ISERROR(SEARCH("CELL NOT FOUND",E28)))</formula>
    </cfRule>
  </conditionalFormatting>
  <conditionalFormatting sqref="E28">
    <cfRule type="containsText" dxfId="52" priority="83" operator="containsText" text="MISSING">
      <formula>NOT(ISERROR(SEARCH("MISSING",E28)))</formula>
    </cfRule>
  </conditionalFormatting>
  <conditionalFormatting sqref="E29">
    <cfRule type="containsText" dxfId="51" priority="80" operator="containsText" text="CELL NOT FOUND">
      <formula>NOT(ISERROR(SEARCH("CELL NOT FOUND",E29)))</formula>
    </cfRule>
  </conditionalFormatting>
  <conditionalFormatting sqref="E29">
    <cfRule type="containsText" dxfId="50" priority="79" operator="containsText" text="MISSING">
      <formula>NOT(ISERROR(SEARCH("MISSING",E29)))</formula>
    </cfRule>
  </conditionalFormatting>
  <conditionalFormatting sqref="C30:E30 D31:D32">
    <cfRule type="containsText" dxfId="49" priority="76" operator="containsText" text="CELL NOT FOUND">
      <formula>NOT(ISERROR(SEARCH("CELL NOT FOUND",C30)))</formula>
    </cfRule>
  </conditionalFormatting>
  <conditionalFormatting sqref="C30:E30 D31:D32">
    <cfRule type="containsText" dxfId="48" priority="75" operator="containsText" text="MISSING">
      <formula>NOT(ISERROR(SEARCH("MISSING",C30)))</formula>
    </cfRule>
  </conditionalFormatting>
  <conditionalFormatting sqref="C30:E30 D31:D32">
    <cfRule type="containsText" dxfId="47" priority="74" operator="containsText" text="CELL NOT FOUND">
      <formula>NOT(ISERROR(SEARCH("CELL NOT FOUND",C30)))</formula>
    </cfRule>
  </conditionalFormatting>
  <conditionalFormatting sqref="C30:E30 D31:D32">
    <cfRule type="containsText" dxfId="46" priority="73" operator="containsText" text="MISSING">
      <formula>NOT(ISERROR(SEARCH("MISSING",C30)))</formula>
    </cfRule>
  </conditionalFormatting>
  <conditionalFormatting sqref="E31:E32">
    <cfRule type="containsText" dxfId="45" priority="72" operator="containsText" text="CELL NOT FOUND">
      <formula>NOT(ISERROR(SEARCH("CELL NOT FOUND",E31)))</formula>
    </cfRule>
  </conditionalFormatting>
  <conditionalFormatting sqref="E31:E32">
    <cfRule type="containsText" dxfId="44" priority="71" operator="containsText" text="MISSING">
      <formula>NOT(ISERROR(SEARCH("MISSING",E31)))</formula>
    </cfRule>
  </conditionalFormatting>
  <conditionalFormatting sqref="A15:A20">
    <cfRule type="containsText" dxfId="43" priority="46" operator="containsText" text="CELL NOT FOUND">
      <formula>NOT(ISERROR(SEARCH("CELL NOT FOUND",A15)))</formula>
    </cfRule>
  </conditionalFormatting>
  <conditionalFormatting sqref="A15:A20">
    <cfRule type="containsText" dxfId="42" priority="45" operator="containsText" text="MISSING">
      <formula>NOT(ISERROR(SEARCH("MISSING",A15)))</formula>
    </cfRule>
  </conditionalFormatting>
  <conditionalFormatting sqref="A15">
    <cfRule type="containsText" dxfId="41" priority="42" operator="containsText" text="CELL NOT FOUND">
      <formula>NOT(ISERROR(SEARCH("CELL NOT FOUND",A15)))</formula>
    </cfRule>
  </conditionalFormatting>
  <conditionalFormatting sqref="A15">
    <cfRule type="containsText" dxfId="40" priority="41" operator="containsText" text="MISSING">
      <formula>NOT(ISERROR(SEARCH("MISSING",A15)))</formula>
    </cfRule>
  </conditionalFormatting>
  <conditionalFormatting sqref="B25">
    <cfRule type="containsText" dxfId="39" priority="36" operator="containsText" text="CELL NOT FOUND">
      <formula>NOT(ISERROR(SEARCH("CELL NOT FOUND",B25)))</formula>
    </cfRule>
  </conditionalFormatting>
  <conditionalFormatting sqref="B25">
    <cfRule type="containsText" dxfId="38" priority="35" operator="containsText" text="MISSING">
      <formula>NOT(ISERROR(SEARCH("MISSING",B25)))</formula>
    </cfRule>
  </conditionalFormatting>
  <conditionalFormatting sqref="A25">
    <cfRule type="containsText" dxfId="37" priority="34" operator="containsText" text="CELL NOT FOUND">
      <formula>NOT(ISERROR(SEARCH("CELL NOT FOUND",A25)))</formula>
    </cfRule>
  </conditionalFormatting>
  <conditionalFormatting sqref="A25">
    <cfRule type="containsText" dxfId="36" priority="33" operator="containsText" text="MISSING">
      <formula>NOT(ISERROR(SEARCH("MISSING",A25)))</formula>
    </cfRule>
  </conditionalFormatting>
  <conditionalFormatting sqref="A30:B30">
    <cfRule type="containsText" dxfId="35" priority="28" operator="containsText" text="CELL NOT FOUND">
      <formula>NOT(ISERROR(SEARCH("CELL NOT FOUND",A30)))</formula>
    </cfRule>
  </conditionalFormatting>
  <conditionalFormatting sqref="A30:B30">
    <cfRule type="containsText" dxfId="34" priority="27" operator="containsText" text="MISSING">
      <formula>NOT(ISERROR(SEARCH("MISSING",A30)))</formula>
    </cfRule>
  </conditionalFormatting>
  <conditionalFormatting sqref="A30:B30">
    <cfRule type="containsText" dxfId="33" priority="26" operator="containsText" text="CELL NOT FOUND">
      <formula>NOT(ISERROR(SEARCH("CELL NOT FOUND",A30)))</formula>
    </cfRule>
  </conditionalFormatting>
  <conditionalFormatting sqref="A30:B30">
    <cfRule type="containsText" dxfId="32" priority="25" operator="containsText" text="MISSING">
      <formula>NOT(ISERROR(SEARCH("MISSING",A30)))</formula>
    </cfRule>
  </conditionalFormatting>
  <conditionalFormatting sqref="B31:B32">
    <cfRule type="containsText" dxfId="31" priority="24" operator="containsText" text="CELL NOT FOUND">
      <formula>NOT(ISERROR(SEARCH("CELL NOT FOUND",B31)))</formula>
    </cfRule>
  </conditionalFormatting>
  <conditionalFormatting sqref="B31:B32">
    <cfRule type="containsText" dxfId="30" priority="23" operator="containsText" text="MISSING">
      <formula>NOT(ISERROR(SEARCH("MISSING",B31)))</formula>
    </cfRule>
  </conditionalFormatting>
  <conditionalFormatting sqref="B31:B32">
    <cfRule type="containsText" dxfId="29" priority="22" operator="containsText" text="CELL NOT FOUND">
      <formula>NOT(ISERROR(SEARCH("CELL NOT FOUND",B31)))</formula>
    </cfRule>
  </conditionalFormatting>
  <conditionalFormatting sqref="B31:B32">
    <cfRule type="containsText" dxfId="28" priority="21" operator="containsText" text="MISSING">
      <formula>NOT(ISERROR(SEARCH("MISSING",B31)))</formula>
    </cfRule>
  </conditionalFormatting>
  <conditionalFormatting sqref="B33:B47">
    <cfRule type="containsText" dxfId="27" priority="18" operator="containsText" text="CELL NOT FOUND">
      <formula>NOT(ISERROR(SEARCH("CELL NOT FOUND",B33)))</formula>
    </cfRule>
  </conditionalFormatting>
  <conditionalFormatting sqref="B33:B47">
    <cfRule type="containsText" dxfId="26" priority="17" operator="containsText" text="MISSING">
      <formula>NOT(ISERROR(SEARCH("MISSING",B33)))</formula>
    </cfRule>
  </conditionalFormatting>
  <conditionalFormatting sqref="B48:B66">
    <cfRule type="containsText" dxfId="25" priority="16" operator="containsText" text="CELL NOT FOUND">
      <formula>NOT(ISERROR(SEARCH("CELL NOT FOUND",B48)))</formula>
    </cfRule>
  </conditionalFormatting>
  <conditionalFormatting sqref="B48:B66">
    <cfRule type="containsText" dxfId="24" priority="15" operator="containsText" text="MISSING">
      <formula>NOT(ISERROR(SEARCH("MISSING",B48)))</formula>
    </cfRule>
  </conditionalFormatting>
  <conditionalFormatting sqref="A13:A14">
    <cfRule type="containsText" dxfId="23" priority="12" operator="containsText" text="CELL NOT FOUND">
      <formula>NOT(ISERROR(SEARCH("CELL NOT FOUND",A13)))</formula>
    </cfRule>
  </conditionalFormatting>
  <conditionalFormatting sqref="A13:A14">
    <cfRule type="containsText" dxfId="22" priority="11" operator="containsText" text="MISSING">
      <formula>NOT(ISERROR(SEARCH("MISSING",A13)))</formula>
    </cfRule>
  </conditionalFormatting>
  <conditionalFormatting sqref="A21:A24">
    <cfRule type="containsText" dxfId="21" priority="10" operator="containsText" text="CELL NOT FOUND">
      <formula>NOT(ISERROR(SEARCH("CELL NOT FOUND",A21)))</formula>
    </cfRule>
  </conditionalFormatting>
  <conditionalFormatting sqref="A21:A24">
    <cfRule type="containsText" dxfId="20" priority="9" operator="containsText" text="MISSING">
      <formula>NOT(ISERROR(SEARCH("MISSING",A21)))</formula>
    </cfRule>
  </conditionalFormatting>
  <conditionalFormatting sqref="A2:B7">
    <cfRule type="containsText" dxfId="19" priority="2" operator="containsText" text="CELL NOT FOUND">
      <formula>NOT(ISERROR(SEARCH("CELL NOT FOUND",A2)))</formula>
    </cfRule>
  </conditionalFormatting>
  <conditionalFormatting sqref="A2:B7">
    <cfRule type="containsText" dxfId="18" priority="1" operator="containsText" text="MISSING">
      <formula>NOT(ISERROR(SEARCH("MISSING",A2)))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0A66-1E9C-4962-B2F9-714A07DD02FE}">
  <sheetPr filterMode="1"/>
  <dimension ref="A1:S70"/>
  <sheetViews>
    <sheetView zoomScaleNormal="100" workbookViewId="0">
      <pane xSplit="1" ySplit="1" topLeftCell="L21" activePane="bottomRight" state="frozen"/>
      <selection pane="topRight" activeCell="B1" sqref="B1"/>
      <selection pane="bottomLeft" activeCell="A2" sqref="A2"/>
      <selection pane="bottomRight" activeCell="S32" sqref="S32"/>
    </sheetView>
  </sheetViews>
  <sheetFormatPr defaultRowHeight="14.5" x14ac:dyDescent="0.35"/>
  <cols>
    <col min="1" max="1" width="21.81640625" customWidth="1"/>
    <col min="2" max="2" width="15.54296875" bestFit="1" customWidth="1"/>
    <col min="3" max="3" width="35.81640625" bestFit="1" customWidth="1"/>
    <col min="4" max="4" width="10.1796875" bestFit="1" customWidth="1"/>
    <col min="5" max="5" width="15.1796875" bestFit="1" customWidth="1"/>
    <col min="6" max="6" width="14" bestFit="1" customWidth="1"/>
    <col min="7" max="7" width="16.453125" bestFit="1" customWidth="1"/>
    <col min="8" max="8" width="11.453125" bestFit="1" customWidth="1"/>
    <col min="9" max="9" width="15" bestFit="1" customWidth="1"/>
    <col min="10" max="10" width="15.54296875" bestFit="1" customWidth="1"/>
    <col min="11" max="11" width="199" bestFit="1" customWidth="1"/>
    <col min="12" max="12" width="9.81640625" bestFit="1" customWidth="1"/>
    <col min="13" max="13" width="38.7265625" bestFit="1" customWidth="1"/>
    <col min="14" max="14" width="9.54296875" bestFit="1" customWidth="1"/>
    <col min="15" max="15" width="7.54296875" bestFit="1" customWidth="1"/>
    <col min="16" max="16" width="11.453125" bestFit="1" customWidth="1"/>
    <col min="17" max="17" width="18" bestFit="1" customWidth="1"/>
    <col min="18" max="18" width="10.54296875" bestFit="1" customWidth="1"/>
    <col min="19" max="19" width="16.54296875" bestFit="1" customWidth="1"/>
  </cols>
  <sheetData>
    <row r="1" spans="1:19" x14ac:dyDescent="0.35">
      <c r="A1" t="s">
        <v>505</v>
      </c>
      <c r="B1" t="s">
        <v>442</v>
      </c>
      <c r="C1" t="s">
        <v>555</v>
      </c>
      <c r="D1" t="s">
        <v>441</v>
      </c>
      <c r="E1" t="s">
        <v>556</v>
      </c>
      <c r="F1" t="s">
        <v>445</v>
      </c>
      <c r="G1" t="s">
        <v>446</v>
      </c>
      <c r="H1" t="s">
        <v>439</v>
      </c>
      <c r="I1" t="s">
        <v>557</v>
      </c>
      <c r="J1" t="s">
        <v>444</v>
      </c>
      <c r="K1" t="s">
        <v>558</v>
      </c>
      <c r="L1" t="s">
        <v>559</v>
      </c>
      <c r="M1" t="s">
        <v>448</v>
      </c>
      <c r="N1" t="s">
        <v>560</v>
      </c>
      <c r="O1" t="s">
        <v>561</v>
      </c>
      <c r="P1" t="s">
        <v>562</v>
      </c>
      <c r="Q1" t="s">
        <v>563</v>
      </c>
      <c r="R1" t="s">
        <v>564</v>
      </c>
      <c r="S1" s="334" t="s">
        <v>443</v>
      </c>
    </row>
    <row r="2" spans="1:19" x14ac:dyDescent="0.35">
      <c r="A2" t="s">
        <v>565</v>
      </c>
      <c r="B2">
        <f>IFERROR(INDEX('CMT-inter'!$A$1:$M$33,MATCH(SUBSTITUTE(IF(IFERROR(SEARCH("_",$A2),0)&gt;0,LEFT($A2, FIND("_", $A2)-1),$A2),"CTRL","CELL"),'CMT-inter'!$B$1:$B$33,0),MATCH(B$1,'CMT-inter'!$A$1:$M$1,0)),"")</f>
        <v>20221201</v>
      </c>
      <c r="D2" t="str">
        <f ca="1">IFERROR(INDEX('CMT-inter'!$A$1:$M$33,MATCH(IF(IFERROR(SEARCH("_",$A2),0)&gt;0,LEFT($A2, FIND("_", $A2)-1),$A2),'CMT-inter'!$B$1:$B$33,0),MATCH(D$1,'CMT-inter'!$A$1:$M$1,0)),"")</f>
        <v>20221201</v>
      </c>
      <c r="E2" t="b">
        <v>0</v>
      </c>
      <c r="F2" t="str">
        <f ca="1">IFERROR(INDEX('CMT-inter'!$A$1:$M$33,MATCH(IF(IFERROR(SEARCH("_",$A2),0)&gt;0,LEFT($A2, FIND("_", $A2)-1),$A2),'CMT-inter'!$B$1:$B$33,0),MATCH(F$1,'CMT-inter'!$A$1:$M$1,0)),"")</f>
        <v>20221201</v>
      </c>
      <c r="G2">
        <f>IFERROR(INDEX('CMT-inter'!$A$1:$M$33,MATCH(IF(IFERROR(SEARCH("_",$A2),0)&gt;0,LEFT($A2, FIND("_", $A2)-1),$A2),'CMT-inter'!$B$1:$B$33,0),MATCH(G$1,'CMT-inter'!$A$1:$M$1,0)),"")</f>
        <v>20221014</v>
      </c>
      <c r="H2" t="str">
        <f>IFERROR(IF(IFERROR(SEARCH("CTRL",$A2),FALSE),SUBSTITUTE( INDEX('CMT-inter'!$A$1:$M$33,MATCH(SUBSTITUTE(IF(IFERROR(SEARCH("_",$A2),0)&gt;0,LEFT($A2, FIND("_", $A2)-1),$A2),"CTRL","CELL"),'CMT-inter'!$B$1:$B$33,0),MATCH(H$1,'CMT-inter'!$A$1:$M$1,0)),"CELL","CTRL"), INDEX('CMT-inter'!$A$1:$M$33,MATCH(IF(IFERROR(SEARCH("_",$A2),0)&gt;0,LEFT($A2, FIND("_", $A2)-1),$A2),'CMT-inter'!$B$1:$B$33,0),MATCH(H$1,'CMT-inter'!$A$1:$M$1,0))),"")</f>
        <v>CELL01</v>
      </c>
      <c r="I2" t="str">
        <f>IFERROR(INDEX('CMT-inter'!$A$1:$M$33,MATCH(IF(IFERROR(SEARCH("_",$A2),0)&gt;0,LEFT($A2, FIND("_", $A2)-1),$A2),'CMT-inter'!$B$1:$B$33,0),MATCH("OFFER EXPIRES",'CMT-inter'!$A$1:$M$1,0)),"")</f>
        <v>20230108</v>
      </c>
      <c r="J2" t="str">
        <f ca="1">IFERROR(INDEX('CMT-inter'!$A$1:$M$33,MATCH(IF(IFERROR(SEARCH("_",$A2),0)&gt;0,LEFT($A2, FIND("_", $A2)-1),$A2),'CMT-inter'!$B$1:$B$33,0),MATCH(J$1,'CMT-inter'!$A$1:$M$1,0)),"")</f>
        <v>20221201</v>
      </c>
      <c r="K2" t="str">
        <f>'cell parameters'!F2</f>
        <v>club='128','169','191','222','223','224','225','226','235','382','383','384','385','386','387','388','389','390','391','392','395':test_condition='freq_cell01_ot_main=1'</v>
      </c>
      <c r="M2" t="str">
        <f>'cell parameters'!E2</f>
        <v>test_condition_exclclub_dyn</v>
      </c>
      <c r="N2">
        <f>IF(N1="sequence",1,N1+1)</f>
        <v>1</v>
      </c>
      <c r="O2" t="s">
        <v>566</v>
      </c>
      <c r="Q2" t="str">
        <f>IFERROR(INDEX('CMT-inter'!$A$1:$M$33,MATCH(IF(IFERROR(SEARCH("_",$A2),0)&gt;0,LEFT($A2, FIND("_", $A2)-1),$A2),'CMT-inter'!$B$1:$B$33,0),MATCH("Market Code",'CMT-inter'!$A$1:$M$1,0)),"")</f>
        <v>DMDEC1</v>
      </c>
      <c r="R2">
        <v>1</v>
      </c>
      <c r="S2" t="str">
        <f>IFERROR(INDEX('CMT-inter'!$A$1:$M$33,MATCH(IF(IFERROR(SEARCH("_",$A2),0)&gt;0,LEFT($A2, FIND("_", $A2)-1),$A2),'CMT-inter'!$B$1:$B$33,0),MATCH(S$1,'CMT-inter'!$A$1:$M$1,0)),"")</f>
        <v>letter</v>
      </c>
    </row>
    <row r="3" spans="1:19" hidden="1" x14ac:dyDescent="0.35">
      <c r="A3" t="s">
        <v>567</v>
      </c>
      <c r="B3">
        <f>IFERROR(INDEX('CMT-inter'!$A$1:$M$33,MATCH(SUBSTITUTE(IF(IFERROR(SEARCH("_",$A3),0)&gt;0,LEFT($A3, FIND("_", $A3)-1),$A3),"CTRL","CELL"),'CMT-inter'!$B$1:$B$33,0),MATCH(B$1,'CMT-inter'!$A$1:$M$1,0)),"")</f>
        <v>20221201</v>
      </c>
      <c r="D3" t="str">
        <f>IFERROR(INDEX('CMT-inter'!$A$1:$M$33,MATCH(IF(IFERROR(SEARCH("_",$A3),0)&gt;0,LEFT($A3, FIND("_", $A3)-1),$A3),'CMT-inter'!$B$1:$B$33,0),MATCH(D$1,'CMT-inter'!$A$1:$M$1,0)),"")</f>
        <v/>
      </c>
      <c r="E3" t="b">
        <v>0</v>
      </c>
      <c r="F3" t="str">
        <f>IFERROR(INDEX('CMT-inter'!$A$1:$M$33,MATCH(IF(IFERROR(SEARCH("_",$A3),0)&gt;0,LEFT($A3, FIND("_", $A3)-1),$A3),'CMT-inter'!$B$1:$B$33,0),MATCH(F$1,'CMT-inter'!$A$1:$M$1,0)),"")</f>
        <v/>
      </c>
      <c r="G3" t="str">
        <f>IFERROR(INDEX('CMT-inter'!$A$1:$M$33,MATCH(IF(IFERROR(SEARCH("_",$A3),0)&gt;0,LEFT($A3, FIND("_", $A3)-1),$A3),'CMT-inter'!$B$1:$B$33,0),MATCH(G$1,'CMT-inter'!$A$1:$M$1,0)),"")</f>
        <v/>
      </c>
      <c r="H3" t="str">
        <f>IFERROR(IF(IFERROR(SEARCH("CTRL",$A3),FALSE),SUBSTITUTE( INDEX('CMT-inter'!$A$1:$M$33,MATCH(SUBSTITUTE(IF(IFERROR(SEARCH("_",$A3),0)&gt;0,LEFT($A3, FIND("_", $A3)-1),$A3),"CTRL","CELL"),'CMT-inter'!$B$1:$B$33,0),MATCH(H$1,'CMT-inter'!$A$1:$M$1,0)),"CELL","CTRL"), INDEX('CMT-inter'!$A$1:$M$33,MATCH(IF(IFERROR(SEARCH("_",$A3),0)&gt;0,LEFT($A3, FIND("_", $A3)-1),$A3),'CMT-inter'!$B$1:$B$33,0),MATCH(H$1,'CMT-inter'!$A$1:$M$1,0))),"")</f>
        <v>CTRL01</v>
      </c>
      <c r="I3" t="str">
        <f>IFERROR(INDEX('CMT-inter'!$A$1:$M$33,MATCH(IF(IFERROR(SEARCH("_",$A3),0)&gt;0,LEFT($A3, FIND("_", $A3)-1),$A3),'CMT-inter'!$B$1:$B$33,0),MATCH("OFFER EXPIRES",'CMT-inter'!$A$1:$M$1,0)),"")</f>
        <v/>
      </c>
      <c r="J3" t="str">
        <f>IFERROR(INDEX('CMT-inter'!$A$1:$M$33,MATCH(IF(IFERROR(SEARCH("_",$A3),0)&gt;0,LEFT($A3, FIND("_", $A3)-1),$A3),'CMT-inter'!$B$1:$B$33,0),MATCH(J$1,'CMT-inter'!$A$1:$M$1,0)),"")</f>
        <v/>
      </c>
      <c r="K3" t="str">
        <f>'cell parameters'!F3</f>
        <v>club='128','169','191','222','223','224','225','226','235','382','383','384','385','386','387','388','389','390','391','392','395':test_condition='freq_ctrl01_ot_main=1'</v>
      </c>
      <c r="M3" t="str">
        <f>'cell parameters'!E3</f>
        <v>test_condition_exclclub_dyn</v>
      </c>
      <c r="N3">
        <f t="shared" ref="N3:N66" si="0">IF(N2="sequence",1,N2+1)</f>
        <v>2</v>
      </c>
      <c r="O3" t="s">
        <v>566</v>
      </c>
      <c r="Q3" t="str">
        <f>IFERROR(INDEX('CMT-inter'!$A$1:$M$33,MATCH(IF(IFERROR(SEARCH("_",$A3),0)&gt;0,LEFT($A3, FIND("_", $A3)-1),$A3),'CMT-inter'!$B$1:$B$33,0),MATCH("Market Code",'CMT-inter'!$A$1:$M$1,0)),"")</f>
        <v/>
      </c>
      <c r="R3">
        <v>1</v>
      </c>
      <c r="S3" t="str">
        <f>IFERROR(INDEX('CMT-inter'!$A$1:$M$33,MATCH(IF(IFERROR(SEARCH("_",$A3),0)&gt;0,LEFT($A3, FIND("_", $A3)-1),$A3),'CMT-inter'!$B$1:$B$33,0),MATCH(S$1,'CMT-inter'!$A$1:$M$1,0)),"")</f>
        <v/>
      </c>
    </row>
    <row r="4" spans="1:19" x14ac:dyDescent="0.35">
      <c r="A4" t="s">
        <v>471</v>
      </c>
      <c r="B4">
        <f>IFERROR(INDEX('CMT-inter'!$A$1:$M$33,MATCH(SUBSTITUTE(IF(IFERROR(SEARCH("_",$A4),0)&gt;0,LEFT($A4, FIND("_", $A4)-1),$A4),"CTRL","CELL"),'CMT-inter'!$B$1:$B$33,0),MATCH(B$1,'CMT-inter'!$A$1:$M$1,0)),"")</f>
        <v>20221201</v>
      </c>
      <c r="D4" t="str">
        <f ca="1">IFERROR(INDEX('CMT-inter'!$A$1:$M$33,MATCH(IF(IFERROR(SEARCH("_",$A4),0)&gt;0,LEFT($A4, FIND("_", $A4)-1),$A4),'CMT-inter'!$B$1:$B$33,0),MATCH(D$1,'CMT-inter'!$A$1:$M$1,0)),"")</f>
        <v>20221201</v>
      </c>
      <c r="E4" t="b">
        <v>0</v>
      </c>
      <c r="F4" t="str">
        <f ca="1">IFERROR(INDEX('CMT-inter'!$A$1:$M$33,MATCH(IF(IFERROR(SEARCH("_",$A4),0)&gt;0,LEFT($A4, FIND("_", $A4)-1),$A4),'CMT-inter'!$B$1:$B$33,0),MATCH(F$1,'CMT-inter'!$A$1:$M$1,0)),"")</f>
        <v>20221201</v>
      </c>
      <c r="G4">
        <f>IFERROR(INDEX('CMT-inter'!$A$1:$M$33,MATCH(IF(IFERROR(SEARCH("_",$A4),0)&gt;0,LEFT($A4, FIND("_", $A4)-1),$A4),'CMT-inter'!$B$1:$B$33,0),MATCH(G$1,'CMT-inter'!$A$1:$M$1,0)),"")</f>
        <v>20221014</v>
      </c>
      <c r="H4" t="str">
        <f>IFERROR(IF(IFERROR(SEARCH("CTRL",$A4),FALSE),SUBSTITUTE( INDEX('CMT-inter'!$A$1:$M$33,MATCH(SUBSTITUTE(IF(IFERROR(SEARCH("_",$A4),0)&gt;0,LEFT($A4, FIND("_", $A4)-1),$A4),"CTRL","CELL"),'CMT-inter'!$B$1:$B$33,0),MATCH(H$1,'CMT-inter'!$A$1:$M$1,0)),"CELL","CTRL"), INDEX('CMT-inter'!$A$1:$M$33,MATCH(IF(IFERROR(SEARCH("_",$A4),0)&gt;0,LEFT($A4, FIND("_", $A4)-1),$A4),'CMT-inter'!$B$1:$B$33,0),MATCH(H$1,'CMT-inter'!$A$1:$M$1,0))),"")</f>
        <v>CELL02</v>
      </c>
      <c r="I4" t="str">
        <f>IFERROR(INDEX('CMT-inter'!$A$1:$M$33,MATCH(IF(IFERROR(SEARCH("_",$A4),0)&gt;0,LEFT($A4, FIND("_", $A4)-1),$A4),'CMT-inter'!$B$1:$B$33,0),MATCH("OFFER EXPIRES",'CMT-inter'!$A$1:$M$1,0)),"")</f>
        <v>20230122</v>
      </c>
      <c r="J4" t="str">
        <f ca="1">IFERROR(INDEX('CMT-inter'!$A$1:$M$33,MATCH(IF(IFERROR(SEARCH("_",$A4),0)&gt;0,LEFT($A4, FIND("_", $A4)-1),$A4),'CMT-inter'!$B$1:$B$33,0),MATCH(J$1,'CMT-inter'!$A$1:$M$1,0)),"")</f>
        <v>20221201</v>
      </c>
      <c r="K4" t="str">
        <f>'cell parameters'!F4</f>
        <v>club='128','169','191','222','223','224','225','226','235','382','383','384','385','386','387','388','389','390','391','392','395':test_condition='freq_cell02_ot_main=1'</v>
      </c>
      <c r="M4" t="str">
        <f>'cell parameters'!E4</f>
        <v>test_condition_exclclub_dyn</v>
      </c>
      <c r="N4">
        <f t="shared" si="0"/>
        <v>3</v>
      </c>
      <c r="O4" t="s">
        <v>566</v>
      </c>
      <c r="Q4" t="str">
        <f>IFERROR(INDEX('CMT-inter'!$A$1:$M$33,MATCH(IF(IFERROR(SEARCH("_",$A4),0)&gt;0,LEFT($A4, FIND("_", $A4)-1),$A4),'CMT-inter'!$B$1:$B$33,0),MATCH("Market Code",'CMT-inter'!$A$1:$M$1,0)),"")</f>
        <v>DMDEC2</v>
      </c>
      <c r="R4">
        <v>1</v>
      </c>
      <c r="S4" t="str">
        <f>IFERROR(INDEX('CMT-inter'!$A$1:$M$33,MATCH(IF(IFERROR(SEARCH("_",$A4),0)&gt;0,LEFT($A4, FIND("_", $A4)-1),$A4),'CMT-inter'!$B$1:$B$33,0),MATCH(S$1,'CMT-inter'!$A$1:$M$1,0)),"")</f>
        <v>letter</v>
      </c>
    </row>
    <row r="5" spans="1:19" x14ac:dyDescent="0.35">
      <c r="A5" t="s">
        <v>568</v>
      </c>
      <c r="B5">
        <f>IFERROR(INDEX('CMT-inter'!$A$1:$M$33,MATCH(SUBSTITUTE(IF(IFERROR(SEARCH("_",$A5),0)&gt;0,LEFT($A5, FIND("_", $A5)-1),$A5),"CTRL","CELL"),'CMT-inter'!$B$1:$B$33,0),MATCH(B$1,'CMT-inter'!$A$1:$M$1,0)),"")</f>
        <v>20221201</v>
      </c>
      <c r="D5" t="str">
        <f ca="1">IFERROR(INDEX('CMT-inter'!$A$1:$M$33,MATCH(IF(IFERROR(SEARCH("_",$A5),0)&gt;0,LEFT($A5, FIND("_", $A5)-1),$A5),'CMT-inter'!$B$1:$B$33,0),MATCH(D$1,'CMT-inter'!$A$1:$M$1,0)),"")</f>
        <v>20221201</v>
      </c>
      <c r="E5" t="b">
        <v>0</v>
      </c>
      <c r="F5" t="str">
        <f ca="1">IFERROR(INDEX('CMT-inter'!$A$1:$M$33,MATCH(IF(IFERROR(SEARCH("_",$A5),0)&gt;0,LEFT($A5, FIND("_", $A5)-1),$A5),'CMT-inter'!$B$1:$B$33,0),MATCH(F$1,'CMT-inter'!$A$1:$M$1,0)),"")</f>
        <v>20221201</v>
      </c>
      <c r="G5">
        <f>IFERROR(INDEX('CMT-inter'!$A$1:$M$33,MATCH(IF(IFERROR(SEARCH("_",$A5),0)&gt;0,LEFT($A5, FIND("_", $A5)-1),$A5),'CMT-inter'!$B$1:$B$33,0),MATCH(G$1,'CMT-inter'!$A$1:$M$1,0)),"")</f>
        <v>20221014</v>
      </c>
      <c r="H5" t="str">
        <f>IFERROR(IF(IFERROR(SEARCH("CTRL",$A5),FALSE),SUBSTITUTE( INDEX('CMT-inter'!$A$1:$M$33,MATCH(SUBSTITUTE(IF(IFERROR(SEARCH("_",$A5),0)&gt;0,LEFT($A5, FIND("_", $A5)-1),$A5),"CTRL","CELL"),'CMT-inter'!$B$1:$B$33,0),MATCH(H$1,'CMT-inter'!$A$1:$M$1,0)),"CELL","CTRL"), INDEX('CMT-inter'!$A$1:$M$33,MATCH(IF(IFERROR(SEARCH("_",$A5),0)&gt;0,LEFT($A5, FIND("_", $A5)-1),$A5),'CMT-inter'!$B$1:$B$33,0),MATCH(H$1,'CMT-inter'!$A$1:$M$1,0))),"")</f>
        <v>CELL05</v>
      </c>
      <c r="I5" t="str">
        <f>IFERROR(INDEX('CMT-inter'!$A$1:$M$33,MATCH(IF(IFERROR(SEARCH("_",$A5),0)&gt;0,LEFT($A5, FIND("_", $A5)-1),$A5),'CMT-inter'!$B$1:$B$33,0),MATCH("OFFER EXPIRES",'CMT-inter'!$A$1:$M$1,0)),"")</f>
        <v>20230108</v>
      </c>
      <c r="J5" t="str">
        <f ca="1">IFERROR(INDEX('CMT-inter'!$A$1:$M$33,MATCH(IF(IFERROR(SEARCH("_",$A5),0)&gt;0,LEFT($A5, FIND("_", $A5)-1),$A5),'CMT-inter'!$B$1:$B$33,0),MATCH(J$1,'CMT-inter'!$A$1:$M$1,0)),"")</f>
        <v>20221201</v>
      </c>
      <c r="K5" t="str">
        <f>'cell parameters'!F5</f>
        <v>club='382','383','384','385':test_condition='freq_cell05_mi_long=1'</v>
      </c>
      <c r="M5" t="str">
        <f>'cell parameters'!E5</f>
        <v>test_condition_inclclub_dyn</v>
      </c>
      <c r="N5">
        <f t="shared" si="0"/>
        <v>4</v>
      </c>
      <c r="O5" t="s">
        <v>566</v>
      </c>
      <c r="Q5" s="111" t="str">
        <f>IFERROR(INDEX('CMT-inter'!$A$1:$M$33,MATCH(IF(IFERROR(SEARCH("_",$A5),0)&gt;0,LEFT($A5, FIND("_", $A5)-1),$A5),'CMT-inter'!$B$1:$B$33,0),MATCH("Market Code",'CMT-inter'!$A$1:$M$1,0)),"")</f>
        <v>DMDEC5,  DMDC54</v>
      </c>
      <c r="R5">
        <v>2</v>
      </c>
      <c r="S5" t="str">
        <f>IFERROR(INDEX('CMT-inter'!$A$1:$M$33,MATCH(IF(IFERROR(SEARCH("_",$A5),0)&gt;0,LEFT($A5, FIND("_", $A5)-1),$A5),'CMT-inter'!$B$1:$B$33,0),MATCH(S$1,'CMT-inter'!$A$1:$M$1,0)),"")</f>
        <v>letter</v>
      </c>
    </row>
    <row r="6" spans="1:19" hidden="1" x14ac:dyDescent="0.35">
      <c r="A6" t="s">
        <v>569</v>
      </c>
      <c r="B6">
        <f>IFERROR(INDEX('CMT-inter'!$A$1:$M$33,MATCH(SUBSTITUTE(IF(IFERROR(SEARCH("_",$A6),0)&gt;0,LEFT($A6, FIND("_", $A6)-1),$A6),"CTRL","CELL"),'CMT-inter'!$B$1:$B$33,0),MATCH(B$1,'CMT-inter'!$A$1:$M$1,0)),"")</f>
        <v>20221201</v>
      </c>
      <c r="D6" t="str">
        <f>IFERROR(INDEX('CMT-inter'!$A$1:$M$33,MATCH(IF(IFERROR(SEARCH("_",$A6),0)&gt;0,LEFT($A6, FIND("_", $A6)-1),$A6),'CMT-inter'!$B$1:$B$33,0),MATCH(D$1,'CMT-inter'!$A$1:$M$1,0)),"")</f>
        <v/>
      </c>
      <c r="E6" t="b">
        <v>0</v>
      </c>
      <c r="F6" t="str">
        <f>IFERROR(INDEX('CMT-inter'!$A$1:$M$33,MATCH(IF(IFERROR(SEARCH("_",$A6),0)&gt;0,LEFT($A6, FIND("_", $A6)-1),$A6),'CMT-inter'!$B$1:$B$33,0),MATCH(F$1,'CMT-inter'!$A$1:$M$1,0)),"")</f>
        <v/>
      </c>
      <c r="G6" t="str">
        <f>IFERROR(INDEX('CMT-inter'!$A$1:$M$33,MATCH(IF(IFERROR(SEARCH("_",$A6),0)&gt;0,LEFT($A6, FIND("_", $A6)-1),$A6),'CMT-inter'!$B$1:$B$33,0),MATCH(G$1,'CMT-inter'!$A$1:$M$1,0)),"")</f>
        <v/>
      </c>
      <c r="H6" t="str">
        <f>IFERROR(IF(IFERROR(SEARCH("CTRL",$A6),FALSE),SUBSTITUTE( INDEX('CMT-inter'!$A$1:$M$33,MATCH(SUBSTITUTE(IF(IFERROR(SEARCH("_",$A6),0)&gt;0,LEFT($A6, FIND("_", $A6)-1),$A6),"CTRL","CELL"),'CMT-inter'!$B$1:$B$33,0),MATCH(H$1,'CMT-inter'!$A$1:$M$1,0)),"CELL","CTRL"), INDEX('CMT-inter'!$A$1:$M$33,MATCH(IF(IFERROR(SEARCH("_",$A6),0)&gt;0,LEFT($A6, FIND("_", $A6)-1),$A6),'CMT-inter'!$B$1:$B$33,0),MATCH(H$1,'CMT-inter'!$A$1:$M$1,0))),"")</f>
        <v>CTRL05</v>
      </c>
      <c r="I6" t="str">
        <f>IFERROR(INDEX('CMT-inter'!$A$1:$M$33,MATCH(IF(IFERROR(SEARCH("_",$A6),0)&gt;0,LEFT($A6, FIND("_", $A6)-1),$A6),'CMT-inter'!$B$1:$B$33,0),MATCH("OFFER EXPIRES",'CMT-inter'!$A$1:$M$1,0)),"")</f>
        <v/>
      </c>
      <c r="J6" t="str">
        <f>IFERROR(INDEX('CMT-inter'!$A$1:$M$33,MATCH(IF(IFERROR(SEARCH("_",$A6),0)&gt;0,LEFT($A6, FIND("_", $A6)-1),$A6),'CMT-inter'!$B$1:$B$33,0),MATCH(J$1,'CMT-inter'!$A$1:$M$1,0)),"")</f>
        <v/>
      </c>
      <c r="K6" t="str">
        <f>'cell parameters'!F6</f>
        <v>club='382','383','384','385':test_condition='freq_ctrl05_mi_long=1'</v>
      </c>
      <c r="M6" t="str">
        <f>'cell parameters'!E6</f>
        <v>test_condition_inclclub_dyn</v>
      </c>
      <c r="N6">
        <f t="shared" si="0"/>
        <v>5</v>
      </c>
      <c r="O6" t="s">
        <v>566</v>
      </c>
      <c r="Q6" t="str">
        <f>IFERROR(INDEX('CMT-inter'!$A$1:$M$33,MATCH(IF(IFERROR(SEARCH("_",$A6),0)&gt;0,LEFT($A6, FIND("_", $A6)-1),$A6),'CMT-inter'!$B$1:$B$33,0),MATCH("Market Code",'CMT-inter'!$A$1:$M$1,0)),"")</f>
        <v/>
      </c>
      <c r="R6">
        <v>2</v>
      </c>
      <c r="S6" t="str">
        <f>IFERROR(INDEX('CMT-inter'!$A$1:$M$33,MATCH(IF(IFERROR(SEARCH("_",$A6),0)&gt;0,LEFT($A6, FIND("_", $A6)-1),$A6),'CMT-inter'!$B$1:$B$33,0),MATCH(S$1,'CMT-inter'!$A$1:$M$1,0)),"")</f>
        <v/>
      </c>
    </row>
    <row r="7" spans="1:19" x14ac:dyDescent="0.35">
      <c r="A7" t="s">
        <v>570</v>
      </c>
      <c r="B7">
        <f>IFERROR(INDEX('CMT-inter'!$A$1:$M$33,MATCH(SUBSTITUTE(IF(IFERROR(SEARCH("_",$A7),0)&gt;0,LEFT($A7, FIND("_", $A7)-1),$A7),"CTRL","CELL"),'CMT-inter'!$B$1:$B$33,0),MATCH(B$1,'CMT-inter'!$A$1:$M$1,0)),"")</f>
        <v>20221201</v>
      </c>
      <c r="D7" t="str">
        <f ca="1">IFERROR(INDEX('CMT-inter'!$A$1:$M$33,MATCH(IF(IFERROR(SEARCH("_",$A7),0)&gt;0,LEFT($A7, FIND("_", $A7)-1),$A7),'CMT-inter'!$B$1:$B$33,0),MATCH(D$1,'CMT-inter'!$A$1:$M$1,0)),"")</f>
        <v>20221201</v>
      </c>
      <c r="E7" t="b">
        <v>0</v>
      </c>
      <c r="F7" t="str">
        <f ca="1">IFERROR(INDEX('CMT-inter'!$A$1:$M$33,MATCH(IF(IFERROR(SEARCH("_",$A7),0)&gt;0,LEFT($A7, FIND("_", $A7)-1),$A7),'CMT-inter'!$B$1:$B$33,0),MATCH(F$1,'CMT-inter'!$A$1:$M$1,0)),"")</f>
        <v>20221201</v>
      </c>
      <c r="G7">
        <f>IFERROR(INDEX('CMT-inter'!$A$1:$M$33,MATCH(IF(IFERROR(SEARCH("_",$A7),0)&gt;0,LEFT($A7, FIND("_", $A7)-1),$A7),'CMT-inter'!$B$1:$B$33,0),MATCH(G$1,'CMT-inter'!$A$1:$M$1,0)),"")</f>
        <v>20221014</v>
      </c>
      <c r="H7" t="str">
        <f>IFERROR(IF(IFERROR(SEARCH("CTRL",$A7),FALSE),SUBSTITUTE( INDEX('CMT-inter'!$A$1:$M$33,MATCH(SUBSTITUTE(IF(IFERROR(SEARCH("_",$A7),0)&gt;0,LEFT($A7, FIND("_", $A7)-1),$A7),"CTRL","CELL"),'CMT-inter'!$B$1:$B$33,0),MATCH(H$1,'CMT-inter'!$A$1:$M$1,0)),"CELL","CTRL"), INDEX('CMT-inter'!$A$1:$M$33,MATCH(IF(IFERROR(SEARCH("_",$A7),0)&gt;0,LEFT($A7, FIND("_", $A7)-1),$A7),'CMT-inter'!$B$1:$B$33,0),MATCH(H$1,'CMT-inter'!$A$1:$M$1,0))),"")</f>
        <v>CELL06</v>
      </c>
      <c r="I7" t="str">
        <f>IFERROR(INDEX('CMT-inter'!$A$1:$M$33,MATCH(IF(IFERROR(SEARCH("_",$A7),0)&gt;0,LEFT($A7, FIND("_", $A7)-1),$A7),'CMT-inter'!$B$1:$B$33,0),MATCH("OFFER EXPIRES",'CMT-inter'!$A$1:$M$1,0)),"")</f>
        <v>20230122</v>
      </c>
      <c r="J7" t="str">
        <f ca="1">IFERROR(INDEX('CMT-inter'!$A$1:$M$33,MATCH(IF(IFERROR(SEARCH("_",$A7),0)&gt;0,LEFT($A7, FIND("_", $A7)-1),$A7),'CMT-inter'!$B$1:$B$33,0),MATCH(J$1,'CMT-inter'!$A$1:$M$1,0)),"")</f>
        <v>20221201</v>
      </c>
      <c r="K7" t="str">
        <f>'cell parameters'!F7</f>
        <v>club='382','383','384','385':test_condition='freq_cell06_mi_long=1'</v>
      </c>
      <c r="M7" t="str">
        <f>'cell parameters'!E7</f>
        <v>test_condition_inclclub_dyn</v>
      </c>
      <c r="N7">
        <f t="shared" si="0"/>
        <v>6</v>
      </c>
      <c r="O7" t="s">
        <v>566</v>
      </c>
      <c r="Q7" t="str">
        <f>IFERROR(INDEX('CMT-inter'!$A$1:$M$33,MATCH(IF(IFERROR(SEARCH("_",$A7),0)&gt;0,LEFT($A7, FIND("_", $A7)-1),$A7),'CMT-inter'!$B$1:$B$33,0),MATCH("Market Code",'CMT-inter'!$A$1:$M$1,0)),"")</f>
        <v>DMDEC6</v>
      </c>
      <c r="R7">
        <v>2</v>
      </c>
      <c r="S7" t="str">
        <f>IFERROR(INDEX('CMT-inter'!$A$1:$M$33,MATCH(IF(IFERROR(SEARCH("_",$A7),0)&gt;0,LEFT($A7, FIND("_", $A7)-1),$A7),'CMT-inter'!$B$1:$B$33,0),MATCH(S$1,'CMT-inter'!$A$1:$M$1,0)),"")</f>
        <v>letter</v>
      </c>
    </row>
    <row r="8" spans="1:19" x14ac:dyDescent="0.35">
      <c r="A8" t="s">
        <v>571</v>
      </c>
      <c r="B8">
        <f>IFERROR(INDEX('CMT-inter'!$A$1:$M$33,MATCH(SUBSTITUTE(IF(IFERROR(SEARCH("_",$A8),0)&gt;0,LEFT($A8, FIND("_", $A8)-1),$A8),"CTRL","CELL"),'CMT-inter'!$B$1:$B$33,0),MATCH(B$1,'CMT-inter'!$A$1:$M$1,0)),"")</f>
        <v>20221201</v>
      </c>
      <c r="D8" t="str">
        <f ca="1">IFERROR(INDEX('CMT-inter'!$A$1:$M$33,MATCH(IF(IFERROR(SEARCH("_",$A8),0)&gt;0,LEFT($A8, FIND("_", $A8)-1),$A8),'CMT-inter'!$B$1:$B$33,0),MATCH(D$1,'CMT-inter'!$A$1:$M$1,0)),"")</f>
        <v>20221201</v>
      </c>
      <c r="E8" t="b">
        <v>0</v>
      </c>
      <c r="F8" t="str">
        <f ca="1">IFERROR(INDEX('CMT-inter'!$A$1:$M$33,MATCH(IF(IFERROR(SEARCH("_",$A8),0)&gt;0,LEFT($A8, FIND("_", $A8)-1),$A8),'CMT-inter'!$B$1:$B$33,0),MATCH(F$1,'CMT-inter'!$A$1:$M$1,0)),"")</f>
        <v>20221201</v>
      </c>
      <c r="G8">
        <f>IFERROR(INDEX('CMT-inter'!$A$1:$M$33,MATCH(IF(IFERROR(SEARCH("_",$A8),0)&gt;0,LEFT($A8, FIND("_", $A8)-1),$A8),'CMT-inter'!$B$1:$B$33,0),MATCH(G$1,'CMT-inter'!$A$1:$M$1,0)),"")</f>
        <v>20221014</v>
      </c>
      <c r="H8" t="str">
        <f>IFERROR(IF(IFERROR(SEARCH("CTRL",$A8),FALSE),SUBSTITUTE( INDEX('CMT-inter'!$A$1:$M$33,MATCH(SUBSTITUTE(IF(IFERROR(SEARCH("_",$A8),0)&gt;0,LEFT($A8, FIND("_", $A8)-1),$A8),"CTRL","CELL"),'CMT-inter'!$B$1:$B$33,0),MATCH(H$1,'CMT-inter'!$A$1:$M$1,0)),"CELL","CTRL"), INDEX('CMT-inter'!$A$1:$M$33,MATCH(IF(IFERROR(SEARCH("_",$A8),0)&gt;0,LEFT($A8, FIND("_", $A8)-1),$A8),'CMT-inter'!$B$1:$B$33,0),MATCH(H$1,'CMT-inter'!$A$1:$M$1,0))),"")</f>
        <v>CELL03</v>
      </c>
      <c r="I8" t="str">
        <f>IFERROR(INDEX('CMT-inter'!$A$1:$M$33,MATCH(IF(IFERROR(SEARCH("_",$A8),0)&gt;0,LEFT($A8, FIND("_", $A8)-1),$A8),'CMT-inter'!$B$1:$B$33,0),MATCH("OFFER EXPIRES",'CMT-inter'!$A$1:$M$1,0)),"")</f>
        <v>20230108</v>
      </c>
      <c r="J8" t="str">
        <f ca="1">IFERROR(INDEX('CMT-inter'!$A$1:$M$33,MATCH(IF(IFERROR(SEARCH("_",$A8),0)&gt;0,LEFT($A8, FIND("_", $A8)-1),$A8),'CMT-inter'!$B$1:$B$33,0),MATCH(J$1,'CMT-inter'!$A$1:$M$1,0)),"")</f>
        <v>20221201</v>
      </c>
      <c r="K8" t="str">
        <f>'cell parameters'!F8</f>
        <v>club='128','169','191','222','223','224','225','226','235','382','383','384','385','386','387','388','389','390','391','392','395':utuc='ut_pros':mbrcode=null:force_in='1'</v>
      </c>
      <c r="M8" t="str">
        <f>'cell parameters'!E8</f>
        <v>exclclub_force_utuc_mbrcode_dyn</v>
      </c>
      <c r="N8">
        <f t="shared" si="0"/>
        <v>7</v>
      </c>
      <c r="O8" t="s">
        <v>566</v>
      </c>
      <c r="Q8" t="str">
        <f>IFERROR(INDEX('CMT-inter'!$A$1:$M$33,MATCH(IF(IFERROR(SEARCH("_",$A8),0)&gt;0,LEFT($A8, FIND("_", $A8)-1),$A8),'CMT-inter'!$B$1:$B$33,0),MATCH("Market Code",'CMT-inter'!$A$1:$M$1,0)),"")</f>
        <v>DMDEC3</v>
      </c>
      <c r="R8">
        <v>3</v>
      </c>
      <c r="S8" t="str">
        <f>IFERROR(INDEX('CMT-inter'!$A$1:$M$33,MATCH(IF(IFERROR(SEARCH("_",$A8),0)&gt;0,LEFT($A8, FIND("_", $A8)-1),$A8),'CMT-inter'!$B$1:$B$33,0),MATCH(S$1,'CMT-inter'!$A$1:$M$1,0)),"")</f>
        <v>letter</v>
      </c>
    </row>
    <row r="9" spans="1:19" hidden="1" x14ac:dyDescent="0.35">
      <c r="A9" t="s">
        <v>572</v>
      </c>
      <c r="B9">
        <f>IFERROR(INDEX('CMT-inter'!$A$1:$M$33,MATCH(SUBSTITUTE(IF(IFERROR(SEARCH("_",$A9),0)&gt;0,LEFT($A9, FIND("_", $A9)-1),$A9),"CTRL","CELL"),'CMT-inter'!$B$1:$B$33,0),MATCH(B$1,'CMT-inter'!$A$1:$M$1,0)),"")</f>
        <v>20221201</v>
      </c>
      <c r="D9" t="str">
        <f>IFERROR(INDEX('CMT-inter'!$A$1:$M$33,MATCH(IF(IFERROR(SEARCH("_",$A9),0)&gt;0,LEFT($A9, FIND("_", $A9)-1),$A9),'CMT-inter'!$B$1:$B$33,0),MATCH(D$1,'CMT-inter'!$A$1:$M$1,0)),"")</f>
        <v/>
      </c>
      <c r="E9" t="b">
        <v>0</v>
      </c>
      <c r="F9" t="str">
        <f>IFERROR(INDEX('CMT-inter'!$A$1:$M$33,MATCH(IF(IFERROR(SEARCH("_",$A9),0)&gt;0,LEFT($A9, FIND("_", $A9)-1),$A9),'CMT-inter'!$B$1:$B$33,0),MATCH(F$1,'CMT-inter'!$A$1:$M$1,0)),"")</f>
        <v/>
      </c>
      <c r="G9" t="str">
        <f>IFERROR(INDEX('CMT-inter'!$A$1:$M$33,MATCH(IF(IFERROR(SEARCH("_",$A9),0)&gt;0,LEFT($A9, FIND("_", $A9)-1),$A9),'CMT-inter'!$B$1:$B$33,0),MATCH(G$1,'CMT-inter'!$A$1:$M$1,0)),"")</f>
        <v/>
      </c>
      <c r="H9" t="str">
        <f>IFERROR(IF(IFERROR(SEARCH("CTRL",$A9),FALSE),SUBSTITUTE( INDEX('CMT-inter'!$A$1:$M$33,MATCH(SUBSTITUTE(IF(IFERROR(SEARCH("_",$A9),0)&gt;0,LEFT($A9, FIND("_", $A9)-1),$A9),"CTRL","CELL"),'CMT-inter'!$B$1:$B$33,0),MATCH(H$1,'CMT-inter'!$A$1:$M$1,0)),"CELL","CTRL"), INDEX('CMT-inter'!$A$1:$M$33,MATCH(IF(IFERROR(SEARCH("_",$A9),0)&gt;0,LEFT($A9, FIND("_", $A9)-1),$A9),'CMT-inter'!$B$1:$B$33,0),MATCH(H$1,'CMT-inter'!$A$1:$M$1,0))),"")</f>
        <v>CTRL03</v>
      </c>
      <c r="I9" t="str">
        <f>IFERROR(INDEX('CMT-inter'!$A$1:$M$33,MATCH(IF(IFERROR(SEARCH("_",$A9),0)&gt;0,LEFT($A9, FIND("_", $A9)-1),$A9),'CMT-inter'!$B$1:$B$33,0),MATCH("OFFER EXPIRES",'CMT-inter'!$A$1:$M$1,0)),"")</f>
        <v/>
      </c>
      <c r="J9" t="str">
        <f>IFERROR(INDEX('CMT-inter'!$A$1:$M$33,MATCH(IF(IFERROR(SEARCH("_",$A9),0)&gt;0,LEFT($A9, FIND("_", $A9)-1),$A9),'CMT-inter'!$B$1:$B$33,0),MATCH(J$1,'CMT-inter'!$A$1:$M$1,0)),"")</f>
        <v/>
      </c>
      <c r="K9" t="str">
        <f>'cell parameters'!F9</f>
        <v>club='128','169','191','222','223','224','225','226','235','382','383','384','385','386','387','388','389','390','391','392','395':utuc='uc_pros':mbrcode=null:force_in='1'</v>
      </c>
      <c r="M9" t="str">
        <f>'cell parameters'!E9</f>
        <v>exclclub_force_utuc_mbrcode_dyn</v>
      </c>
      <c r="N9">
        <f t="shared" si="0"/>
        <v>8</v>
      </c>
      <c r="O9" t="s">
        <v>566</v>
      </c>
      <c r="Q9" t="str">
        <f>IFERROR(INDEX('CMT-inter'!$A$1:$M$33,MATCH(IF(IFERROR(SEARCH("_",$A9),0)&gt;0,LEFT($A9, FIND("_", $A9)-1),$A9),'CMT-inter'!$B$1:$B$33,0),MATCH("Market Code",'CMT-inter'!$A$1:$M$1,0)),"")</f>
        <v/>
      </c>
      <c r="R9">
        <v>3</v>
      </c>
      <c r="S9" t="str">
        <f>IFERROR(INDEX('CMT-inter'!$A$1:$M$33,MATCH(IF(IFERROR(SEARCH("_",$A9),0)&gt;0,LEFT($A9, FIND("_", $A9)-1),$A9),'CMT-inter'!$B$1:$B$33,0),MATCH(S$1,'CMT-inter'!$A$1:$M$1,0)),"")</f>
        <v/>
      </c>
    </row>
    <row r="10" spans="1:19" x14ac:dyDescent="0.35">
      <c r="A10" t="s">
        <v>573</v>
      </c>
      <c r="B10">
        <f>IFERROR(INDEX('CMT-inter'!$A$1:$M$33,MATCH(SUBSTITUTE(IF(IFERROR(SEARCH("_",$A10),0)&gt;0,LEFT($A10, FIND("_", $A10)-1),$A10),"CTRL","CELL"),'CMT-inter'!$B$1:$B$33,0),MATCH(B$1,'CMT-inter'!$A$1:$M$1,0)),"")</f>
        <v>20221201</v>
      </c>
      <c r="D10" t="str">
        <f ca="1">IFERROR(INDEX('CMT-inter'!$A$1:$M$33,MATCH(IF(IFERROR(SEARCH("_",$A10),0)&gt;0,LEFT($A10, FIND("_", $A10)-1),$A10),'CMT-inter'!$B$1:$B$33,0),MATCH(D$1,'CMT-inter'!$A$1:$M$1,0)),"")</f>
        <v>20221201</v>
      </c>
      <c r="E10" t="b">
        <v>0</v>
      </c>
      <c r="F10" t="str">
        <f ca="1">IFERROR(INDEX('CMT-inter'!$A$1:$M$33,MATCH(IF(IFERROR(SEARCH("_",$A10),0)&gt;0,LEFT($A10, FIND("_", $A10)-1),$A10),'CMT-inter'!$B$1:$B$33,0),MATCH(F$1,'CMT-inter'!$A$1:$M$1,0)),"")</f>
        <v>20221201</v>
      </c>
      <c r="G10">
        <f>IFERROR(INDEX('CMT-inter'!$A$1:$M$33,MATCH(IF(IFERROR(SEARCH("_",$A10),0)&gt;0,LEFT($A10, FIND("_", $A10)-1),$A10),'CMT-inter'!$B$1:$B$33,0),MATCH(G$1,'CMT-inter'!$A$1:$M$1,0)),"")</f>
        <v>20221014</v>
      </c>
      <c r="H10" t="str">
        <f>IFERROR(IF(IFERROR(SEARCH("CTRL",$A10),FALSE),SUBSTITUTE( INDEX('CMT-inter'!$A$1:$M$33,MATCH(SUBSTITUTE(IF(IFERROR(SEARCH("_",$A10),0)&gt;0,LEFT($A10, FIND("_", $A10)-1),$A10),"CTRL","CELL"),'CMT-inter'!$B$1:$B$33,0),MATCH(H$1,'CMT-inter'!$A$1:$M$1,0)),"CELL","CTRL"), INDEX('CMT-inter'!$A$1:$M$33,MATCH(IF(IFERROR(SEARCH("_",$A10),0)&gt;0,LEFT($A10, FIND("_", $A10)-1),$A10),'CMT-inter'!$B$1:$B$33,0),MATCH(H$1,'CMT-inter'!$A$1:$M$1,0))),"")</f>
        <v>CELL03</v>
      </c>
      <c r="I10" t="str">
        <f>IFERROR(INDEX('CMT-inter'!$A$1:$M$33,MATCH(IF(IFERROR(SEARCH("_",$A10),0)&gt;0,LEFT($A10, FIND("_", $A10)-1),$A10),'CMT-inter'!$B$1:$B$33,0),MATCH("OFFER EXPIRES",'CMT-inter'!$A$1:$M$1,0)),"")</f>
        <v>20230108</v>
      </c>
      <c r="J10" t="str">
        <f ca="1">IFERROR(INDEX('CMT-inter'!$A$1:$M$33,MATCH(IF(IFERROR(SEARCH("_",$A10),0)&gt;0,LEFT($A10, FIND("_", $A10)-1),$A10),'CMT-inter'!$B$1:$B$33,0),MATCH(J$1,'CMT-inter'!$A$1:$M$1,0)),"")</f>
        <v>20221201</v>
      </c>
      <c r="K10" t="str">
        <f>'cell parameters'!F10</f>
        <v>club='128','169','191','222','223','224','225','226','235','382','383','384','385','386','387','388','389','390','391','392','395':utuc='ut_pp':mbrcode='PP','PT':force_in='1'</v>
      </c>
      <c r="M10" t="str">
        <f>'cell parameters'!E10</f>
        <v>exclclub_force_utuc_mbrcode_dyn</v>
      </c>
      <c r="N10">
        <f t="shared" si="0"/>
        <v>9</v>
      </c>
      <c r="O10" t="s">
        <v>566</v>
      </c>
      <c r="Q10" t="str">
        <f>IFERROR(INDEX('CMT-inter'!$A$1:$M$33,MATCH(IF(IFERROR(SEARCH("_",$A10),0)&gt;0,LEFT($A10, FIND("_", $A10)-1),$A10),'CMT-inter'!$B$1:$B$33,0),MATCH("Market Code",'CMT-inter'!$A$1:$M$1,0)),"")</f>
        <v>DMDEC3</v>
      </c>
      <c r="R10">
        <v>4</v>
      </c>
      <c r="S10" t="str">
        <f>IFERROR(INDEX('CMT-inter'!$A$1:$M$33,MATCH(IF(IFERROR(SEARCH("_",$A10),0)&gt;0,LEFT($A10, FIND("_", $A10)-1),$A10),'CMT-inter'!$B$1:$B$33,0),MATCH(S$1,'CMT-inter'!$A$1:$M$1,0)),"")</f>
        <v>letter</v>
      </c>
    </row>
    <row r="11" spans="1:19" hidden="1" x14ac:dyDescent="0.35">
      <c r="A11" t="s">
        <v>574</v>
      </c>
      <c r="B11">
        <f>IFERROR(INDEX('CMT-inter'!$A$1:$M$33,MATCH(SUBSTITUTE(IF(IFERROR(SEARCH("_",$A11),0)&gt;0,LEFT($A11, FIND("_", $A11)-1),$A11),"CTRL","CELL"),'CMT-inter'!$B$1:$B$33,0),MATCH(B$1,'CMT-inter'!$A$1:$M$1,0)),"")</f>
        <v>20221201</v>
      </c>
      <c r="D11" t="str">
        <f>IFERROR(INDEX('CMT-inter'!$A$1:$M$33,MATCH(IF(IFERROR(SEARCH("_",$A11),0)&gt;0,LEFT($A11, FIND("_", $A11)-1),$A11),'CMT-inter'!$B$1:$B$33,0),MATCH(D$1,'CMT-inter'!$A$1:$M$1,0)),"")</f>
        <v/>
      </c>
      <c r="E11" t="b">
        <v>0</v>
      </c>
      <c r="F11" t="str">
        <f>IFERROR(INDEX('CMT-inter'!$A$1:$M$33,MATCH(IF(IFERROR(SEARCH("_",$A11),0)&gt;0,LEFT($A11, FIND("_", $A11)-1),$A11),'CMT-inter'!$B$1:$B$33,0),MATCH(F$1,'CMT-inter'!$A$1:$M$1,0)),"")</f>
        <v/>
      </c>
      <c r="G11" t="str">
        <f>IFERROR(INDEX('CMT-inter'!$A$1:$M$33,MATCH(IF(IFERROR(SEARCH("_",$A11),0)&gt;0,LEFT($A11, FIND("_", $A11)-1),$A11),'CMT-inter'!$B$1:$B$33,0),MATCH(G$1,'CMT-inter'!$A$1:$M$1,0)),"")</f>
        <v/>
      </c>
      <c r="H11" t="str">
        <f>IFERROR(IF(IFERROR(SEARCH("CTRL",$A11),FALSE),SUBSTITUTE( INDEX('CMT-inter'!$A$1:$M$33,MATCH(SUBSTITUTE(IF(IFERROR(SEARCH("_",$A11),0)&gt;0,LEFT($A11, FIND("_", $A11)-1),$A11),"CTRL","CELL"),'CMT-inter'!$B$1:$B$33,0),MATCH(H$1,'CMT-inter'!$A$1:$M$1,0)),"CELL","CTRL"), INDEX('CMT-inter'!$A$1:$M$33,MATCH(IF(IFERROR(SEARCH("_",$A11),0)&gt;0,LEFT($A11, FIND("_", $A11)-1),$A11),'CMT-inter'!$B$1:$B$33,0),MATCH(H$1,'CMT-inter'!$A$1:$M$1,0))),"")</f>
        <v>CTRL03</v>
      </c>
      <c r="I11" t="str">
        <f>IFERROR(INDEX('CMT-inter'!$A$1:$M$33,MATCH(IF(IFERROR(SEARCH("_",$A11),0)&gt;0,LEFT($A11, FIND("_", $A11)-1),$A11),'CMT-inter'!$B$1:$B$33,0),MATCH("OFFER EXPIRES",'CMT-inter'!$A$1:$M$1,0)),"")</f>
        <v/>
      </c>
      <c r="J11" t="str">
        <f>IFERROR(INDEX('CMT-inter'!$A$1:$M$33,MATCH(IF(IFERROR(SEARCH("_",$A11),0)&gt;0,LEFT($A11, FIND("_", $A11)-1),$A11),'CMT-inter'!$B$1:$B$33,0),MATCH(J$1,'CMT-inter'!$A$1:$M$1,0)),"")</f>
        <v/>
      </c>
      <c r="K11" t="str">
        <f>'cell parameters'!F11</f>
        <v>club='128','169','191','222','223','224','225','226','235','382','383','384','385','386','387','388','389','390','391','392','395':utuc='uc_pp':mbrcode='PP','PT':force_in='1'</v>
      </c>
      <c r="M11" t="str">
        <f>'cell parameters'!E11</f>
        <v>exclclub_force_utuc_mbrcode_dyn</v>
      </c>
      <c r="N11">
        <f t="shared" si="0"/>
        <v>10</v>
      </c>
      <c r="O11" t="s">
        <v>566</v>
      </c>
      <c r="Q11" t="str">
        <f>IFERROR(INDEX('CMT-inter'!$A$1:$M$33,MATCH(IF(IFERROR(SEARCH("_",$A11),0)&gt;0,LEFT($A11, FIND("_", $A11)-1),$A11),'CMT-inter'!$B$1:$B$33,0),MATCH("Market Code",'CMT-inter'!$A$1:$M$1,0)),"")</f>
        <v/>
      </c>
      <c r="R11">
        <v>4</v>
      </c>
      <c r="S11" t="str">
        <f>IFERROR(INDEX('CMT-inter'!$A$1:$M$33,MATCH(IF(IFERROR(SEARCH("_",$A11),0)&gt;0,LEFT($A11, FIND("_", $A11)-1),$A11),'CMT-inter'!$B$1:$B$33,0),MATCH(S$1,'CMT-inter'!$A$1:$M$1,0)),"")</f>
        <v/>
      </c>
    </row>
    <row r="12" spans="1:19" x14ac:dyDescent="0.35">
      <c r="A12" t="s">
        <v>575</v>
      </c>
      <c r="B12">
        <f>IFERROR(INDEX('CMT-inter'!$A$1:$M$33,MATCH(SUBSTITUTE(IF(IFERROR(SEARCH("_",$A12),0)&gt;0,LEFT($A12, FIND("_", $A12)-1),$A12),"CTRL","CELL"),'CMT-inter'!$B$1:$B$33,0),MATCH(B$1,'CMT-inter'!$A$1:$M$1,0)),"")</f>
        <v>20221201</v>
      </c>
      <c r="D12" t="str">
        <f ca="1">IFERROR(INDEX('CMT-inter'!$A$1:$M$33,MATCH(IF(IFERROR(SEARCH("_",$A12),0)&gt;0,LEFT($A12, FIND("_", $A12)-1),$A12),'CMT-inter'!$B$1:$B$33,0),MATCH(D$1,'CMT-inter'!$A$1:$M$1,0)),"")</f>
        <v>20221201</v>
      </c>
      <c r="E12" t="b">
        <v>0</v>
      </c>
      <c r="F12" t="str">
        <f ca="1">IFERROR(INDEX('CMT-inter'!$A$1:$M$33,MATCH(IF(IFERROR(SEARCH("_",$A12),0)&gt;0,LEFT($A12, FIND("_", $A12)-1),$A12),'CMT-inter'!$B$1:$B$33,0),MATCH(F$1,'CMT-inter'!$A$1:$M$1,0)),"")</f>
        <v>20221201</v>
      </c>
      <c r="G12">
        <f>IFERROR(INDEX('CMT-inter'!$A$1:$M$33,MATCH(IF(IFERROR(SEARCH("_",$A12),0)&gt;0,LEFT($A12, FIND("_", $A12)-1),$A12),'CMT-inter'!$B$1:$B$33,0),MATCH(G$1,'CMT-inter'!$A$1:$M$1,0)),"")</f>
        <v>20221014</v>
      </c>
      <c r="H12" t="str">
        <f>IFERROR(IF(IFERROR(SEARCH("CTRL",$A12),FALSE),SUBSTITUTE( INDEX('CMT-inter'!$A$1:$M$33,MATCH(SUBSTITUTE(IF(IFERROR(SEARCH("_",$A12),0)&gt;0,LEFT($A12, FIND("_", $A12)-1),$A12),"CTRL","CELL"),'CMT-inter'!$B$1:$B$33,0),MATCH(H$1,'CMT-inter'!$A$1:$M$1,0)),"CELL","CTRL"), INDEX('CMT-inter'!$A$1:$M$33,MATCH(IF(IFERROR(SEARCH("_",$A12),0)&gt;0,LEFT($A12, FIND("_", $A12)-1),$A12),'CMT-inter'!$B$1:$B$33,0),MATCH(H$1,'CMT-inter'!$A$1:$M$1,0))),"")</f>
        <v>CELL03</v>
      </c>
      <c r="I12" t="str">
        <f>IFERROR(INDEX('CMT-inter'!$A$1:$M$33,MATCH(IF(IFERROR(SEARCH("_",$A12),0)&gt;0,LEFT($A12, FIND("_", $A12)-1),$A12),'CMT-inter'!$B$1:$B$33,0),MATCH("OFFER EXPIRES",'CMT-inter'!$A$1:$M$1,0)),"")</f>
        <v>20230108</v>
      </c>
      <c r="J12" t="str">
        <f ca="1">IFERROR(INDEX('CMT-inter'!$A$1:$M$33,MATCH(IF(IFERROR(SEARCH("_",$A12),0)&gt;0,LEFT($A12, FIND("_", $A12)-1),$A12),'CMT-inter'!$B$1:$B$33,0),MATCH(J$1,'CMT-inter'!$A$1:$M$1,0)),"")</f>
        <v>20221201</v>
      </c>
      <c r="K12" t="str">
        <f>'cell parameters'!F12</f>
        <v>club='128','169','191','222','223','224','225','226','235','382','383','384','385','386','387','388','389','390','391','392','395':test_condition='(mbr_stts_cd in ("VC","CR") or addr_type_flg in ("J","S") ) and past_mbr_cd in ("LP","LT")'</v>
      </c>
      <c r="M12" t="str">
        <f>'cell parameters'!E12</f>
        <v>test_condition_exclclub_dyn</v>
      </c>
      <c r="N12">
        <f t="shared" si="0"/>
        <v>11</v>
      </c>
      <c r="O12" t="s">
        <v>566</v>
      </c>
      <c r="Q12" t="str">
        <f>IFERROR(INDEX('CMT-inter'!$A$1:$M$33,MATCH(IF(IFERROR(SEARCH("_",$A12),0)&gt;0,LEFT($A12, FIND("_", $A12)-1),$A12),'CMT-inter'!$B$1:$B$33,0),MATCH("Market Code",'CMT-inter'!$A$1:$M$1,0)),"")</f>
        <v>DMDEC3</v>
      </c>
      <c r="S12" t="str">
        <f>IFERROR(INDEX('CMT-inter'!$A$1:$M$33,MATCH(IF(IFERROR(SEARCH("_",$A12),0)&gt;0,LEFT($A12, FIND("_", $A12)-1),$A12),'CMT-inter'!$B$1:$B$33,0),MATCH(S$1,'CMT-inter'!$A$1:$M$1,0)),"")</f>
        <v>letter</v>
      </c>
    </row>
    <row r="13" spans="1:19" x14ac:dyDescent="0.35">
      <c r="A13" t="s">
        <v>576</v>
      </c>
      <c r="B13">
        <f>IFERROR(INDEX('CMT-inter'!$A$1:$M$33,MATCH(SUBSTITUTE(IF(IFERROR(SEARCH("_",$A13),0)&gt;0,LEFT($A13, FIND("_", $A13)-1),$A13),"CTRL","CELL"),'CMT-inter'!$B$1:$B$33,0),MATCH(B$1,'CMT-inter'!$A$1:$M$1,0)),"")</f>
        <v>20221201</v>
      </c>
      <c r="D13" t="str">
        <f ca="1">IFERROR(INDEX('CMT-inter'!$A$1:$M$33,MATCH(IF(IFERROR(SEARCH("_",$A13),0)&gt;0,LEFT($A13, FIND("_", $A13)-1),$A13),'CMT-inter'!$B$1:$B$33,0),MATCH(D$1,'CMT-inter'!$A$1:$M$1,0)),"")</f>
        <v>20221201</v>
      </c>
      <c r="E13" t="b">
        <v>0</v>
      </c>
      <c r="F13" t="str">
        <f ca="1">IFERROR(INDEX('CMT-inter'!$A$1:$M$33,MATCH(IF(IFERROR(SEARCH("_",$A13),0)&gt;0,LEFT($A13, FIND("_", $A13)-1),$A13),'CMT-inter'!$B$1:$B$33,0),MATCH(F$1,'CMT-inter'!$A$1:$M$1,0)),"")</f>
        <v>20221201</v>
      </c>
      <c r="G13">
        <f>IFERROR(INDEX('CMT-inter'!$A$1:$M$33,MATCH(IF(IFERROR(SEARCH("_",$A13),0)&gt;0,LEFT($A13, FIND("_", $A13)-1),$A13),'CMT-inter'!$B$1:$B$33,0),MATCH(G$1,'CMT-inter'!$A$1:$M$1,0)),"")</f>
        <v>20221014</v>
      </c>
      <c r="H13" t="str">
        <f>IFERROR(IF(IFERROR(SEARCH("CTRL",$A13),FALSE),SUBSTITUTE( INDEX('CMT-inter'!$A$1:$M$33,MATCH(SUBSTITUTE(IF(IFERROR(SEARCH("_",$A13),0)&gt;0,LEFT($A13, FIND("_", $A13)-1),$A13),"CTRL","CELL"),'CMT-inter'!$B$1:$B$33,0),MATCH(H$1,'CMT-inter'!$A$1:$M$1,0)),"CELL","CTRL"), INDEX('CMT-inter'!$A$1:$M$33,MATCH(IF(IFERROR(SEARCH("_",$A13),0)&gt;0,LEFT($A13, FIND("_", $A13)-1),$A13),'CMT-inter'!$B$1:$B$33,0),MATCH(H$1,'CMT-inter'!$A$1:$M$1,0))),"")</f>
        <v>CELL12</v>
      </c>
      <c r="I13" t="str">
        <f>IFERROR(INDEX('CMT-inter'!$A$1:$M$33,MATCH(IF(IFERROR(SEARCH("_",$A13),0)&gt;0,LEFT($A13, FIND("_", $A13)-1),$A13),'CMT-inter'!$B$1:$B$33,0),MATCH("OFFER EXPIRES",'CMT-inter'!$A$1:$M$1,0)),"")</f>
        <v>20230108</v>
      </c>
      <c r="J13" t="str">
        <f ca="1">IFERROR(INDEX('CMT-inter'!$A$1:$M$33,MATCH(IF(IFERROR(SEARCH("_",$A13),0)&gt;0,LEFT($A13, FIND("_", $A13)-1),$A13),'CMT-inter'!$B$1:$B$33,0),MATCH(J$1,'CMT-inter'!$A$1:$M$1,0)),"")</f>
        <v>20221201</v>
      </c>
      <c r="K13" t="str">
        <f>'cell parameters'!F13</f>
        <v>club='128','169','191','223','224','225','382','383','384','385','387','389','392','388':utuc='ut_pp':mbrcode='LP','LT':force_in='1'</v>
      </c>
      <c r="M13" t="str">
        <f>'cell parameters'!E13</f>
        <v>exclclub_force_utuc_mbrcode_dyn</v>
      </c>
      <c r="N13">
        <f t="shared" si="0"/>
        <v>12</v>
      </c>
      <c r="O13" t="s">
        <v>566</v>
      </c>
      <c r="Q13" t="str">
        <f>IFERROR(INDEX('CMT-inter'!$A$1:$M$33,MATCH(IF(IFERROR(SEARCH("_",$A13),0)&gt;0,LEFT($A13, FIND("_", $A13)-1),$A13),'CMT-inter'!$B$1:$B$33,0),MATCH("Market Code",'CMT-inter'!$A$1:$M$1,0)),"")</f>
        <v>EZDC12</v>
      </c>
      <c r="R13">
        <v>5</v>
      </c>
      <c r="S13" t="str">
        <f>IFERROR(INDEX('CMT-inter'!$A$1:$M$33,MATCH(IF(IFERROR(SEARCH("_",$A13),0)&gt;0,LEFT($A13, FIND("_", $A13)-1),$A13),'CMT-inter'!$B$1:$B$33,0),MATCH(S$1,'CMT-inter'!$A$1:$M$1,0)),"")</f>
        <v>letter</v>
      </c>
    </row>
    <row r="14" spans="1:19" x14ac:dyDescent="0.35">
      <c r="A14" t="s">
        <v>577</v>
      </c>
      <c r="B14">
        <f>IFERROR(INDEX('CMT-inter'!$A$1:$M$33,MATCH(SUBSTITUTE(IF(IFERROR(SEARCH("_",$A14),0)&gt;0,LEFT($A14, FIND("_", $A14)-1),$A14),"CTRL","CELL"),'CMT-inter'!$B$1:$B$33,0),MATCH(B$1,'CMT-inter'!$A$1:$M$1,0)),"")</f>
        <v>20221201</v>
      </c>
      <c r="D14" t="str">
        <f ca="1">IFERROR(INDEX('CMT-inter'!$A$1:$M$33,MATCH(IF(IFERROR(SEARCH("_",$A14),0)&gt;0,LEFT($A14, FIND("_", $A14)-1),$A14),'CMT-inter'!$B$1:$B$33,0),MATCH(D$1,'CMT-inter'!$A$1:$M$1,0)),"")</f>
        <v>20221201</v>
      </c>
      <c r="E14" t="b">
        <v>0</v>
      </c>
      <c r="F14" t="str">
        <f ca="1">IFERROR(INDEX('CMT-inter'!$A$1:$M$33,MATCH(IF(IFERROR(SEARCH("_",$A14),0)&gt;0,LEFT($A14, FIND("_", $A14)-1),$A14),'CMT-inter'!$B$1:$B$33,0),MATCH(F$1,'CMT-inter'!$A$1:$M$1,0)),"")</f>
        <v>20221201</v>
      </c>
      <c r="G14">
        <f>IFERROR(INDEX('CMT-inter'!$A$1:$M$33,MATCH(IF(IFERROR(SEARCH("_",$A14),0)&gt;0,LEFT($A14, FIND("_", $A14)-1),$A14),'CMT-inter'!$B$1:$B$33,0),MATCH(G$1,'CMT-inter'!$A$1:$M$1,0)),"")</f>
        <v>20221014</v>
      </c>
      <c r="H14" t="str">
        <f>IFERROR(IF(IFERROR(SEARCH("CTRL",$A14),FALSE),SUBSTITUTE( INDEX('CMT-inter'!$A$1:$M$33,MATCH(SUBSTITUTE(IF(IFERROR(SEARCH("_",$A14),0)&gt;0,LEFT($A14, FIND("_", $A14)-1),$A14),"CTRL","CELL"),'CMT-inter'!$B$1:$B$33,0),MATCH(H$1,'CMT-inter'!$A$1:$M$1,0)),"CELL","CTRL"), INDEX('CMT-inter'!$A$1:$M$33,MATCH(IF(IFERROR(SEARCH("_",$A14),0)&gt;0,LEFT($A14, FIND("_", $A14)-1),$A14),'CMT-inter'!$B$1:$B$33,0),MATCH(H$1,'CMT-inter'!$A$1:$M$1,0))),"")</f>
        <v>CELL12</v>
      </c>
      <c r="I14" t="str">
        <f>IFERROR(INDEX('CMT-inter'!$A$1:$M$33,MATCH(IF(IFERROR(SEARCH("_",$A14),0)&gt;0,LEFT($A14, FIND("_", $A14)-1),$A14),'CMT-inter'!$B$1:$B$33,0),MATCH("OFFER EXPIRES",'CMT-inter'!$A$1:$M$1,0)),"")</f>
        <v>20230108</v>
      </c>
      <c r="J14" t="str">
        <f ca="1">IFERROR(INDEX('CMT-inter'!$A$1:$M$33,MATCH(IF(IFERROR(SEARCH("_",$A14),0)&gt;0,LEFT($A14, FIND("_", $A14)-1),$A14),'CMT-inter'!$B$1:$B$33,0),MATCH(J$1,'CMT-inter'!$A$1:$M$1,0)),"")</f>
        <v>20221201</v>
      </c>
      <c r="K14" t="str">
        <f>'cell parameters'!F14</f>
        <v>club='128','169','191','223','224','225','382','383','384','385','387','389','392','388':utuc='uc_pp':mbrcode='LP','LT':force_in='1'</v>
      </c>
      <c r="M14" t="str">
        <f>'cell parameters'!E14</f>
        <v>exclclub_force_utuc_mbrcode_dyn</v>
      </c>
      <c r="N14">
        <f t="shared" si="0"/>
        <v>13</v>
      </c>
      <c r="O14" t="s">
        <v>566</v>
      </c>
      <c r="Q14" t="str">
        <f>IFERROR(INDEX('CMT-inter'!$A$1:$M$33,MATCH(IF(IFERROR(SEARCH("_",$A14),0)&gt;0,LEFT($A14, FIND("_", $A14)-1),$A14),'CMT-inter'!$B$1:$B$33,0),MATCH("Market Code",'CMT-inter'!$A$1:$M$1,0)),"")</f>
        <v>EZDC12</v>
      </c>
      <c r="R14">
        <v>5</v>
      </c>
      <c r="S14" t="str">
        <f>IFERROR(INDEX('CMT-inter'!$A$1:$M$33,MATCH(IF(IFERROR(SEARCH("_",$A14),0)&gt;0,LEFT($A14, FIND("_", $A14)-1),$A14),'CMT-inter'!$B$1:$B$33,0),MATCH(S$1,'CMT-inter'!$A$1:$M$1,0)),"")</f>
        <v>letter</v>
      </c>
    </row>
    <row r="15" spans="1:19" hidden="1" x14ac:dyDescent="0.35">
      <c r="A15" t="s">
        <v>578</v>
      </c>
      <c r="B15">
        <f>IFERROR(INDEX('CMT-inter'!$A$1:$M$33,MATCH(SUBSTITUTE(IF(IFERROR(SEARCH("_",$A15),0)&gt;0,LEFT($A15, FIND("_", $A15)-1),$A15),"CTRL","CELL"),'CMT-inter'!$B$1:$B$33,0),MATCH(B$1,'CMT-inter'!$A$1:$M$1,0)),"")</f>
        <v>20221201</v>
      </c>
      <c r="D15" t="str">
        <f>IFERROR(INDEX('CMT-inter'!$A$1:$M$33,MATCH(IF(IFERROR(SEARCH("_",$A15),0)&gt;0,LEFT($A15, FIND("_", $A15)-1),$A15),'CMT-inter'!$B$1:$B$33,0),MATCH(D$1,'CMT-inter'!$A$1:$M$1,0)),"")</f>
        <v/>
      </c>
      <c r="E15" t="b">
        <v>0</v>
      </c>
      <c r="F15" t="str">
        <f>IFERROR(INDEX('CMT-inter'!$A$1:$M$33,MATCH(IF(IFERROR(SEARCH("_",$A15),0)&gt;0,LEFT($A15, FIND("_", $A15)-1),$A15),'CMT-inter'!$B$1:$B$33,0),MATCH(F$1,'CMT-inter'!$A$1:$M$1,0)),"")</f>
        <v/>
      </c>
      <c r="G15" t="str">
        <f>IFERROR(INDEX('CMT-inter'!$A$1:$M$33,MATCH(IF(IFERROR(SEARCH("_",$A15),0)&gt;0,LEFT($A15, FIND("_", $A15)-1),$A15),'CMT-inter'!$B$1:$B$33,0),MATCH(G$1,'CMT-inter'!$A$1:$M$1,0)),"")</f>
        <v/>
      </c>
      <c r="H15" t="str">
        <f>IFERROR(IF(IFERROR(SEARCH("CTRL",$A15),FALSE),SUBSTITUTE( INDEX('CMT-inter'!$A$1:$M$33,MATCH(SUBSTITUTE(IF(IFERROR(SEARCH("_",$A15),0)&gt;0,LEFT($A15, FIND("_", $A15)-1),$A15),"CTRL","CELL"),'CMT-inter'!$B$1:$B$33,0),MATCH(H$1,'CMT-inter'!$A$1:$M$1,0)),"CELL","CTRL"), INDEX('CMT-inter'!$A$1:$M$33,MATCH(IF(IFERROR(SEARCH("_",$A15),0)&gt;0,LEFT($A15, FIND("_", $A15)-1),$A15),'CMT-inter'!$B$1:$B$33,0),MATCH(H$1,'CMT-inter'!$A$1:$M$1,0))),"")</f>
        <v>CTRL03</v>
      </c>
      <c r="I15" t="str">
        <f>IFERROR(INDEX('CMT-inter'!$A$1:$M$33,MATCH(IF(IFERROR(SEARCH("_",$A15),0)&gt;0,LEFT($A15, FIND("_", $A15)-1),$A15),'CMT-inter'!$B$1:$B$33,0),MATCH("OFFER EXPIRES",'CMT-inter'!$A$1:$M$1,0)),"")</f>
        <v/>
      </c>
      <c r="J15" t="str">
        <f>IFERROR(INDEX('CMT-inter'!$A$1:$M$33,MATCH(IF(IFERROR(SEARCH("_",$A15),0)&gt;0,LEFT($A15, FIND("_", $A15)-1),$A15),'CMT-inter'!$B$1:$B$33,0),MATCH(J$1,'CMT-inter'!$A$1:$M$1,0)),"")</f>
        <v/>
      </c>
      <c r="K15" t="str">
        <f>'cell parameters'!F15</f>
        <v>club='128','169','191','222','223','224','225','226','235','382','383','384','385','386','387','388','389','390','391','392','395':wave_condition='wave_p=1 and wave_op=1':mbrcode='PP','PT'</v>
      </c>
      <c r="L15" t="s">
        <v>579</v>
      </c>
      <c r="M15" t="str">
        <f>'cell parameters'!E15</f>
        <v>dev_pcoa_exclclub_mbrcode_dyn</v>
      </c>
      <c r="N15">
        <f t="shared" si="0"/>
        <v>14</v>
      </c>
      <c r="O15" t="s">
        <v>566</v>
      </c>
      <c r="Q15" t="str">
        <f>IFERROR(INDEX('CMT-inter'!$A$1:$M$33,MATCH(IF(IFERROR(SEARCH("_",$A15),0)&gt;0,LEFT($A15, FIND("_", $A15)-1),$A15),'CMT-inter'!$B$1:$B$33,0),MATCH("Market Code",'CMT-inter'!$A$1:$M$1,0)),"")</f>
        <v/>
      </c>
      <c r="R15">
        <v>6</v>
      </c>
      <c r="S15" t="str">
        <f>IFERROR(INDEX('CMT-inter'!$A$1:$M$33,MATCH(IF(IFERROR(SEARCH("_",$A15),0)&gt;0,LEFT($A15, FIND("_", $A15)-1),$A15),'CMT-inter'!$B$1:$B$33,0),MATCH(S$1,'CMT-inter'!$A$1:$M$1,0)),"")</f>
        <v/>
      </c>
    </row>
    <row r="16" spans="1:19" x14ac:dyDescent="0.35">
      <c r="A16" t="s">
        <v>580</v>
      </c>
      <c r="B16">
        <f>IFERROR(INDEX('CMT-inter'!$A$1:$M$33,MATCH(SUBSTITUTE(IF(IFERROR(SEARCH("_",$A16),0)&gt;0,LEFT($A16, FIND("_", $A16)-1),$A16),"CTRL","CELL"),'CMT-inter'!$B$1:$B$33,0),MATCH(B$1,'CMT-inter'!$A$1:$M$1,0)),"")</f>
        <v>20221201</v>
      </c>
      <c r="D16" t="str">
        <f ca="1">IFERROR(INDEX('CMT-inter'!$A$1:$M$33,MATCH(IF(IFERROR(SEARCH("_",$A16),0)&gt;0,LEFT($A16, FIND("_", $A16)-1),$A16),'CMT-inter'!$B$1:$B$33,0),MATCH(D$1,'CMT-inter'!$A$1:$M$1,0)),"")</f>
        <v>20221201</v>
      </c>
      <c r="E16" t="b">
        <v>0</v>
      </c>
      <c r="F16" t="str">
        <f ca="1">IFERROR(INDEX('CMT-inter'!$A$1:$M$33,MATCH(IF(IFERROR(SEARCH("_",$A16),0)&gt;0,LEFT($A16, FIND("_", $A16)-1),$A16),'CMT-inter'!$B$1:$B$33,0),MATCH(F$1,'CMT-inter'!$A$1:$M$1,0)),"")</f>
        <v>20221201</v>
      </c>
      <c r="G16">
        <f>IFERROR(INDEX('CMT-inter'!$A$1:$M$33,MATCH(IF(IFERROR(SEARCH("_",$A16),0)&gt;0,LEFT($A16, FIND("_", $A16)-1),$A16),'CMT-inter'!$B$1:$B$33,0),MATCH(G$1,'CMT-inter'!$A$1:$M$1,0)),"")</f>
        <v>20221014</v>
      </c>
      <c r="H16" t="str">
        <f>IFERROR(IF(IFERROR(SEARCH("CTRL",$A16),FALSE),SUBSTITUTE( INDEX('CMT-inter'!$A$1:$M$33,MATCH(SUBSTITUTE(IF(IFERROR(SEARCH("_",$A16),0)&gt;0,LEFT($A16, FIND("_", $A16)-1),$A16),"CTRL","CELL"),'CMT-inter'!$B$1:$B$33,0),MATCH(H$1,'CMT-inter'!$A$1:$M$1,0)),"CELL","CTRL"), INDEX('CMT-inter'!$A$1:$M$33,MATCH(IF(IFERROR(SEARCH("_",$A16),0)&gt;0,LEFT($A16, FIND("_", $A16)-1),$A16),'CMT-inter'!$B$1:$B$33,0),MATCH(H$1,'CMT-inter'!$A$1:$M$1,0))),"")</f>
        <v>CELL03</v>
      </c>
      <c r="I16" t="str">
        <f>IFERROR(INDEX('CMT-inter'!$A$1:$M$33,MATCH(IF(IFERROR(SEARCH("_",$A16),0)&gt;0,LEFT($A16, FIND("_", $A16)-1),$A16),'CMT-inter'!$B$1:$B$33,0),MATCH("OFFER EXPIRES",'CMT-inter'!$A$1:$M$1,0)),"")</f>
        <v>20230108</v>
      </c>
      <c r="J16" t="str">
        <f ca="1">IFERROR(INDEX('CMT-inter'!$A$1:$M$33,MATCH(IF(IFERROR(SEARCH("_",$A16),0)&gt;0,LEFT($A16, FIND("_", $A16)-1),$A16),'CMT-inter'!$B$1:$B$33,0),MATCH(J$1,'CMT-inter'!$A$1:$M$1,0)),"")</f>
        <v>20221201</v>
      </c>
      <c r="K16" t="str">
        <f>'cell parameters'!F16</f>
        <v>club='128','169','191','222','223','224','225','226','235','382','383','384','385','386','387','388','389','390','391','392','395':wave_condition='wave_p=1 and wave_op=1':mbrcode='PP','PT'</v>
      </c>
      <c r="M16" t="str">
        <f>'cell parameters'!E16</f>
        <v>dev_pcoa_exclclub_mbrcode_dyn</v>
      </c>
      <c r="N16">
        <f t="shared" si="0"/>
        <v>15</v>
      </c>
      <c r="O16" t="s">
        <v>566</v>
      </c>
      <c r="Q16" t="str">
        <f>IFERROR(INDEX('CMT-inter'!$A$1:$M$33,MATCH(IF(IFERROR(SEARCH("_",$A16),0)&gt;0,LEFT($A16, FIND("_", $A16)-1),$A16),'CMT-inter'!$B$1:$B$33,0),MATCH("Market Code",'CMT-inter'!$A$1:$M$1,0)),"")</f>
        <v>DMDEC3</v>
      </c>
      <c r="R16">
        <v>6</v>
      </c>
      <c r="S16" t="str">
        <f>IFERROR(INDEX('CMT-inter'!$A$1:$M$33,MATCH(IF(IFERROR(SEARCH("_",$A16),0)&gt;0,LEFT($A16, FIND("_", $A16)-1),$A16),'CMT-inter'!$B$1:$B$33,0),MATCH(S$1,'CMT-inter'!$A$1:$M$1,0)),"")</f>
        <v>letter</v>
      </c>
    </row>
    <row r="17" spans="1:19" hidden="1" x14ac:dyDescent="0.35">
      <c r="A17" t="s">
        <v>578</v>
      </c>
      <c r="B17">
        <f>IFERROR(INDEX('CMT-inter'!$A$1:$M$33,MATCH(SUBSTITUTE(IF(IFERROR(SEARCH("_",$A17),0)&gt;0,LEFT($A17, FIND("_", $A17)-1),$A17),"CTRL","CELL"),'CMT-inter'!$B$1:$B$33,0),MATCH(B$1,'CMT-inter'!$A$1:$M$1,0)),"")</f>
        <v>20221201</v>
      </c>
      <c r="D17" t="str">
        <f>IFERROR(INDEX('CMT-inter'!$A$1:$M$33,MATCH(IF(IFERROR(SEARCH("_",$A17),0)&gt;0,LEFT($A17, FIND("_", $A17)-1),$A17),'CMT-inter'!$B$1:$B$33,0),MATCH(D$1,'CMT-inter'!$A$1:$M$1,0)),"")</f>
        <v/>
      </c>
      <c r="E17" t="b">
        <v>0</v>
      </c>
      <c r="F17" t="str">
        <f>IFERROR(INDEX('CMT-inter'!$A$1:$M$33,MATCH(IF(IFERROR(SEARCH("_",$A17),0)&gt;0,LEFT($A17, FIND("_", $A17)-1),$A17),'CMT-inter'!$B$1:$B$33,0),MATCH(F$1,'CMT-inter'!$A$1:$M$1,0)),"")</f>
        <v/>
      </c>
      <c r="G17" t="str">
        <f>IFERROR(INDEX('CMT-inter'!$A$1:$M$33,MATCH(IF(IFERROR(SEARCH("_",$A17),0)&gt;0,LEFT($A17, FIND("_", $A17)-1),$A17),'CMT-inter'!$B$1:$B$33,0),MATCH(G$1,'CMT-inter'!$A$1:$M$1,0)),"")</f>
        <v/>
      </c>
      <c r="H17" t="str">
        <f>IFERROR(IF(IFERROR(SEARCH("CTRL",$A17),FALSE),SUBSTITUTE( INDEX('CMT-inter'!$A$1:$M$33,MATCH(SUBSTITUTE(IF(IFERROR(SEARCH("_",$A17),0)&gt;0,LEFT($A17, FIND("_", $A17)-1),$A17),"CTRL","CELL"),'CMT-inter'!$B$1:$B$33,0),MATCH(H$1,'CMT-inter'!$A$1:$M$1,0)),"CELL","CTRL"), INDEX('CMT-inter'!$A$1:$M$33,MATCH(IF(IFERROR(SEARCH("_",$A17),0)&gt;0,LEFT($A17, FIND("_", $A17)-1),$A17),'CMT-inter'!$B$1:$B$33,0),MATCH(H$1,'CMT-inter'!$A$1:$M$1,0))),"")</f>
        <v>CTRL03</v>
      </c>
      <c r="I17" t="str">
        <f>IFERROR(INDEX('CMT-inter'!$A$1:$M$33,MATCH(IF(IFERROR(SEARCH("_",$A17),0)&gt;0,LEFT($A17, FIND("_", $A17)-1),$A17),'CMT-inter'!$B$1:$B$33,0),MATCH("OFFER EXPIRES",'CMT-inter'!$A$1:$M$1,0)),"")</f>
        <v/>
      </c>
      <c r="J17" t="str">
        <f>IFERROR(INDEX('CMT-inter'!$A$1:$M$33,MATCH(IF(IFERROR(SEARCH("_",$A17),0)&gt;0,LEFT($A17, FIND("_", $A17)-1),$A17),'CMT-inter'!$B$1:$B$33,0),MATCH(J$1,'CMT-inter'!$A$1:$M$1,0)),"")</f>
        <v/>
      </c>
      <c r="K17" t="str">
        <f>'cell parameters'!F17</f>
        <v>club='128','169','191','222','223','224','225','226','235','382','383','384','385','386','387','388','389','390','391','392','395':wave_condition='wave_p=1 and wave_op=1':mbrcode='PP','PT':bjs_cell='CTRL03_OP_P'</v>
      </c>
      <c r="M17" t="str">
        <f>'cell parameters'!E17</f>
        <v>dev_subset_pcoa_exclclub_mbrcode_dyn</v>
      </c>
      <c r="N17">
        <f t="shared" si="0"/>
        <v>16</v>
      </c>
      <c r="O17" t="s">
        <v>566</v>
      </c>
      <c r="Q17" t="str">
        <f>IFERROR(INDEX('CMT-inter'!$A$1:$M$33,MATCH(IF(IFERROR(SEARCH("_",$A17),0)&gt;0,LEFT($A17, FIND("_", $A17)-1),$A17),'CMT-inter'!$B$1:$B$33,0),MATCH("Market Code",'CMT-inter'!$A$1:$M$1,0)),"")</f>
        <v/>
      </c>
      <c r="R17">
        <v>6</v>
      </c>
      <c r="S17" t="str">
        <f>IFERROR(INDEX('CMT-inter'!$A$1:$M$33,MATCH(IF(IFERROR(SEARCH("_",$A17),0)&gt;0,LEFT($A17, FIND("_", $A17)-1),$A17),'CMT-inter'!$B$1:$B$33,0),MATCH(S$1,'CMT-inter'!$A$1:$M$1,0)),"")</f>
        <v/>
      </c>
    </row>
    <row r="18" spans="1:19" x14ac:dyDescent="0.35">
      <c r="A18" t="s">
        <v>580</v>
      </c>
      <c r="B18">
        <f>IFERROR(INDEX('CMT-inter'!$A$1:$M$33,MATCH(SUBSTITUTE(IF(IFERROR(SEARCH("_",$A18),0)&gt;0,LEFT($A18, FIND("_", $A18)-1),$A18),"CTRL","CELL"),'CMT-inter'!$B$1:$B$33,0),MATCH(B$1,'CMT-inter'!$A$1:$M$1,0)),"")</f>
        <v>20221201</v>
      </c>
      <c r="D18" t="str">
        <f ca="1">IFERROR(INDEX('CMT-inter'!$A$1:$M$33,MATCH(IF(IFERROR(SEARCH("_",$A18),0)&gt;0,LEFT($A18, FIND("_", $A18)-1),$A18),'CMT-inter'!$B$1:$B$33,0),MATCH(D$1,'CMT-inter'!$A$1:$M$1,0)),"")</f>
        <v>20221201</v>
      </c>
      <c r="E18" t="b">
        <v>0</v>
      </c>
      <c r="F18" t="str">
        <f ca="1">IFERROR(INDEX('CMT-inter'!$A$1:$M$33,MATCH(IF(IFERROR(SEARCH("_",$A18),0)&gt;0,LEFT($A18, FIND("_", $A18)-1),$A18),'CMT-inter'!$B$1:$B$33,0),MATCH(F$1,'CMT-inter'!$A$1:$M$1,0)),"")</f>
        <v>20221201</v>
      </c>
      <c r="G18">
        <f>IFERROR(INDEX('CMT-inter'!$A$1:$M$33,MATCH(IF(IFERROR(SEARCH("_",$A18),0)&gt;0,LEFT($A18, FIND("_", $A18)-1),$A18),'CMT-inter'!$B$1:$B$33,0),MATCH(G$1,'CMT-inter'!$A$1:$M$1,0)),"")</f>
        <v>20221014</v>
      </c>
      <c r="H18" t="str">
        <f>IFERROR(IF(IFERROR(SEARCH("CTRL",$A18),FALSE),SUBSTITUTE( INDEX('CMT-inter'!$A$1:$M$33,MATCH(SUBSTITUTE(IF(IFERROR(SEARCH("_",$A18),0)&gt;0,LEFT($A18, FIND("_", $A18)-1),$A18),"CTRL","CELL"),'CMT-inter'!$B$1:$B$33,0),MATCH(H$1,'CMT-inter'!$A$1:$M$1,0)),"CELL","CTRL"), INDEX('CMT-inter'!$A$1:$M$33,MATCH(IF(IFERROR(SEARCH("_",$A18),0)&gt;0,LEFT($A18, FIND("_", $A18)-1),$A18),'CMT-inter'!$B$1:$B$33,0),MATCH(H$1,'CMT-inter'!$A$1:$M$1,0))),"")</f>
        <v>CELL03</v>
      </c>
      <c r="I18" t="str">
        <f>IFERROR(INDEX('CMT-inter'!$A$1:$M$33,MATCH(IF(IFERROR(SEARCH("_",$A18),0)&gt;0,LEFT($A18, FIND("_", $A18)-1),$A18),'CMT-inter'!$B$1:$B$33,0),MATCH("OFFER EXPIRES",'CMT-inter'!$A$1:$M$1,0)),"")</f>
        <v>20230108</v>
      </c>
      <c r="J18" t="str">
        <f ca="1">IFERROR(INDEX('CMT-inter'!$A$1:$M$33,MATCH(IF(IFERROR(SEARCH("_",$A18),0)&gt;0,LEFT($A18, FIND("_", $A18)-1),$A18),'CMT-inter'!$B$1:$B$33,0),MATCH(J$1,'CMT-inter'!$A$1:$M$1,0)),"")</f>
        <v>20221201</v>
      </c>
      <c r="K18" t="str">
        <f>'cell parameters'!F18</f>
        <v>club='128','169','191','222','223','224','225','226','235','382','383','384','385','386','387','388','389','390','391','392','395':wave_condition='wave_p=1 and wave_op=1':mbrcode='PP','PT':bjs_cell='CELL03_OP_P'</v>
      </c>
      <c r="M18" t="str">
        <f>'cell parameters'!E18</f>
        <v>dev_subset_pcoa_exclclub_mbrcode_dyn</v>
      </c>
      <c r="N18">
        <f t="shared" si="0"/>
        <v>17</v>
      </c>
      <c r="O18" t="s">
        <v>566</v>
      </c>
      <c r="Q18" t="str">
        <f>IFERROR(INDEX('CMT-inter'!$A$1:$M$33,MATCH(IF(IFERROR(SEARCH("_",$A18),0)&gt;0,LEFT($A18, FIND("_", $A18)-1),$A18),'CMT-inter'!$B$1:$B$33,0),MATCH("Market Code",'CMT-inter'!$A$1:$M$1,0)),"")</f>
        <v>DMDEC3</v>
      </c>
      <c r="R18">
        <v>6</v>
      </c>
      <c r="S18" t="str">
        <f>IFERROR(INDEX('CMT-inter'!$A$1:$M$33,MATCH(IF(IFERROR(SEARCH("_",$A18),0)&gt;0,LEFT($A18, FIND("_", $A18)-1),$A18),'CMT-inter'!$B$1:$B$33,0),MATCH(S$1,'CMT-inter'!$A$1:$M$1,0)),"")</f>
        <v>letter</v>
      </c>
    </row>
    <row r="19" spans="1:19" x14ac:dyDescent="0.35">
      <c r="A19" t="s">
        <v>581</v>
      </c>
      <c r="B19">
        <f>IFERROR(INDEX('CMT-inter'!$A$1:$M$33,MATCH(SUBSTITUTE(IF(IFERROR(SEARCH("_",$A19),0)&gt;0,LEFT($A19, FIND("_", $A19)-1),$A19),"CTRL","CELL"),'CMT-inter'!$B$1:$B$33,0),MATCH(B$1,'CMT-inter'!$A$1:$M$1,0)),"")</f>
        <v>20221201</v>
      </c>
      <c r="D19" t="str">
        <f ca="1">IFERROR(INDEX('CMT-inter'!$A$1:$M$33,MATCH(IF(IFERROR(SEARCH("_",$A19),0)&gt;0,LEFT($A19, FIND("_", $A19)-1),$A19),'CMT-inter'!$B$1:$B$33,0),MATCH(D$1,'CMT-inter'!$A$1:$M$1,0)),"")</f>
        <v>20221201</v>
      </c>
      <c r="E19" t="b">
        <v>0</v>
      </c>
      <c r="F19" t="str">
        <f ca="1">IFERROR(INDEX('CMT-inter'!$A$1:$M$33,MATCH(IF(IFERROR(SEARCH("_",$A19),0)&gt;0,LEFT($A19, FIND("_", $A19)-1),$A19),'CMT-inter'!$B$1:$B$33,0),MATCH(F$1,'CMT-inter'!$A$1:$M$1,0)),"")</f>
        <v>20221201</v>
      </c>
      <c r="G19">
        <f>IFERROR(INDEX('CMT-inter'!$A$1:$M$33,MATCH(IF(IFERROR(SEARCH("_",$A19),0)&gt;0,LEFT($A19, FIND("_", $A19)-1),$A19),'CMT-inter'!$B$1:$B$33,0),MATCH(G$1,'CMT-inter'!$A$1:$M$1,0)),"")</f>
        <v>20221014</v>
      </c>
      <c r="H19" t="str">
        <f>IFERROR(IF(IFERROR(SEARCH("CTRL",$A19),FALSE),SUBSTITUTE( INDEX('CMT-inter'!$A$1:$M$33,MATCH(SUBSTITUTE(IF(IFERROR(SEARCH("_",$A19),0)&gt;0,LEFT($A19, FIND("_", $A19)-1),$A19),"CTRL","CELL"),'CMT-inter'!$B$1:$B$33,0),MATCH(H$1,'CMT-inter'!$A$1:$M$1,0)),"CELL","CTRL"), INDEX('CMT-inter'!$A$1:$M$33,MATCH(IF(IFERROR(SEARCH("_",$A19),0)&gt;0,LEFT($A19, FIND("_", $A19)-1),$A19),'CMT-inter'!$B$1:$B$33,0),MATCH(H$1,'CMT-inter'!$A$1:$M$1,0))),"")</f>
        <v>CELL03</v>
      </c>
      <c r="I19" t="str">
        <f>IFERROR(INDEX('CMT-inter'!$A$1:$M$33,MATCH(IF(IFERROR(SEARCH("_",$A19),0)&gt;0,LEFT($A19, FIND("_", $A19)-1),$A19),'CMT-inter'!$B$1:$B$33,0),MATCH("OFFER EXPIRES",'CMT-inter'!$A$1:$M$1,0)),"")</f>
        <v>20230108</v>
      </c>
      <c r="J19" t="str">
        <f ca="1">IFERROR(INDEX('CMT-inter'!$A$1:$M$33,MATCH(IF(IFERROR(SEARCH("_",$A19),0)&gt;0,LEFT($A19, FIND("_", $A19)-1),$A19),'CMT-inter'!$B$1:$B$33,0),MATCH(J$1,'CMT-inter'!$A$1:$M$1,0)),"")</f>
        <v>20221201</v>
      </c>
      <c r="K19" t="str">
        <f>'cell parameters'!F19</f>
        <v>club='128','169','191','222','223','224','225','226','235','382','383','384','385','386','387','388','389','390','391','392','395':wave_condition='wave_on=1 and wave_n=1':mbrcode='PP','PT'</v>
      </c>
      <c r="M19" t="str">
        <f>'cell parameters'!E19</f>
        <v>dev_pcoa_exclclub_mbrcode_dyn</v>
      </c>
      <c r="N19">
        <f t="shared" si="0"/>
        <v>18</v>
      </c>
      <c r="O19" t="s">
        <v>566</v>
      </c>
      <c r="Q19" t="str">
        <f>IFERROR(INDEX('CMT-inter'!$A$1:$M$33,MATCH(IF(IFERROR(SEARCH("_",$A19),0)&gt;0,LEFT($A19, FIND("_", $A19)-1),$A19),'CMT-inter'!$B$1:$B$33,0),MATCH("Market Code",'CMT-inter'!$A$1:$M$1,0)),"")</f>
        <v>DMDEC3</v>
      </c>
      <c r="R19">
        <v>7</v>
      </c>
      <c r="S19" t="str">
        <f>IFERROR(INDEX('CMT-inter'!$A$1:$M$33,MATCH(IF(IFERROR(SEARCH("_",$A19),0)&gt;0,LEFT($A19, FIND("_", $A19)-1),$A19),'CMT-inter'!$B$1:$B$33,0),MATCH(S$1,'CMT-inter'!$A$1:$M$1,0)),"")</f>
        <v>letter</v>
      </c>
    </row>
    <row r="20" spans="1:19" x14ac:dyDescent="0.35">
      <c r="A20" t="s">
        <v>581</v>
      </c>
      <c r="B20">
        <f>IFERROR(INDEX('CMT-inter'!$A$1:$M$33,MATCH(SUBSTITUTE(IF(IFERROR(SEARCH("_",$A20),0)&gt;0,LEFT($A20, FIND("_", $A20)-1),$A20),"CTRL","CELL"),'CMT-inter'!$B$1:$B$33,0),MATCH(B$1,'CMT-inter'!$A$1:$M$1,0)),"")</f>
        <v>20221201</v>
      </c>
      <c r="D20" t="str">
        <f ca="1">IFERROR(INDEX('CMT-inter'!$A$1:$M$33,MATCH(IF(IFERROR(SEARCH("_",$A20),0)&gt;0,LEFT($A20, FIND("_", $A20)-1),$A20),'CMT-inter'!$B$1:$B$33,0),MATCH(D$1,'CMT-inter'!$A$1:$M$1,0)),"")</f>
        <v>20221201</v>
      </c>
      <c r="E20" t="b">
        <v>0</v>
      </c>
      <c r="F20" t="str">
        <f ca="1">IFERROR(INDEX('CMT-inter'!$A$1:$M$33,MATCH(IF(IFERROR(SEARCH("_",$A20),0)&gt;0,LEFT($A20, FIND("_", $A20)-1),$A20),'CMT-inter'!$B$1:$B$33,0),MATCH(F$1,'CMT-inter'!$A$1:$M$1,0)),"")</f>
        <v>20221201</v>
      </c>
      <c r="G20">
        <f>IFERROR(INDEX('CMT-inter'!$A$1:$M$33,MATCH(IF(IFERROR(SEARCH("_",$A20),0)&gt;0,LEFT($A20, FIND("_", $A20)-1),$A20),'CMT-inter'!$B$1:$B$33,0),MATCH(G$1,'CMT-inter'!$A$1:$M$1,0)),"")</f>
        <v>20221014</v>
      </c>
      <c r="H20" t="str">
        <f>IFERROR(IF(IFERROR(SEARCH("CTRL",$A20),FALSE),SUBSTITUTE( INDEX('CMT-inter'!$A$1:$M$33,MATCH(SUBSTITUTE(IF(IFERROR(SEARCH("_",$A20),0)&gt;0,LEFT($A20, FIND("_", $A20)-1),$A20),"CTRL","CELL"),'CMT-inter'!$B$1:$B$33,0),MATCH(H$1,'CMT-inter'!$A$1:$M$1,0)),"CELL","CTRL"), INDEX('CMT-inter'!$A$1:$M$33,MATCH(IF(IFERROR(SEARCH("_",$A20),0)&gt;0,LEFT($A20, FIND("_", $A20)-1),$A20),'CMT-inter'!$B$1:$B$33,0),MATCH(H$1,'CMT-inter'!$A$1:$M$1,0))),"")</f>
        <v>CELL03</v>
      </c>
      <c r="I20" t="str">
        <f>IFERROR(INDEX('CMT-inter'!$A$1:$M$33,MATCH(IF(IFERROR(SEARCH("_",$A20),0)&gt;0,LEFT($A20, FIND("_", $A20)-1),$A20),'CMT-inter'!$B$1:$B$33,0),MATCH("OFFER EXPIRES",'CMT-inter'!$A$1:$M$1,0)),"")</f>
        <v>20230108</v>
      </c>
      <c r="J20" t="str">
        <f ca="1">IFERROR(INDEX('CMT-inter'!$A$1:$M$33,MATCH(IF(IFERROR(SEARCH("_",$A20),0)&gt;0,LEFT($A20, FIND("_", $A20)-1),$A20),'CMT-inter'!$B$1:$B$33,0),MATCH(J$1,'CMT-inter'!$A$1:$M$1,0)),"")</f>
        <v>20221201</v>
      </c>
      <c r="K20" t="str">
        <f>'cell parameters'!F20</f>
        <v>club='128','169','191','222','223','224','225','226','235','382','383','384','385','386','387','388','389','390','391','392','395':wave_condition='wave_on=1 and wave_n=1':mbrcode='PP','PT':bjs_cell='CELL03_ON_N'</v>
      </c>
      <c r="M20" t="str">
        <f>'cell parameters'!E20</f>
        <v>dev_subset_pcoa_exclclub_mbrcode_dyn</v>
      </c>
      <c r="N20">
        <f t="shared" si="0"/>
        <v>19</v>
      </c>
      <c r="O20" t="s">
        <v>566</v>
      </c>
      <c r="Q20" t="str">
        <f>IFERROR(INDEX('CMT-inter'!$A$1:$M$33,MATCH(IF(IFERROR(SEARCH("_",$A20),0)&gt;0,LEFT($A20, FIND("_", $A20)-1),$A20),'CMT-inter'!$B$1:$B$33,0),MATCH("Market Code",'CMT-inter'!$A$1:$M$1,0)),"")</f>
        <v>DMDEC3</v>
      </c>
      <c r="R20">
        <v>7</v>
      </c>
      <c r="S20" t="str">
        <f>IFERROR(INDEX('CMT-inter'!$A$1:$M$33,MATCH(IF(IFERROR(SEARCH("_",$A20),0)&gt;0,LEFT($A20, FIND("_", $A20)-1),$A20),'CMT-inter'!$B$1:$B$33,0),MATCH(S$1,'CMT-inter'!$A$1:$M$1,0)),"")</f>
        <v>letter</v>
      </c>
    </row>
    <row r="21" spans="1:19" x14ac:dyDescent="0.35">
      <c r="A21" t="s">
        <v>582</v>
      </c>
      <c r="B21">
        <f>IFERROR(INDEX('CMT-inter'!$A$1:$M$33,MATCH(SUBSTITUTE(IF(IFERROR(SEARCH("_",$A21),0)&gt;0,LEFT($A21, FIND("_", $A21)-1),$A21),"CTRL","CELL"),'CMT-inter'!$B$1:$B$33,0),MATCH(B$1,'CMT-inter'!$A$1:$M$1,0)),"")</f>
        <v>20221201</v>
      </c>
      <c r="D21" t="str">
        <f ca="1">IFERROR(INDEX('CMT-inter'!$A$1:$M$33,MATCH(IF(IFERROR(SEARCH("_",$A21),0)&gt;0,LEFT($A21, FIND("_", $A21)-1),$A21),'CMT-inter'!$B$1:$B$33,0),MATCH(D$1,'CMT-inter'!$A$1:$M$1,0)),"")</f>
        <v>20221201</v>
      </c>
      <c r="E21" t="b">
        <v>0</v>
      </c>
      <c r="F21" t="str">
        <f ca="1">IFERROR(INDEX('CMT-inter'!$A$1:$M$33,MATCH(IF(IFERROR(SEARCH("_",$A21),0)&gt;0,LEFT($A21, FIND("_", $A21)-1),$A21),'CMT-inter'!$B$1:$B$33,0),MATCH(F$1,'CMT-inter'!$A$1:$M$1,0)),"")</f>
        <v>20221201</v>
      </c>
      <c r="G21">
        <f>IFERROR(INDEX('CMT-inter'!$A$1:$M$33,MATCH(IF(IFERROR(SEARCH("_",$A21),0)&gt;0,LEFT($A21, FIND("_", $A21)-1),$A21),'CMT-inter'!$B$1:$B$33,0),MATCH(G$1,'CMT-inter'!$A$1:$M$1,0)),"")</f>
        <v>20221014</v>
      </c>
      <c r="H21" t="str">
        <f>IFERROR(IF(IFERROR(SEARCH("CTRL",$A21),FALSE),SUBSTITUTE( INDEX('CMT-inter'!$A$1:$M$33,MATCH(SUBSTITUTE(IF(IFERROR(SEARCH("_",$A21),0)&gt;0,LEFT($A21, FIND("_", $A21)-1),$A21),"CTRL","CELL"),'CMT-inter'!$B$1:$B$33,0),MATCH(H$1,'CMT-inter'!$A$1:$M$1,0)),"CELL","CTRL"), INDEX('CMT-inter'!$A$1:$M$33,MATCH(IF(IFERROR(SEARCH("_",$A21),0)&gt;0,LEFT($A21, FIND("_", $A21)-1),$A21),'CMT-inter'!$B$1:$B$33,0),MATCH(H$1,'CMT-inter'!$A$1:$M$1,0))),"")</f>
        <v>CELL12</v>
      </c>
      <c r="I21" t="str">
        <f>IFERROR(INDEX('CMT-inter'!$A$1:$M$33,MATCH(IF(IFERROR(SEARCH("_",$A21),0)&gt;0,LEFT($A21, FIND("_", $A21)-1),$A21),'CMT-inter'!$B$1:$B$33,0),MATCH("OFFER EXPIRES",'CMT-inter'!$A$1:$M$1,0)),"")</f>
        <v>20230108</v>
      </c>
      <c r="J21" t="str">
        <f ca="1">IFERROR(INDEX('CMT-inter'!$A$1:$M$33,MATCH(IF(IFERROR(SEARCH("_",$A21),0)&gt;0,LEFT($A21, FIND("_", $A21)-1),$A21),'CMT-inter'!$B$1:$B$33,0),MATCH(J$1,'CMT-inter'!$A$1:$M$1,0)),"")</f>
        <v>20221201</v>
      </c>
      <c r="K21" t="str">
        <f>'cell parameters'!F21</f>
        <v>club='128','169','191','223','224','225','382','383','384','385','387','389','392','388':wave_condition='wave_on=1 and wave_n=1':mbrcode='LP','LT'</v>
      </c>
      <c r="M21" t="str">
        <f>'cell parameters'!E21</f>
        <v>dev_pcoa_exclclub_mbrcode_dyn</v>
      </c>
      <c r="N21">
        <f t="shared" si="0"/>
        <v>20</v>
      </c>
      <c r="O21" t="s">
        <v>566</v>
      </c>
      <c r="Q21" t="str">
        <f>IFERROR(INDEX('CMT-inter'!$A$1:$M$33,MATCH(IF(IFERROR(SEARCH("_",$A21),0)&gt;0,LEFT($A21, FIND("_", $A21)-1),$A21),'CMT-inter'!$B$1:$B$33,0),MATCH("Market Code",'CMT-inter'!$A$1:$M$1,0)),"")</f>
        <v>EZDC12</v>
      </c>
      <c r="R21">
        <v>8</v>
      </c>
      <c r="S21" t="str">
        <f>IFERROR(INDEX('CMT-inter'!$A$1:$M$33,MATCH(IF(IFERROR(SEARCH("_",$A21),0)&gt;0,LEFT($A21, FIND("_", $A21)-1),$A21),'CMT-inter'!$B$1:$B$33,0),MATCH(S$1,'CMT-inter'!$A$1:$M$1,0)),"")</f>
        <v>letter</v>
      </c>
    </row>
    <row r="22" spans="1:19" x14ac:dyDescent="0.35">
      <c r="A22" t="s">
        <v>582</v>
      </c>
      <c r="B22">
        <f>IFERROR(INDEX('CMT-inter'!$A$1:$M$33,MATCH(SUBSTITUTE(IF(IFERROR(SEARCH("_",$A22),0)&gt;0,LEFT($A22, FIND("_", $A22)-1),$A22),"CTRL","CELL"),'CMT-inter'!$B$1:$B$33,0),MATCH(B$1,'CMT-inter'!$A$1:$M$1,0)),"")</f>
        <v>20221201</v>
      </c>
      <c r="D22" t="str">
        <f ca="1">IFERROR(INDEX('CMT-inter'!$A$1:$M$33,MATCH(IF(IFERROR(SEARCH("_",$A22),0)&gt;0,LEFT($A22, FIND("_", $A22)-1),$A22),'CMT-inter'!$B$1:$B$33,0),MATCH(D$1,'CMT-inter'!$A$1:$M$1,0)),"")</f>
        <v>20221201</v>
      </c>
      <c r="E22" t="b">
        <v>0</v>
      </c>
      <c r="F22" t="str">
        <f ca="1">IFERROR(INDEX('CMT-inter'!$A$1:$M$33,MATCH(IF(IFERROR(SEARCH("_",$A22),0)&gt;0,LEFT($A22, FIND("_", $A22)-1),$A22),'CMT-inter'!$B$1:$B$33,0),MATCH(F$1,'CMT-inter'!$A$1:$M$1,0)),"")</f>
        <v>20221201</v>
      </c>
      <c r="G22">
        <f>IFERROR(INDEX('CMT-inter'!$A$1:$M$33,MATCH(IF(IFERROR(SEARCH("_",$A22),0)&gt;0,LEFT($A22, FIND("_", $A22)-1),$A22),'CMT-inter'!$B$1:$B$33,0),MATCH(G$1,'CMT-inter'!$A$1:$M$1,0)),"")</f>
        <v>20221014</v>
      </c>
      <c r="H22" t="str">
        <f>IFERROR(IF(IFERROR(SEARCH("CTRL",$A22),FALSE),SUBSTITUTE( INDEX('CMT-inter'!$A$1:$M$33,MATCH(SUBSTITUTE(IF(IFERROR(SEARCH("_",$A22),0)&gt;0,LEFT($A22, FIND("_", $A22)-1),$A22),"CTRL","CELL"),'CMT-inter'!$B$1:$B$33,0),MATCH(H$1,'CMT-inter'!$A$1:$M$1,0)),"CELL","CTRL"), INDEX('CMT-inter'!$A$1:$M$33,MATCH(IF(IFERROR(SEARCH("_",$A22),0)&gt;0,LEFT($A22, FIND("_", $A22)-1),$A22),'CMT-inter'!$B$1:$B$33,0),MATCH(H$1,'CMT-inter'!$A$1:$M$1,0))),"")</f>
        <v>CELL12</v>
      </c>
      <c r="I22" t="str">
        <f>IFERROR(INDEX('CMT-inter'!$A$1:$M$33,MATCH(IF(IFERROR(SEARCH("_",$A22),0)&gt;0,LEFT($A22, FIND("_", $A22)-1),$A22),'CMT-inter'!$B$1:$B$33,0),MATCH("OFFER EXPIRES",'CMT-inter'!$A$1:$M$1,0)),"")</f>
        <v>20230108</v>
      </c>
      <c r="J22" t="str">
        <f ca="1">IFERROR(INDEX('CMT-inter'!$A$1:$M$33,MATCH(IF(IFERROR(SEARCH("_",$A22),0)&gt;0,LEFT($A22, FIND("_", $A22)-1),$A22),'CMT-inter'!$B$1:$B$33,0),MATCH(J$1,'CMT-inter'!$A$1:$M$1,0)),"")</f>
        <v>20221201</v>
      </c>
      <c r="K22" t="str">
        <f>'cell parameters'!F22</f>
        <v>club='128','169','191','223','224','225','382','383','384','385','387','389','392','388':wave_condition='wave_on=1 and wave_n=1':mbrcode='LP','LT':bjs_cell='CELL12_ON_N'</v>
      </c>
      <c r="M22" t="str">
        <f>'cell parameters'!E22</f>
        <v>dev_subset_pcoa_exclclub_mbrcode_dyn</v>
      </c>
      <c r="N22">
        <f t="shared" si="0"/>
        <v>21</v>
      </c>
      <c r="O22" t="s">
        <v>566</v>
      </c>
      <c r="Q22" t="str">
        <f>IFERROR(INDEX('CMT-inter'!$A$1:$M$33,MATCH(IF(IFERROR(SEARCH("_",$A22),0)&gt;0,LEFT($A22, FIND("_", $A22)-1),$A22),'CMT-inter'!$B$1:$B$33,0),MATCH("Market Code",'CMT-inter'!$A$1:$M$1,0)),"")</f>
        <v>EZDC12</v>
      </c>
      <c r="R22">
        <v>8</v>
      </c>
      <c r="S22" t="str">
        <f>IFERROR(INDEX('CMT-inter'!$A$1:$M$33,MATCH(IF(IFERROR(SEARCH("_",$A22),0)&gt;0,LEFT($A22, FIND("_", $A22)-1),$A22),'CMT-inter'!$B$1:$B$33,0),MATCH(S$1,'CMT-inter'!$A$1:$M$1,0)),"")</f>
        <v>letter</v>
      </c>
    </row>
    <row r="23" spans="1:19" x14ac:dyDescent="0.35">
      <c r="A23" t="s">
        <v>583</v>
      </c>
      <c r="B23">
        <f>IFERROR(INDEX('CMT-inter'!$A$1:$M$33,MATCH(SUBSTITUTE(IF(IFERROR(SEARCH("_",$A23),0)&gt;0,LEFT($A23, FIND("_", $A23)-1),$A23),"CTRL","CELL"),'CMT-inter'!$B$1:$B$33,0),MATCH(B$1,'CMT-inter'!$A$1:$M$1,0)),"")</f>
        <v>20221201</v>
      </c>
      <c r="D23" t="str">
        <f ca="1">IFERROR(INDEX('CMT-inter'!$A$1:$M$33,MATCH(IF(IFERROR(SEARCH("_",$A23),0)&gt;0,LEFT($A23, FIND("_", $A23)-1),$A23),'CMT-inter'!$B$1:$B$33,0),MATCH(D$1,'CMT-inter'!$A$1:$M$1,0)),"")</f>
        <v>20221201</v>
      </c>
      <c r="E23" t="b">
        <v>0</v>
      </c>
      <c r="F23" t="str">
        <f ca="1">IFERROR(INDEX('CMT-inter'!$A$1:$M$33,MATCH(IF(IFERROR(SEARCH("_",$A23),0)&gt;0,LEFT($A23, FIND("_", $A23)-1),$A23),'CMT-inter'!$B$1:$B$33,0),MATCH(F$1,'CMT-inter'!$A$1:$M$1,0)),"")</f>
        <v>20221201</v>
      </c>
      <c r="G23">
        <f>IFERROR(INDEX('CMT-inter'!$A$1:$M$33,MATCH(IF(IFERROR(SEARCH("_",$A23),0)&gt;0,LEFT($A23, FIND("_", $A23)-1),$A23),'CMT-inter'!$B$1:$B$33,0),MATCH(G$1,'CMT-inter'!$A$1:$M$1,0)),"")</f>
        <v>20221014</v>
      </c>
      <c r="H23" t="str">
        <f>IFERROR(IF(IFERROR(SEARCH("CTRL",$A23),FALSE),SUBSTITUTE( INDEX('CMT-inter'!$A$1:$M$33,MATCH(SUBSTITUTE(IF(IFERROR(SEARCH("_",$A23),0)&gt;0,LEFT($A23, FIND("_", $A23)-1),$A23),"CTRL","CELL"),'CMT-inter'!$B$1:$B$33,0),MATCH(H$1,'CMT-inter'!$A$1:$M$1,0)),"CELL","CTRL"), INDEX('CMT-inter'!$A$1:$M$33,MATCH(IF(IFERROR(SEARCH("_",$A23),0)&gt;0,LEFT($A23, FIND("_", $A23)-1),$A23),'CMT-inter'!$B$1:$B$33,0),MATCH(H$1,'CMT-inter'!$A$1:$M$1,0))),"")</f>
        <v>CELL12</v>
      </c>
      <c r="I23" t="str">
        <f>IFERROR(INDEX('CMT-inter'!$A$1:$M$33,MATCH(IF(IFERROR(SEARCH("_",$A23),0)&gt;0,LEFT($A23, FIND("_", $A23)-1),$A23),'CMT-inter'!$B$1:$B$33,0),MATCH("OFFER EXPIRES",'CMT-inter'!$A$1:$M$1,0)),"")</f>
        <v>20230108</v>
      </c>
      <c r="J23" t="str">
        <f ca="1">IFERROR(INDEX('CMT-inter'!$A$1:$M$33,MATCH(IF(IFERROR(SEARCH("_",$A23),0)&gt;0,LEFT($A23, FIND("_", $A23)-1),$A23),'CMT-inter'!$B$1:$B$33,0),MATCH(J$1,'CMT-inter'!$A$1:$M$1,0)),"")</f>
        <v>20221201</v>
      </c>
      <c r="K23" t="str">
        <f>'cell parameters'!F23</f>
        <v>club='128','169','191','223','224','225','382','383','384','385','387','389','392','388':wave_condition='wave_op=1 and wave_p=1':mbrcode='LP','LT'</v>
      </c>
      <c r="M23" t="str">
        <f>'cell parameters'!E23</f>
        <v>dev_pcoa_exclclub_mbrcode_dyn</v>
      </c>
      <c r="N23">
        <f t="shared" si="0"/>
        <v>22</v>
      </c>
      <c r="O23" t="s">
        <v>566</v>
      </c>
      <c r="Q23" t="str">
        <f>IFERROR(INDEX('CMT-inter'!$A$1:$M$33,MATCH(IF(IFERROR(SEARCH("_",$A23),0)&gt;0,LEFT($A23, FIND("_", $A23)-1),$A23),'CMT-inter'!$B$1:$B$33,0),MATCH("Market Code",'CMT-inter'!$A$1:$M$1,0)),"")</f>
        <v>EZDC12</v>
      </c>
      <c r="R23">
        <v>9</v>
      </c>
      <c r="S23" t="str">
        <f>IFERROR(INDEX('CMT-inter'!$A$1:$M$33,MATCH(IF(IFERROR(SEARCH("_",$A23),0)&gt;0,LEFT($A23, FIND("_", $A23)-1),$A23),'CMT-inter'!$B$1:$B$33,0),MATCH(S$1,'CMT-inter'!$A$1:$M$1,0)),"")</f>
        <v>letter</v>
      </c>
    </row>
    <row r="24" spans="1:19" x14ac:dyDescent="0.35">
      <c r="A24" t="s">
        <v>583</v>
      </c>
      <c r="B24">
        <f>IFERROR(INDEX('CMT-inter'!$A$1:$M$33,MATCH(SUBSTITUTE(IF(IFERROR(SEARCH("_",$A24),0)&gt;0,LEFT($A24, FIND("_", $A24)-1),$A24),"CTRL","CELL"),'CMT-inter'!$B$1:$B$33,0),MATCH(B$1,'CMT-inter'!$A$1:$M$1,0)),"")</f>
        <v>20221201</v>
      </c>
      <c r="D24" t="str">
        <f ca="1">IFERROR(INDEX('CMT-inter'!$A$1:$M$33,MATCH(IF(IFERROR(SEARCH("_",$A24),0)&gt;0,LEFT($A24, FIND("_", $A24)-1),$A24),'CMT-inter'!$B$1:$B$33,0),MATCH(D$1,'CMT-inter'!$A$1:$M$1,0)),"")</f>
        <v>20221201</v>
      </c>
      <c r="E24" t="b">
        <v>0</v>
      </c>
      <c r="F24" t="str">
        <f ca="1">IFERROR(INDEX('CMT-inter'!$A$1:$M$33,MATCH(IF(IFERROR(SEARCH("_",$A24),0)&gt;0,LEFT($A24, FIND("_", $A24)-1),$A24),'CMT-inter'!$B$1:$B$33,0),MATCH(F$1,'CMT-inter'!$A$1:$M$1,0)),"")</f>
        <v>20221201</v>
      </c>
      <c r="G24">
        <f>IFERROR(INDEX('CMT-inter'!$A$1:$M$33,MATCH(IF(IFERROR(SEARCH("_",$A24),0)&gt;0,LEFT($A24, FIND("_", $A24)-1),$A24),'CMT-inter'!$B$1:$B$33,0),MATCH(G$1,'CMT-inter'!$A$1:$M$1,0)),"")</f>
        <v>20221014</v>
      </c>
      <c r="H24" t="str">
        <f>IFERROR(IF(IFERROR(SEARCH("CTRL",$A24),FALSE),SUBSTITUTE( INDEX('CMT-inter'!$A$1:$M$33,MATCH(SUBSTITUTE(IF(IFERROR(SEARCH("_",$A24),0)&gt;0,LEFT($A24, FIND("_", $A24)-1),$A24),"CTRL","CELL"),'CMT-inter'!$B$1:$B$33,0),MATCH(H$1,'CMT-inter'!$A$1:$M$1,0)),"CELL","CTRL"), INDEX('CMT-inter'!$A$1:$M$33,MATCH(IF(IFERROR(SEARCH("_",$A24),0)&gt;0,LEFT($A24, FIND("_", $A24)-1),$A24),'CMT-inter'!$B$1:$B$33,0),MATCH(H$1,'CMT-inter'!$A$1:$M$1,0))),"")</f>
        <v>CELL12</v>
      </c>
      <c r="I24" t="str">
        <f>IFERROR(INDEX('CMT-inter'!$A$1:$M$33,MATCH(IF(IFERROR(SEARCH("_",$A24),0)&gt;0,LEFT($A24, FIND("_", $A24)-1),$A24),'CMT-inter'!$B$1:$B$33,0),MATCH("OFFER EXPIRES",'CMT-inter'!$A$1:$M$1,0)),"")</f>
        <v>20230108</v>
      </c>
      <c r="J24" t="str">
        <f ca="1">IFERROR(INDEX('CMT-inter'!$A$1:$M$33,MATCH(IF(IFERROR(SEARCH("_",$A24),0)&gt;0,LEFT($A24, FIND("_", $A24)-1),$A24),'CMT-inter'!$B$1:$B$33,0),MATCH(J$1,'CMT-inter'!$A$1:$M$1,0)),"")</f>
        <v>20221201</v>
      </c>
      <c r="K24" t="str">
        <f>'cell parameters'!F24</f>
        <v>club='128','169','191','223','224','225','382','383','384','385','387','389','392','388':wave_condition='wave_op=1 and wave_p=1':mbrcode='LP','LT':bjs_cell='CELL12_OP_P'</v>
      </c>
      <c r="M24" t="str">
        <f>'cell parameters'!E24</f>
        <v>dev_subset_pcoa_exclclub_mbrcode_dyn</v>
      </c>
      <c r="N24">
        <f t="shared" si="0"/>
        <v>23</v>
      </c>
      <c r="O24" t="s">
        <v>566</v>
      </c>
      <c r="Q24" t="str">
        <f>IFERROR(INDEX('CMT-inter'!$A$1:$M$33,MATCH(IF(IFERROR(SEARCH("_",$A24),0)&gt;0,LEFT($A24, FIND("_", $A24)-1),$A24),'CMT-inter'!$B$1:$B$33,0),MATCH("Market Code",'CMT-inter'!$A$1:$M$1,0)),"")</f>
        <v>EZDC12</v>
      </c>
      <c r="R24">
        <v>9</v>
      </c>
      <c r="S24" t="str">
        <f>IFERROR(INDEX('CMT-inter'!$A$1:$M$33,MATCH(IF(IFERROR(SEARCH("_",$A24),0)&gt;0,LEFT($A24, FIND("_", $A24)-1),$A24),'CMT-inter'!$B$1:$B$33,0),MATCH(S$1,'CMT-inter'!$A$1:$M$1,0)),"")</f>
        <v>letter</v>
      </c>
    </row>
    <row r="25" spans="1:19" x14ac:dyDescent="0.35">
      <c r="A25" t="s">
        <v>584</v>
      </c>
      <c r="B25">
        <f>IFERROR(INDEX('CMT-inter'!$A$1:$M$33,MATCH(SUBSTITUTE(IF(IFERROR(SEARCH("_",$A25),0)&gt;0,LEFT($A25, FIND("_", $A25)-1),$A25),"CTRL","CELL"),'CMT-inter'!$B$1:$B$33,0),MATCH(B$1,'CMT-inter'!$A$1:$M$1,0)),"")</f>
        <v>20221201</v>
      </c>
      <c r="D25" t="str">
        <f ca="1">IFERROR(INDEX('CMT-inter'!$A$1:$M$33,MATCH(IF(IFERROR(SEARCH("_",$A25),0)&gt;0,LEFT($A25, FIND("_", $A25)-1),$A25),'CMT-inter'!$B$1:$B$33,0),MATCH(D$1,'CMT-inter'!$A$1:$M$1,0)),"")</f>
        <v>20221201</v>
      </c>
      <c r="E25" t="b">
        <v>0</v>
      </c>
      <c r="F25" t="str">
        <f ca="1">IFERROR(INDEX('CMT-inter'!$A$1:$M$33,MATCH(IF(IFERROR(SEARCH("_",$A25),0)&gt;0,LEFT($A25, FIND("_", $A25)-1),$A25),'CMT-inter'!$B$1:$B$33,0),MATCH(F$1,'CMT-inter'!$A$1:$M$1,0)),"")</f>
        <v>20221201</v>
      </c>
      <c r="G25">
        <f>IFERROR(INDEX('CMT-inter'!$A$1:$M$33,MATCH(IF(IFERROR(SEARCH("_",$A25),0)&gt;0,LEFT($A25, FIND("_", $A25)-1),$A25),'CMT-inter'!$B$1:$B$33,0),MATCH(G$1,'CMT-inter'!$A$1:$M$1,0)),"")</f>
        <v>20221014</v>
      </c>
      <c r="H25" t="str">
        <f>IFERROR(IF(IFERROR(SEARCH("CTRL",$A25),FALSE),SUBSTITUTE( INDEX('CMT-inter'!$A$1:$M$33,MATCH(SUBSTITUTE(IF(IFERROR(SEARCH("_",$A25),0)&gt;0,LEFT($A25, FIND("_", $A25)-1),$A25),"CTRL","CELL"),'CMT-inter'!$B$1:$B$33,0),MATCH(H$1,'CMT-inter'!$A$1:$M$1,0)),"CELL","CTRL"), INDEX('CMT-inter'!$A$1:$M$33,MATCH(IF(IFERROR(SEARCH("_",$A25),0)&gt;0,LEFT($A25, FIND("_", $A25)-1),$A25),'CMT-inter'!$B$1:$B$33,0),MATCH(H$1,'CMT-inter'!$A$1:$M$1,0))),"")</f>
        <v>CELL03</v>
      </c>
      <c r="I25" t="str">
        <f>IFERROR(INDEX('CMT-inter'!$A$1:$M$33,MATCH(IF(IFERROR(SEARCH("_",$A25),0)&gt;0,LEFT($A25, FIND("_", $A25)-1),$A25),'CMT-inter'!$B$1:$B$33,0),MATCH("OFFER EXPIRES",'CMT-inter'!$A$1:$M$1,0)),"")</f>
        <v>20230108</v>
      </c>
      <c r="J25" t="str">
        <f ca="1">IFERROR(INDEX('CMT-inter'!$A$1:$M$33,MATCH(IF(IFERROR(SEARCH("_",$A25),0)&gt;0,LEFT($A25, FIND("_", $A25)-1),$A25),'CMT-inter'!$B$1:$B$33,0),MATCH(J$1,'CMT-inter'!$A$1:$M$1,0)),"")</f>
        <v>20221201</v>
      </c>
      <c r="K25" t="str">
        <f>'cell parameters'!F25</f>
        <v>club='128','169','191','222','223','224','225','226','235','382','383','384','385','386','387','388','389','390','391','392','395':biz_mbr_primary='1':mbrcode='PP','PT'</v>
      </c>
      <c r="M25" t="str">
        <f>'cell parameters'!E25</f>
        <v>bizmbr_exclclub_mbrcode_dyn</v>
      </c>
      <c r="N25">
        <f t="shared" si="0"/>
        <v>24</v>
      </c>
      <c r="O25" t="s">
        <v>566</v>
      </c>
      <c r="Q25" t="str">
        <f>IFERROR(INDEX('CMT-inter'!$A$1:$M$33,MATCH(IF(IFERROR(SEARCH("_",$A25),0)&gt;0,LEFT($A25, FIND("_", $A25)-1),$A25),'CMT-inter'!$B$1:$B$33,0),MATCH("Market Code",'CMT-inter'!$A$1:$M$1,0)),"")</f>
        <v>DMDEC3</v>
      </c>
      <c r="S25" t="str">
        <f>IFERROR(INDEX('CMT-inter'!$A$1:$M$33,MATCH(IF(IFERROR(SEARCH("_",$A25),0)&gt;0,LEFT($A25, FIND("_", $A25)-1),$A25),'CMT-inter'!$B$1:$B$33,0),MATCH(S$1,'CMT-inter'!$A$1:$M$1,0)),"")</f>
        <v>letter</v>
      </c>
    </row>
    <row r="26" spans="1:19" x14ac:dyDescent="0.35">
      <c r="A26" t="s">
        <v>585</v>
      </c>
      <c r="B26">
        <f>IFERROR(INDEX('CMT-inter'!$A$1:$M$33,MATCH(SUBSTITUTE(IF(IFERROR(SEARCH("_",$A26),0)&gt;0,LEFT($A26, FIND("_", $A26)-1),$A26),"CTRL","CELL"),'CMT-inter'!$B$1:$B$33,0),MATCH(B$1,'CMT-inter'!$A$1:$M$1,0)),"")</f>
        <v>20221201</v>
      </c>
      <c r="D26" t="str">
        <f ca="1">IFERROR(INDEX('CMT-inter'!$A$1:$M$33,MATCH(IF(IFERROR(SEARCH("_",$A26),0)&gt;0,LEFT($A26, FIND("_", $A26)-1),$A26),'CMT-inter'!$B$1:$B$33,0),MATCH(D$1,'CMT-inter'!$A$1:$M$1,0)),"")</f>
        <v>20221201</v>
      </c>
      <c r="E26" t="b">
        <v>0</v>
      </c>
      <c r="F26" t="str">
        <f ca="1">IFERROR(INDEX('CMT-inter'!$A$1:$M$33,MATCH(IF(IFERROR(SEARCH("_",$A26),0)&gt;0,LEFT($A26, FIND("_", $A26)-1),$A26),'CMT-inter'!$B$1:$B$33,0),MATCH(F$1,'CMT-inter'!$A$1:$M$1,0)),"")</f>
        <v>20221201</v>
      </c>
      <c r="G26">
        <f>IFERROR(INDEX('CMT-inter'!$A$1:$M$33,MATCH(IF(IFERROR(SEARCH("_",$A26),0)&gt;0,LEFT($A26, FIND("_", $A26)-1),$A26),'CMT-inter'!$B$1:$B$33,0),MATCH(G$1,'CMT-inter'!$A$1:$M$1,0)),"")</f>
        <v>20221014</v>
      </c>
      <c r="H26" t="str">
        <f>IFERROR(IF(IFERROR(SEARCH("CTRL",$A26),FALSE),SUBSTITUTE( INDEX('CMT-inter'!$A$1:$M$33,MATCH(SUBSTITUTE(IF(IFERROR(SEARCH("_",$A26),0)&gt;0,LEFT($A26, FIND("_", $A26)-1),$A26),"CTRL","CELL"),'CMT-inter'!$B$1:$B$33,0),MATCH(H$1,'CMT-inter'!$A$1:$M$1,0)),"CELL","CTRL"), INDEX('CMT-inter'!$A$1:$M$33,MATCH(IF(IFERROR(SEARCH("_",$A26),0)&gt;0,LEFT($A26, FIND("_", $A26)-1),$A26),'CMT-inter'!$B$1:$B$33,0),MATCH(H$1,'CMT-inter'!$A$1:$M$1,0))),"")</f>
        <v>CELL08</v>
      </c>
      <c r="I26" t="str">
        <f>IFERROR(INDEX('CMT-inter'!$A$1:$M$33,MATCH(IF(IFERROR(SEARCH("_",$A26),0)&gt;0,LEFT($A26, FIND("_", $A26)-1),$A26),'CMT-inter'!$B$1:$B$33,0),MATCH("OFFER EXPIRES",'CMT-inter'!$A$1:$M$1,0)),"")</f>
        <v>20230108</v>
      </c>
      <c r="J26" t="str">
        <f ca="1">IFERROR(INDEX('CMT-inter'!$A$1:$M$33,MATCH(IF(IFERROR(SEARCH("_",$A26),0)&gt;0,LEFT($A26, FIND("_", $A26)-1),$A26),'CMT-inter'!$B$1:$B$33,0),MATCH(J$1,'CMT-inter'!$A$1:$M$1,0)),"")</f>
        <v>20221201</v>
      </c>
      <c r="K26" s="111" t="str">
        <f>'cell parameters'!F26</f>
        <v>:mbr_exp_dt="'2022-01-31' and '2022-07-31'":mbr_typ_cd='2','4':tenure=660:mbr_mfi_amt='0.01 and 9999'</v>
      </c>
      <c r="M26" t="str">
        <f>'cell parameters'!E26</f>
        <v>lp_renew_filter_exclclub_dyn</v>
      </c>
      <c r="N26">
        <f t="shared" si="0"/>
        <v>25</v>
      </c>
      <c r="O26" t="s">
        <v>566</v>
      </c>
      <c r="Q26" t="str">
        <f>IFERROR(INDEX('CMT-inter'!$A$1:$M$33,MATCH(IF(IFERROR(SEARCH("_",$A26),0)&gt;0,LEFT($A26, FIND("_", $A26)-1),$A26),'CMT-inter'!$B$1:$B$33,0),MATCH("Market Code",'CMT-inter'!$A$1:$M$1,0)),"")</f>
        <v>EZDEC8</v>
      </c>
      <c r="S26" t="str">
        <f>IFERROR(INDEX('CMT-inter'!$A$1:$M$33,MATCH(IF(IFERROR(SEARCH("_",$A26),0)&gt;0,LEFT($A26, FIND("_", $A26)-1),$A26),'CMT-inter'!$B$1:$B$33,0),MATCH(S$1,'CMT-inter'!$A$1:$M$1,0)),"")</f>
        <v>letter</v>
      </c>
    </row>
    <row r="27" spans="1:19" x14ac:dyDescent="0.35">
      <c r="A27" t="s">
        <v>586</v>
      </c>
      <c r="B27">
        <f>IFERROR(INDEX('CMT-inter'!$A$1:$M$33,MATCH(SUBSTITUTE(IF(IFERROR(SEARCH("_",$A27),0)&gt;0,LEFT($A27, FIND("_", $A27)-1),$A27),"CTRL","CELL"),'CMT-inter'!$B$1:$B$33,0),MATCH(B$1,'CMT-inter'!$A$1:$M$1,0)),"")</f>
        <v>20221201</v>
      </c>
      <c r="D27" t="str">
        <f ca="1">IFERROR(INDEX('CMT-inter'!$A$1:$M$33,MATCH(IF(IFERROR(SEARCH("_",$A27),0)&gt;0,LEFT($A27, FIND("_", $A27)-1),$A27),'CMT-inter'!$B$1:$B$33,0),MATCH(D$1,'CMT-inter'!$A$1:$M$1,0)),"")</f>
        <v>20221215</v>
      </c>
      <c r="E27" t="b">
        <v>0</v>
      </c>
      <c r="F27" t="str">
        <f ca="1">IFERROR(INDEX('CMT-inter'!$A$1:$M$33,MATCH(IF(IFERROR(SEARCH("_",$A27),0)&gt;0,LEFT($A27, FIND("_", $A27)-1),$A27),'CMT-inter'!$B$1:$B$33,0),MATCH(F$1,'CMT-inter'!$A$1:$M$1,0)),"")</f>
        <v>20221215</v>
      </c>
      <c r="G27">
        <f>IFERROR(INDEX('CMT-inter'!$A$1:$M$33,MATCH(IF(IFERROR(SEARCH("_",$A27),0)&gt;0,LEFT($A27, FIND("_", $A27)-1),$A27),'CMT-inter'!$B$1:$B$33,0),MATCH(G$1,'CMT-inter'!$A$1:$M$1,0)),"")</f>
        <v>20221014</v>
      </c>
      <c r="H27" t="str">
        <f>IFERROR(IF(IFERROR(SEARCH("CTRL",$A27),FALSE),SUBSTITUTE( INDEX('CMT-inter'!$A$1:$M$33,MATCH(SUBSTITUTE(IF(IFERROR(SEARCH("_",$A27),0)&gt;0,LEFT($A27, FIND("_", $A27)-1),$A27),"CTRL","CELL"),'CMT-inter'!$B$1:$B$33,0),MATCH(H$1,'CMT-inter'!$A$1:$M$1,0)),"CELL","CTRL"), INDEX('CMT-inter'!$A$1:$M$33,MATCH(IF(IFERROR(SEARCH("_",$A27),0)&gt;0,LEFT($A27, FIND("_", $A27)-1),$A27),'CMT-inter'!$B$1:$B$33,0),MATCH(H$1,'CMT-inter'!$A$1:$M$1,0))),"")</f>
        <v>CELL09</v>
      </c>
      <c r="I27" t="str">
        <f>IFERROR(INDEX('CMT-inter'!$A$1:$M$33,MATCH(IF(IFERROR(SEARCH("_",$A27),0)&gt;0,LEFT($A27, FIND("_", $A27)-1),$A27),'CMT-inter'!$B$1:$B$33,0),MATCH("OFFER EXPIRES",'CMT-inter'!$A$1:$M$1,0)),"")</f>
        <v>20230122</v>
      </c>
      <c r="J27" t="str">
        <f ca="1">IFERROR(INDEX('CMT-inter'!$A$1:$M$33,MATCH(IF(IFERROR(SEARCH("_",$A27),0)&gt;0,LEFT($A27, FIND("_", $A27)-1),$A27),'CMT-inter'!$B$1:$B$33,0),MATCH(J$1,'CMT-inter'!$A$1:$M$1,0)),"")</f>
        <v>20221215</v>
      </c>
      <c r="K27" s="111" t="str">
        <f>'cell parameters'!F27</f>
        <v>:high_ltv_cell='high_ltv_lapsed_paid',null:bjs_cell='CELL08'</v>
      </c>
      <c r="M27" t="str">
        <f>'cell parameters'!E27</f>
        <v>cell_subset_high_ltv_dyn</v>
      </c>
      <c r="N27">
        <f t="shared" si="0"/>
        <v>26</v>
      </c>
      <c r="O27" t="s">
        <v>566</v>
      </c>
      <c r="Q27" t="str">
        <f>IFERROR(INDEX('CMT-inter'!$A$1:$M$33,MATCH(IF(IFERROR(SEARCH("_",$A27),0)&gt;0,LEFT($A27, FIND("_", $A27)-1),$A27),'CMT-inter'!$B$1:$B$33,0),MATCH("Market Code",'CMT-inter'!$A$1:$M$1,0)),"")</f>
        <v>EZDEC9</v>
      </c>
      <c r="S27" t="str">
        <f>IFERROR(INDEX('CMT-inter'!$A$1:$M$33,MATCH(IF(IFERROR(SEARCH("_",$A27),0)&gt;0,LEFT($A27, FIND("_", $A27)-1),$A27),'CMT-inter'!$B$1:$B$33,0),MATCH(S$1,'CMT-inter'!$A$1:$M$1,0)),"")</f>
        <v>letter</v>
      </c>
    </row>
    <row r="28" spans="1:19" x14ac:dyDescent="0.35">
      <c r="A28" t="s">
        <v>587</v>
      </c>
      <c r="B28">
        <f>IFERROR(INDEX('CMT-inter'!$A$1:$M$33,MATCH(SUBSTITUTE(IF(IFERROR(SEARCH("_",$A28),0)&gt;0,LEFT($A28, FIND("_", $A28)-1),$A28),"CTRL","CELL"),'CMT-inter'!$B$1:$B$33,0),MATCH(B$1,'CMT-inter'!$A$1:$M$1,0)),"")</f>
        <v>20221201</v>
      </c>
      <c r="D28" t="str">
        <f ca="1">IFERROR(INDEX('CMT-inter'!$A$1:$M$33,MATCH(IF(IFERROR(SEARCH("_",$A28),0)&gt;0,LEFT($A28, FIND("_", $A28)-1),$A28),'CMT-inter'!$B$1:$B$33,0),MATCH(D$1,'CMT-inter'!$A$1:$M$1,0)),"")</f>
        <v>20221201</v>
      </c>
      <c r="E28" t="b">
        <v>0</v>
      </c>
      <c r="F28" t="str">
        <f ca="1">IFERROR(INDEX('CMT-inter'!$A$1:$M$33,MATCH(IF(IFERROR(SEARCH("_",$A28),0)&gt;0,LEFT($A28, FIND("_", $A28)-1),$A28),'CMT-inter'!$B$1:$B$33,0),MATCH(F$1,'CMT-inter'!$A$1:$M$1,0)),"")</f>
        <v>20221201</v>
      </c>
      <c r="G28">
        <f>IFERROR(INDEX('CMT-inter'!$A$1:$M$33,MATCH(IF(IFERROR(SEARCH("_",$A28),0)&gt;0,LEFT($A28, FIND("_", $A28)-1),$A28),'CMT-inter'!$B$1:$B$33,0),MATCH(G$1,'CMT-inter'!$A$1:$M$1,0)),"")</f>
        <v>20221014</v>
      </c>
      <c r="H28" t="str">
        <f>IFERROR(IF(IFERROR(SEARCH("CTRL",$A28),FALSE),SUBSTITUTE( INDEX('CMT-inter'!$A$1:$M$33,MATCH(SUBSTITUTE(IF(IFERROR(SEARCH("_",$A28),0)&gt;0,LEFT($A28, FIND("_", $A28)-1),$A28),"CTRL","CELL"),'CMT-inter'!$B$1:$B$33,0),MATCH(H$1,'CMT-inter'!$A$1:$M$1,0)),"CELL","CTRL"), INDEX('CMT-inter'!$A$1:$M$33,MATCH(IF(IFERROR(SEARCH("_",$A28),0)&gt;0,LEFT($A28, FIND("_", $A28)-1),$A28),'CMT-inter'!$B$1:$B$33,0),MATCH(H$1,'CMT-inter'!$A$1:$M$1,0))),"")</f>
        <v>CELL12</v>
      </c>
      <c r="I28" t="str">
        <f>IFERROR(INDEX('CMT-inter'!$A$1:$M$33,MATCH(IF(IFERROR(SEARCH("_",$A28),0)&gt;0,LEFT($A28, FIND("_", $A28)-1),$A28),'CMT-inter'!$B$1:$B$33,0),MATCH("OFFER EXPIRES",'CMT-inter'!$A$1:$M$1,0)),"")</f>
        <v>20230108</v>
      </c>
      <c r="J28" t="str">
        <f ca="1">IFERROR(INDEX('CMT-inter'!$A$1:$M$33,MATCH(IF(IFERROR(SEARCH("_",$A28),0)&gt;0,LEFT($A28, FIND("_", $A28)-1),$A28),'CMT-inter'!$B$1:$B$33,0),MATCH(J$1,'CMT-inter'!$A$1:$M$1,0)),"")</f>
        <v>20221201</v>
      </c>
      <c r="K28" t="str">
        <f>'cell parameters'!F28</f>
        <v>club='128','169','191','223','224','225','382','383','384','385','387','389','392','388':biz_mbr_primary='1':mbrcode='LP','LT'</v>
      </c>
      <c r="M28" t="str">
        <f>'cell parameters'!E28</f>
        <v>bizmbr_exclclub_mbrcode_dyn</v>
      </c>
      <c r="N28">
        <f t="shared" si="0"/>
        <v>27</v>
      </c>
      <c r="O28" t="s">
        <v>566</v>
      </c>
      <c r="Q28" t="str">
        <f>IFERROR(INDEX('CMT-inter'!$A$1:$M$33,MATCH(IF(IFERROR(SEARCH("_",$A28),0)&gt;0,LEFT($A28, FIND("_", $A28)-1),$A28),'CMT-inter'!$B$1:$B$33,0),MATCH("Market Code",'CMT-inter'!$A$1:$M$1,0)),"")</f>
        <v>EZDC12</v>
      </c>
      <c r="S28" t="str">
        <f>IFERROR(INDEX('CMT-inter'!$A$1:$M$33,MATCH(IF(IFERROR(SEARCH("_",$A28),0)&gt;0,LEFT($A28, FIND("_", $A28)-1),$A28),'CMT-inter'!$B$1:$B$33,0),MATCH(S$1,'CMT-inter'!$A$1:$M$1,0)),"")</f>
        <v>letter</v>
      </c>
    </row>
    <row r="29" spans="1:19" x14ac:dyDescent="0.35">
      <c r="A29" t="s">
        <v>588</v>
      </c>
      <c r="B29">
        <f>IFERROR(INDEX('CMT-inter'!$A$1:$M$33,MATCH(SUBSTITUTE(IF(IFERROR(SEARCH("_",$A29),0)&gt;0,LEFT($A29, FIND("_", $A29)-1),$A29),"CTRL","CELL"),'CMT-inter'!$B$1:$B$33,0),MATCH(B$1,'CMT-inter'!$A$1:$M$1,0)),"")</f>
        <v>20221201</v>
      </c>
      <c r="D29" t="str">
        <f ca="1">IFERROR(INDEX('CMT-inter'!$A$1:$M$33,MATCH(IF(IFERROR(SEARCH("_",$A29),0)&gt;0,LEFT($A29, FIND("_", $A29)-1),$A29),'CMT-inter'!$B$1:$B$33,0),MATCH(D$1,'CMT-inter'!$A$1:$M$1,0)),"")</f>
        <v>20221201</v>
      </c>
      <c r="E29" t="b">
        <v>0</v>
      </c>
      <c r="F29" t="str">
        <f ca="1">IFERROR(INDEX('CMT-inter'!$A$1:$M$33,MATCH(IF(IFERROR(SEARCH("_",$A29),0)&gt;0,LEFT($A29, FIND("_", $A29)-1),$A29),'CMT-inter'!$B$1:$B$33,0),MATCH(F$1,'CMT-inter'!$A$1:$M$1,0)),"")</f>
        <v>20221201</v>
      </c>
      <c r="G29">
        <f>IFERROR(INDEX('CMT-inter'!$A$1:$M$33,MATCH(IF(IFERROR(SEARCH("_",$A29),0)&gt;0,LEFT($A29, FIND("_", $A29)-1),$A29),'CMT-inter'!$B$1:$B$33,0),MATCH(G$1,'CMT-inter'!$A$1:$M$1,0)),"")</f>
        <v>20221014</v>
      </c>
      <c r="H29" t="str">
        <f>IFERROR(IF(IFERROR(SEARCH("CTRL",$A29),FALSE),SUBSTITUTE( INDEX('CMT-inter'!$A$1:$M$33,MATCH(SUBSTITUTE(IF(IFERROR(SEARCH("_",$A29),0)&gt;0,LEFT($A29, FIND("_", $A29)-1),$A29),"CTRL","CELL"),'CMT-inter'!$B$1:$B$33,0),MATCH(H$1,'CMT-inter'!$A$1:$M$1,0)),"CELL","CTRL"), INDEX('CMT-inter'!$A$1:$M$33,MATCH(IF(IFERROR(SEARCH("_",$A29),0)&gt;0,LEFT($A29, FIND("_", $A29)-1),$A29),'CMT-inter'!$B$1:$B$33,0),MATCH(H$1,'CMT-inter'!$A$1:$M$1,0))),"")</f>
        <v>CELL12</v>
      </c>
      <c r="I29" t="str">
        <f>IFERROR(INDEX('CMT-inter'!$A$1:$M$33,MATCH(IF(IFERROR(SEARCH("_",$A29),0)&gt;0,LEFT($A29, FIND("_", $A29)-1),$A29),'CMT-inter'!$B$1:$B$33,0),MATCH("OFFER EXPIRES",'CMT-inter'!$A$1:$M$1,0)),"")</f>
        <v>20230108</v>
      </c>
      <c r="J29" t="str">
        <f ca="1">IFERROR(INDEX('CMT-inter'!$A$1:$M$33,MATCH(IF(IFERROR(SEARCH("_",$A29),0)&gt;0,LEFT($A29, FIND("_", $A29)-1),$A29),'CMT-inter'!$B$1:$B$33,0),MATCH(J$1,'CMT-inter'!$A$1:$M$1,0)),"")</f>
        <v>20221201</v>
      </c>
      <c r="K29" t="str">
        <f>'cell parameters'!F29</f>
        <v>club='128','169','191','223','224','225','382','383','384','385','387','389','392','388':biz_mbr_primary='0','1':mbrcode='LP','LT'</v>
      </c>
      <c r="M29" t="str">
        <f>'cell parameters'!E29</f>
        <v>bizmbr_exclclub_mbrcode_dyn</v>
      </c>
      <c r="N29">
        <f t="shared" si="0"/>
        <v>28</v>
      </c>
      <c r="O29" t="s">
        <v>566</v>
      </c>
      <c r="Q29" t="str">
        <f>IFERROR(INDEX('CMT-inter'!$A$1:$M$33,MATCH(IF(IFERROR(SEARCH("_",$A29),0)&gt;0,LEFT($A29, FIND("_", $A29)-1),$A29),'CMT-inter'!$B$1:$B$33,0),MATCH("Market Code",'CMT-inter'!$A$1:$M$1,0)),"")</f>
        <v>EZDC12</v>
      </c>
      <c r="S29" t="str">
        <f>IFERROR(INDEX('CMT-inter'!$A$1:$M$33,MATCH(IF(IFERROR(SEARCH("_",$A29),0)&gt;0,LEFT($A29, FIND("_", $A29)-1),$A29),'CMT-inter'!$B$1:$B$33,0),MATCH(S$1,'CMT-inter'!$A$1:$M$1,0)),"")</f>
        <v>letter</v>
      </c>
    </row>
    <row r="30" spans="1:19" x14ac:dyDescent="0.35">
      <c r="A30" t="s">
        <v>589</v>
      </c>
      <c r="B30">
        <f>IFERROR(INDEX('CMT-inter'!$A$1:$M$33,MATCH(SUBSTITUTE(IF(IFERROR(SEARCH("_",$A30),0)&gt;0,LEFT($A30, FIND("_", $A30)-1),$A30),"CTRL","CELL"),'CMT-inter'!$B$1:$B$33,0),MATCH(B$1,'CMT-inter'!$A$1:$M$1,0)),"")</f>
        <v>20221201</v>
      </c>
      <c r="D30" t="str">
        <f ca="1">IFERROR(INDEX('CMT-inter'!$A$1:$M$33,MATCH(IF(IFERROR(SEARCH("_",$A30),0)&gt;0,LEFT($A30, FIND("_", $A30)-1),$A30),'CMT-inter'!$B$1:$B$33,0),MATCH(D$1,'CMT-inter'!$A$1:$M$1,0)),"")</f>
        <v>20221215</v>
      </c>
      <c r="E30" t="b">
        <v>0</v>
      </c>
      <c r="F30" t="str">
        <f ca="1">IFERROR(INDEX('CMT-inter'!$A$1:$M$33,MATCH(IF(IFERROR(SEARCH("_",$A30),0)&gt;0,LEFT($A30, FIND("_", $A30)-1),$A30),'CMT-inter'!$B$1:$B$33,0),MATCH(F$1,'CMT-inter'!$A$1:$M$1,0)),"")</f>
        <v>20221215</v>
      </c>
      <c r="G30">
        <f>IFERROR(INDEX('CMT-inter'!$A$1:$M$33,MATCH(IF(IFERROR(SEARCH("_",$A30),0)&gt;0,LEFT($A30, FIND("_", $A30)-1),$A30),'CMT-inter'!$B$1:$B$33,0),MATCH(G$1,'CMT-inter'!$A$1:$M$1,0)),"")</f>
        <v>20221014</v>
      </c>
      <c r="H30" t="str">
        <f>IFERROR(IF(IFERROR(SEARCH("CTRL",$A30),FALSE),SUBSTITUTE( INDEX('CMT-inter'!$A$1:$M$33,MATCH(SUBSTITUTE(IF(IFERROR(SEARCH("_",$A30),0)&gt;0,LEFT($A30, FIND("_", $A30)-1),$A30),"CTRL","CELL"),'CMT-inter'!$B$1:$B$33,0),MATCH(H$1,'CMT-inter'!$A$1:$M$1,0)),"CELL","CTRL"), INDEX('CMT-inter'!$A$1:$M$33,MATCH(IF(IFERROR(SEARCH("_",$A30),0)&gt;0,LEFT($A30, FIND("_", $A30)-1),$A30),'CMT-inter'!$B$1:$B$33,0),MATCH(H$1,'CMT-inter'!$A$1:$M$1,0))),"")</f>
        <v>CELL13</v>
      </c>
      <c r="I30" t="str">
        <f>IFERROR(INDEX('CMT-inter'!$A$1:$M$33,MATCH(IF(IFERROR(SEARCH("_",$A30),0)&gt;0,LEFT($A30, FIND("_", $A30)-1),$A30),'CMT-inter'!$B$1:$B$33,0),MATCH("OFFER EXPIRES",'CMT-inter'!$A$1:$M$1,0)),"")</f>
        <v>20230122</v>
      </c>
      <c r="J30" t="str">
        <f ca="1">IFERROR(INDEX('CMT-inter'!$A$1:$M$33,MATCH(IF(IFERROR(SEARCH("_",$A30),0)&gt;0,LEFT($A30, FIND("_", $A30)-1),$A30),'CMT-inter'!$B$1:$B$33,0),MATCH(J$1,'CMT-inter'!$A$1:$M$1,0)),"")</f>
        <v>20221215</v>
      </c>
      <c r="K30" t="str">
        <f>'cell parameters'!F30</f>
        <v>club='128','169','191','223','224','225','382','383','384','385','387','389','392','388':high_ltv_cell='high_ltv_lapsed_paid':bjs_cell='CELL12','CELL12_LP_BUS'</v>
      </c>
      <c r="M30" t="str">
        <f>'cell parameters'!E30</f>
        <v>cell_subset_high_ltv_dyn</v>
      </c>
      <c r="N30">
        <f t="shared" si="0"/>
        <v>29</v>
      </c>
      <c r="O30" t="s">
        <v>566</v>
      </c>
      <c r="Q30" t="str">
        <f>IFERROR(INDEX('CMT-inter'!$A$1:$M$33,MATCH(IF(IFERROR(SEARCH("_",$A30),0)&gt;0,LEFT($A30, FIND("_", $A30)-1),$A30),'CMT-inter'!$B$1:$B$33,0),MATCH("Market Code",'CMT-inter'!$A$1:$M$1,0)),"")</f>
        <v>EZDC13</v>
      </c>
      <c r="S30" t="str">
        <f>IFERROR(INDEX('CMT-inter'!$A$1:$M$33,MATCH(IF(IFERROR(SEARCH("_",$A30),0)&gt;0,LEFT($A30, FIND("_", $A30)-1),$A30),'CMT-inter'!$B$1:$B$33,0),MATCH(S$1,'CMT-inter'!$A$1:$M$1,0)),"")</f>
        <v>letter</v>
      </c>
    </row>
    <row r="31" spans="1:19" x14ac:dyDescent="0.35">
      <c r="A31" t="s">
        <v>590</v>
      </c>
      <c r="B31">
        <f>IFERROR(INDEX('CMT-inter'!$A$1:$M$33,MATCH(SUBSTITUTE(IF(IFERROR(SEARCH("_",$A31),0)&gt;0,LEFT($A31, FIND("_", $A31)-1),$A31),"CTRL","CELL"),'CMT-inter'!$B$1:$B$33,0),MATCH(B$1,'CMT-inter'!$A$1:$M$1,0)),"")</f>
        <v>20221201</v>
      </c>
      <c r="D31" t="str">
        <f ca="1">IFERROR(INDEX('CMT-inter'!$A$1:$M$33,MATCH(IF(IFERROR(SEARCH("_",$A31),0)&gt;0,LEFT($A31, FIND("_", $A31)-1),$A31),'CMT-inter'!$B$1:$B$33,0),MATCH(D$1,'CMT-inter'!$A$1:$M$1,0)),"")</f>
        <v>20221201</v>
      </c>
      <c r="E31" t="b">
        <v>0</v>
      </c>
      <c r="F31" t="str">
        <f ca="1">IFERROR(INDEX('CMT-inter'!$A$1:$M$33,MATCH(IF(IFERROR(SEARCH("_",$A31),0)&gt;0,LEFT($A31, FIND("_", $A31)-1),$A31),'CMT-inter'!$B$1:$B$33,0),MATCH(F$1,'CMT-inter'!$A$1:$M$1,0)),"")</f>
        <v>20221201</v>
      </c>
      <c r="G31">
        <f>IFERROR(INDEX('CMT-inter'!$A$1:$M$33,MATCH(IF(IFERROR(SEARCH("_",$A31),0)&gt;0,LEFT($A31, FIND("_", $A31)-1),$A31),'CMT-inter'!$B$1:$B$33,0),MATCH(G$1,'CMT-inter'!$A$1:$M$1,0)),"")</f>
        <v>20221014</v>
      </c>
      <c r="H31" t="str">
        <f>IFERROR(IF(IFERROR(SEARCH("CTRL",$A31),FALSE),SUBSTITUTE( INDEX('CMT-inter'!$A$1:$M$33,MATCH(SUBSTITUTE(IF(IFERROR(SEARCH("_",$A31),0)&gt;0,LEFT($A31, FIND("_", $A31)-1),$A31),"CTRL","CELL"),'CMT-inter'!$B$1:$B$33,0),MATCH(H$1,'CMT-inter'!$A$1:$M$1,0)),"CELL","CTRL"), INDEX('CMT-inter'!$A$1:$M$33,MATCH(IF(IFERROR(SEARCH("_",$A31),0)&gt;0,LEFT($A31, FIND("_", $A31)-1),$A31),'CMT-inter'!$B$1:$B$33,0),MATCH(H$1,'CMT-inter'!$A$1:$M$1,0))),"")</f>
        <v>CELL10</v>
      </c>
      <c r="I31" t="str">
        <f>IFERROR(INDEX('CMT-inter'!$A$1:$M$33,MATCH(IF(IFERROR(SEARCH("_",$A31),0)&gt;0,LEFT($A31, FIND("_", $A31)-1),$A31),'CMT-inter'!$B$1:$B$33,0),MATCH("OFFER EXPIRES",'CMT-inter'!$A$1:$M$1,0)),"")</f>
        <v>20230108</v>
      </c>
      <c r="J31" t="str">
        <f ca="1">IFERROR(INDEX('CMT-inter'!$A$1:$M$33,MATCH(IF(IFERROR(SEARCH("_",$A31),0)&gt;0,LEFT($A31, FIND("_", $A31)-1),$A31),'CMT-inter'!$B$1:$B$33,0),MATCH(J$1,'CMT-inter'!$A$1:$M$1,0)),"")</f>
        <v>20221201</v>
      </c>
      <c r="K31" t="str">
        <f>'cell parameters'!F31</f>
        <v>club='388':biz_mbr_primary='0','1':mbrcode='LP','LT'</v>
      </c>
      <c r="M31" t="str">
        <f>'cell parameters'!E31</f>
        <v>bizmbr_exclclub_mbrcode_dyn</v>
      </c>
      <c r="N31">
        <f t="shared" si="0"/>
        <v>30</v>
      </c>
      <c r="O31" t="s">
        <v>566</v>
      </c>
      <c r="Q31" t="str">
        <f>IFERROR(INDEX('CMT-inter'!$A$1:$M$33,MATCH(IF(IFERROR(SEARCH("_",$A31),0)&gt;0,LEFT($A31, FIND("_", $A31)-1),$A31),'CMT-inter'!$B$1:$B$33,0),MATCH("Market Code",'CMT-inter'!$A$1:$M$1,0)),"")</f>
        <v>EZMRMT, EZPMHT</v>
      </c>
      <c r="S31" t="str">
        <f>IFERROR(INDEX('CMT-inter'!$A$1:$M$33,MATCH(IF(IFERROR(SEARCH("_",$A31),0)&gt;0,LEFT($A31, FIND("_", $A31)-1),$A31),'CMT-inter'!$B$1:$B$33,0),MATCH(S$1,'CMT-inter'!$A$1:$M$1,0)),"")</f>
        <v>letter</v>
      </c>
    </row>
    <row r="32" spans="1:19" x14ac:dyDescent="0.35">
      <c r="A32" t="s">
        <v>591</v>
      </c>
      <c r="B32">
        <f>IFERROR(INDEX('CMT-inter'!$A$1:$M$33,MATCH(SUBSTITUTE(IF(IFERROR(SEARCH("_",$A32),0)&gt;0,LEFT($A32, FIND("_", $A32)-1),$A32),"CTRL","CELL"),'CMT-inter'!$B$1:$B$33,0),MATCH(B$1,'CMT-inter'!$A$1:$M$1,0)),"")</f>
        <v>20221201</v>
      </c>
      <c r="D32" t="str">
        <f ca="1">IFERROR(INDEX('CMT-inter'!$A$1:$M$33,MATCH(IF(IFERROR(SEARCH("_",$A32),0)&gt;0,LEFT($A32, FIND("_", $A32)-1),$A32),'CMT-inter'!$B$1:$B$33,0),MATCH(D$1,'CMT-inter'!$A$1:$M$1,0)),"")</f>
        <v>20221201</v>
      </c>
      <c r="E32" t="b">
        <v>0</v>
      </c>
      <c r="F32" t="str">
        <f ca="1">IFERROR(INDEX('CMT-inter'!$A$1:$M$33,MATCH(IF(IFERROR(SEARCH("_",$A32),0)&gt;0,LEFT($A32, FIND("_", $A32)-1),$A32),'CMT-inter'!$B$1:$B$33,0),MATCH(F$1,'CMT-inter'!$A$1:$M$1,0)),"")</f>
        <v>20221201</v>
      </c>
      <c r="G32">
        <f>IFERROR(INDEX('CMT-inter'!$A$1:$M$33,MATCH(IF(IFERROR(SEARCH("_",$A32),0)&gt;0,LEFT($A32, FIND("_", $A32)-1),$A32),'CMT-inter'!$B$1:$B$33,0),MATCH(G$1,'CMT-inter'!$A$1:$M$1,0)),"")</f>
        <v>20221014</v>
      </c>
      <c r="H32" t="str">
        <f>IFERROR(IF(IFERROR(SEARCH("CTRL",$A32),FALSE),SUBSTITUTE( INDEX('CMT-inter'!$A$1:$M$33,MATCH(SUBSTITUTE(IF(IFERROR(SEARCH("_",$A32),0)&gt;0,LEFT($A32, FIND("_", $A32)-1),$A32),"CTRL","CELL"),'CMT-inter'!$B$1:$B$33,0),MATCH(H$1,'CMT-inter'!$A$1:$M$1,0)),"CELL","CTRL"), INDEX('CMT-inter'!$A$1:$M$33,MATCH(IF(IFERROR(SEARCH("_",$A32),0)&gt;0,LEFT($A32, FIND("_", $A32)-1),$A32),'CMT-inter'!$B$1:$B$33,0),MATCH(H$1,'CMT-inter'!$A$1:$M$1,0))),"")</f>
        <v>CELL11</v>
      </c>
      <c r="I32" t="str">
        <f>IFERROR(INDEX('CMT-inter'!$A$1:$M$33,MATCH(IF(IFERROR(SEARCH("_",$A32),0)&gt;0,LEFT($A32, FIND("_", $A32)-1),$A32),'CMT-inter'!$B$1:$B$33,0),MATCH("OFFER EXPIRES",'CMT-inter'!$A$1:$M$1,0)),"")</f>
        <v>20230108</v>
      </c>
      <c r="J32" t="str">
        <f ca="1">IFERROR(INDEX('CMT-inter'!$A$1:$M$33,MATCH(IF(IFERROR(SEARCH("_",$A32),0)&gt;0,LEFT($A32, FIND("_", $A32)-1),$A32),'CMT-inter'!$B$1:$B$33,0),MATCH(J$1,'CMT-inter'!$A$1:$M$1,0)),"")</f>
        <v>20221201</v>
      </c>
      <c r="K32" t="str">
        <f>'cell parameters'!F32</f>
        <v>club='na':biz_mbr_primary='0','1':mbrcode='LP','LT'</v>
      </c>
      <c r="M32" t="str">
        <f>'cell parameters'!E32</f>
        <v>bizmbr_exclclub_mbrcode_dyn</v>
      </c>
      <c r="N32">
        <f t="shared" si="0"/>
        <v>31</v>
      </c>
      <c r="O32" t="s">
        <v>566</v>
      </c>
      <c r="Q32" t="str">
        <f>IFERROR(INDEX('CMT-inter'!$A$1:$M$33,MATCH(IF(IFERROR(SEARCH("_",$A32),0)&gt;0,LEFT($A32, FIND("_", $A32)-1),$A32),'CMT-inter'!$B$1:$B$33,0),MATCH("Market Code",'CMT-inter'!$A$1:$M$1,0)),"")</f>
        <v>EZDC11</v>
      </c>
      <c r="S32" t="str">
        <f>IFERROR(INDEX('CMT-inter'!$A$1:$M$33,MATCH(IF(IFERROR(SEARCH("_",$A32),0)&gt;0,LEFT($A32, FIND("_", $A32)-1),$A32),'CMT-inter'!$B$1:$B$33,0),MATCH(S$1,'CMT-inter'!$A$1:$M$1,0)),"")</f>
        <v/>
      </c>
    </row>
    <row r="33" spans="1:19" x14ac:dyDescent="0.35">
      <c r="A33" t="s">
        <v>592</v>
      </c>
      <c r="B33">
        <f>IFERROR(INDEX('CMT-inter'!$A$1:$M$33,MATCH(SUBSTITUTE(IF(IFERROR(SEARCH("_",$A33),0)&gt;0,LEFT($A33, FIND("_", $A33)-1),$A33),"CTRL","CELL"),'CMT-inter'!$B$1:$B$33,0),MATCH(B$1,'CMT-inter'!$A$1:$M$1,0)),"")</f>
        <v>20221201</v>
      </c>
      <c r="D33" t="str">
        <f ca="1">IFERROR(INDEX('CMT-inter'!$A$1:$M$33,MATCH(IF(IFERROR(SEARCH("_",$A33),0)&gt;0,LEFT($A33, FIND("_", $A33)-1),$A33),'CMT-inter'!$B$1:$B$33,0),MATCH(D$1,'CMT-inter'!$A$1:$M$1,0)),"")</f>
        <v>20221201</v>
      </c>
      <c r="E33" t="b">
        <v>0</v>
      </c>
      <c r="F33" t="str">
        <f ca="1">IFERROR(INDEX('CMT-inter'!$A$1:$M$33,MATCH(IF(IFERROR(SEARCH("_",$A33),0)&gt;0,LEFT($A33, FIND("_", $A33)-1),$A33),'CMT-inter'!$B$1:$B$33,0),MATCH(F$1,'CMT-inter'!$A$1:$M$1,0)),"")</f>
        <v>20221201</v>
      </c>
      <c r="G33">
        <f>IFERROR(INDEX('CMT-inter'!$A$1:$M$33,MATCH(IF(IFERROR(SEARCH("_",$A33),0)&gt;0,LEFT($A33, FIND("_", $A33)-1),$A33),'CMT-inter'!$B$1:$B$33,0),MATCH(G$1,'CMT-inter'!$A$1:$M$1,0)),"")</f>
        <v>20221014</v>
      </c>
      <c r="H33" t="str">
        <f>IFERROR(IF(IFERROR(SEARCH("CTRL",$A33),FALSE),SUBSTITUTE( INDEX('CMT-inter'!$A$1:$M$33,MATCH(SUBSTITUTE(IF(IFERROR(SEARCH("_",$A33),0)&gt;0,LEFT($A33, FIND("_", $A33)-1),$A33),"CTRL","CELL"),'CMT-inter'!$B$1:$B$33,0),MATCH(H$1,'CMT-inter'!$A$1:$M$1,0)),"CELL","CTRL"), INDEX('CMT-inter'!$A$1:$M$33,MATCH(IF(IFERROR(SEARCH("_",$A33),0)&gt;0,LEFT($A33, FIND("_", $A33)-1),$A33),'CMT-inter'!$B$1:$B$33,0),MATCH(H$1,'CMT-inter'!$A$1:$M$1,0))),"")</f>
        <v>CELL14</v>
      </c>
      <c r="I33" t="str">
        <f>IFERROR(INDEX('CMT-inter'!$A$1:$M$33,MATCH(IF(IFERROR(SEARCH("_",$A33),0)&gt;0,LEFT($A33, FIND("_", $A33)-1),$A33),'CMT-inter'!$B$1:$B$33,0),MATCH("OFFER EXPIRES",'CMT-inter'!$A$1:$M$1,0)),"")</f>
        <v>20221231</v>
      </c>
      <c r="J33" t="str">
        <f ca="1">IFERROR(INDEX('CMT-inter'!$A$1:$M$33,MATCH(IF(IFERROR(SEARCH("_",$A33),0)&gt;0,LEFT($A33, FIND("_", $A33)-1),$A33),'CMT-inter'!$B$1:$B$33,0),MATCH(J$1,'CMT-inter'!$A$1:$M$1,0)),"")</f>
        <v>20221201</v>
      </c>
      <c r="K33" t="str">
        <f>'cell parameters'!F33</f>
        <v>club='387':index_key='0 and 30000000':priority_num='1'</v>
      </c>
      <c r="M33" t="str">
        <f>'cell parameters'!E33</f>
        <v>club_zip_dyn</v>
      </c>
      <c r="N33">
        <f t="shared" si="0"/>
        <v>32</v>
      </c>
      <c r="O33" t="s">
        <v>566</v>
      </c>
      <c r="Q33" t="str">
        <f>IFERROR(INDEX('CMT-inter'!$A$1:$M$33,MATCH(IF(IFERROR(SEARCH("_",$A33),0)&gt;0,LEFT($A33, FIND("_", $A33)-1),$A33),'CMT-inter'!$B$1:$B$33,0),MATCH("Market Code",'CMT-inter'!$A$1:$M$1,0)),"")</f>
        <v>RSTD16</v>
      </c>
      <c r="S33" t="str">
        <f>IFERROR(INDEX('CMT-inter'!$A$1:$M$33,MATCH(IF(IFERROR(SEARCH("_",$A33),0)&gt;0,LEFT($A33, FIND("_", $A33)-1),$A33),'CMT-inter'!$B$1:$B$33,0),MATCH(S$1,'CMT-inter'!$A$1:$M$1,0)),"")</f>
        <v>postcard</v>
      </c>
    </row>
    <row r="34" spans="1:19" x14ac:dyDescent="0.35">
      <c r="A34" t="s">
        <v>593</v>
      </c>
      <c r="B34">
        <f>IFERROR(INDEX('CMT-inter'!$A$1:$M$33,MATCH(SUBSTITUTE(IF(IFERROR(SEARCH("_",$A34),0)&gt;0,LEFT($A34, FIND("_", $A34)-1),$A34),"CTRL","CELL"),'CMT-inter'!$B$1:$B$33,0),MATCH(B$1,'CMT-inter'!$A$1:$M$1,0)),"")</f>
        <v>20221201</v>
      </c>
      <c r="D34" t="str">
        <f ca="1">IFERROR(INDEX('CMT-inter'!$A$1:$M$33,MATCH(IF(IFERROR(SEARCH("_",$A34),0)&gt;0,LEFT($A34, FIND("_", $A34)-1),$A34),'CMT-inter'!$B$1:$B$33,0),MATCH(D$1,'CMT-inter'!$A$1:$M$1,0)),"")</f>
        <v>20221201</v>
      </c>
      <c r="E34" t="b">
        <v>0</v>
      </c>
      <c r="F34" t="str">
        <f ca="1">IFERROR(INDEX('CMT-inter'!$A$1:$M$33,MATCH(IF(IFERROR(SEARCH("_",$A34),0)&gt;0,LEFT($A34, FIND("_", $A34)-1),$A34),'CMT-inter'!$B$1:$B$33,0),MATCH(F$1,'CMT-inter'!$A$1:$M$1,0)),"")</f>
        <v>20221201</v>
      </c>
      <c r="G34">
        <f>IFERROR(INDEX('CMT-inter'!$A$1:$M$33,MATCH(IF(IFERROR(SEARCH("_",$A34),0)&gt;0,LEFT($A34, FIND("_", $A34)-1),$A34),'CMT-inter'!$B$1:$B$33,0),MATCH(G$1,'CMT-inter'!$A$1:$M$1,0)),"")</f>
        <v>20221014</v>
      </c>
      <c r="H34" t="str">
        <f>IFERROR(IF(IFERROR(SEARCH("CTRL",$A34),FALSE),SUBSTITUTE( INDEX('CMT-inter'!$A$1:$M$33,MATCH(SUBSTITUTE(IF(IFERROR(SEARCH("_",$A34),0)&gt;0,LEFT($A34, FIND("_", $A34)-1),$A34),"CTRL","CELL"),'CMT-inter'!$B$1:$B$33,0),MATCH(H$1,'CMT-inter'!$A$1:$M$1,0)),"CELL","CTRL"), INDEX('CMT-inter'!$A$1:$M$33,MATCH(IF(IFERROR(SEARCH("_",$A34),0)&gt;0,LEFT($A34, FIND("_", $A34)-1),$A34),'CMT-inter'!$B$1:$B$33,0),MATCH(H$1,'CMT-inter'!$A$1:$M$1,0))),"")</f>
        <v>CELL14</v>
      </c>
      <c r="I34" t="str">
        <f>IFERROR(INDEX('CMT-inter'!$A$1:$M$33,MATCH(IF(IFERROR(SEARCH("_",$A34),0)&gt;0,LEFT($A34, FIND("_", $A34)-1),$A34),'CMT-inter'!$B$1:$B$33,0),MATCH("OFFER EXPIRES",'CMT-inter'!$A$1:$M$1,0)),"")</f>
        <v>20221231</v>
      </c>
      <c r="J34" t="str">
        <f ca="1">IFERROR(INDEX('CMT-inter'!$A$1:$M$33,MATCH(IF(IFERROR(SEARCH("_",$A34),0)&gt;0,LEFT($A34, FIND("_", $A34)-1),$A34),'CMT-inter'!$B$1:$B$33,0),MATCH(J$1,'CMT-inter'!$A$1:$M$1,0)),"")</f>
        <v>20221201</v>
      </c>
      <c r="K34" t="str">
        <f>'cell parameters'!F34</f>
        <v>club='387':index_key='30000000 and 50000000':priority_num='1'</v>
      </c>
      <c r="M34" t="str">
        <f>'cell parameters'!E34</f>
        <v>club_zip_dyn</v>
      </c>
      <c r="N34">
        <f t="shared" si="0"/>
        <v>33</v>
      </c>
      <c r="O34" t="s">
        <v>566</v>
      </c>
      <c r="Q34" t="str">
        <f>IFERROR(INDEX('CMT-inter'!$A$1:$M$33,MATCH(IF(IFERROR(SEARCH("_",$A34),0)&gt;0,LEFT($A34, FIND("_", $A34)-1),$A34),'CMT-inter'!$B$1:$B$33,0),MATCH("Market Code",'CMT-inter'!$A$1:$M$1,0)),"")</f>
        <v>RSTD16</v>
      </c>
      <c r="S34" t="str">
        <f>IFERROR(INDEX('CMT-inter'!$A$1:$M$33,MATCH(IF(IFERROR(SEARCH("_",$A34),0)&gt;0,LEFT($A34, FIND("_", $A34)-1),$A34),'CMT-inter'!$B$1:$B$33,0),MATCH(S$1,'CMT-inter'!$A$1:$M$1,0)),"")</f>
        <v>postcard</v>
      </c>
    </row>
    <row r="35" spans="1:19" x14ac:dyDescent="0.35">
      <c r="A35" t="s">
        <v>594</v>
      </c>
      <c r="B35">
        <f>IFERROR(INDEX('CMT-inter'!$A$1:$M$33,MATCH(SUBSTITUTE(IF(IFERROR(SEARCH("_",$A35),0)&gt;0,LEFT($A35, FIND("_", $A35)-1),$A35),"CTRL","CELL"),'CMT-inter'!$B$1:$B$33,0),MATCH(B$1,'CMT-inter'!$A$1:$M$1,0)),"")</f>
        <v>20221201</v>
      </c>
      <c r="D35" t="str">
        <f ca="1">IFERROR(INDEX('CMT-inter'!$A$1:$M$33,MATCH(IF(IFERROR(SEARCH("_",$A35),0)&gt;0,LEFT($A35, FIND("_", $A35)-1),$A35),'CMT-inter'!$B$1:$B$33,0),MATCH(D$1,'CMT-inter'!$A$1:$M$1,0)),"")</f>
        <v>20221201</v>
      </c>
      <c r="E35" t="b">
        <v>0</v>
      </c>
      <c r="F35" t="str">
        <f ca="1">IFERROR(INDEX('CMT-inter'!$A$1:$M$33,MATCH(IF(IFERROR(SEARCH("_",$A35),0)&gt;0,LEFT($A35, FIND("_", $A35)-1),$A35),'CMT-inter'!$B$1:$B$33,0),MATCH(F$1,'CMT-inter'!$A$1:$M$1,0)),"")</f>
        <v>20221201</v>
      </c>
      <c r="G35">
        <f>IFERROR(INDEX('CMT-inter'!$A$1:$M$33,MATCH(IF(IFERROR(SEARCH("_",$A35),0)&gt;0,LEFT($A35, FIND("_", $A35)-1),$A35),'CMT-inter'!$B$1:$B$33,0),MATCH(G$1,'CMT-inter'!$A$1:$M$1,0)),"")</f>
        <v>20221014</v>
      </c>
      <c r="H35" t="str">
        <f>IFERROR(IF(IFERROR(SEARCH("CTRL",$A35),FALSE),SUBSTITUTE( INDEX('CMT-inter'!$A$1:$M$33,MATCH(SUBSTITUTE(IF(IFERROR(SEARCH("_",$A35),0)&gt;0,LEFT($A35, FIND("_", $A35)-1),$A35),"CTRL","CELL"),'CMT-inter'!$B$1:$B$33,0),MATCH(H$1,'CMT-inter'!$A$1:$M$1,0)),"CELL","CTRL"), INDEX('CMT-inter'!$A$1:$M$33,MATCH(IF(IFERROR(SEARCH("_",$A35),0)&gt;0,LEFT($A35, FIND("_", $A35)-1),$A35),'CMT-inter'!$B$1:$B$33,0),MATCH(H$1,'CMT-inter'!$A$1:$M$1,0))),"")</f>
        <v>CELL15</v>
      </c>
      <c r="I35" t="str">
        <f>IFERROR(INDEX('CMT-inter'!$A$1:$M$33,MATCH(IF(IFERROR(SEARCH("_",$A35),0)&gt;0,LEFT($A35, FIND("_", $A35)-1),$A35),'CMT-inter'!$B$1:$B$33,0),MATCH("OFFER EXPIRES",'CMT-inter'!$A$1:$M$1,0)),"")</f>
        <v>20221231</v>
      </c>
      <c r="J35" t="str">
        <f ca="1">IFERROR(INDEX('CMT-inter'!$A$1:$M$33,MATCH(IF(IFERROR(SEARCH("_",$A35),0)&gt;0,LEFT($A35, FIND("_", $A35)-1),$A35),'CMT-inter'!$B$1:$B$33,0),MATCH(J$1,'CMT-inter'!$A$1:$M$1,0)),"")</f>
        <v>20221201</v>
      </c>
      <c r="K35" t="str">
        <f>'cell parameters'!F35</f>
        <v>club='223':index_key='0 and 30000000':priority_num='1'</v>
      </c>
      <c r="M35" t="str">
        <f>'cell parameters'!E35</f>
        <v>club_zip_dyn</v>
      </c>
      <c r="N35">
        <f t="shared" si="0"/>
        <v>34</v>
      </c>
      <c r="O35" t="s">
        <v>566</v>
      </c>
      <c r="Q35" t="str">
        <f>IFERROR(INDEX('CMT-inter'!$A$1:$M$33,MATCH(IF(IFERROR(SEARCH("_",$A35),0)&gt;0,LEFT($A35, FIND("_", $A35)-1),$A35),'CMT-inter'!$B$1:$B$33,0),MATCH("Market Code",'CMT-inter'!$A$1:$M$1,0)),"")</f>
        <v>PTCD17</v>
      </c>
      <c r="S35" t="str">
        <f>IFERROR(INDEX('CMT-inter'!$A$1:$M$33,MATCH(IF(IFERROR(SEARCH("_",$A35),0)&gt;0,LEFT($A35, FIND("_", $A35)-1),$A35),'CMT-inter'!$B$1:$B$33,0),MATCH(S$1,'CMT-inter'!$A$1:$M$1,0)),"")</f>
        <v>postcard</v>
      </c>
    </row>
    <row r="36" spans="1:19" x14ac:dyDescent="0.35">
      <c r="A36" t="s">
        <v>595</v>
      </c>
      <c r="B36">
        <f>IFERROR(INDEX('CMT-inter'!$A$1:$M$33,MATCH(SUBSTITUTE(IF(IFERROR(SEARCH("_",$A36),0)&gt;0,LEFT($A36, FIND("_", $A36)-1),$A36),"CTRL","CELL"),'CMT-inter'!$B$1:$B$33,0),MATCH(B$1,'CMT-inter'!$A$1:$M$1,0)),"")</f>
        <v>20221201</v>
      </c>
      <c r="D36" t="str">
        <f ca="1">IFERROR(INDEX('CMT-inter'!$A$1:$M$33,MATCH(IF(IFERROR(SEARCH("_",$A36),0)&gt;0,LEFT($A36, FIND("_", $A36)-1),$A36),'CMT-inter'!$B$1:$B$33,0),MATCH(D$1,'CMT-inter'!$A$1:$M$1,0)),"")</f>
        <v>20221201</v>
      </c>
      <c r="E36" t="b">
        <v>0</v>
      </c>
      <c r="F36" t="str">
        <f ca="1">IFERROR(INDEX('CMT-inter'!$A$1:$M$33,MATCH(IF(IFERROR(SEARCH("_",$A36),0)&gt;0,LEFT($A36, FIND("_", $A36)-1),$A36),'CMT-inter'!$B$1:$B$33,0),MATCH(F$1,'CMT-inter'!$A$1:$M$1,0)),"")</f>
        <v>20221201</v>
      </c>
      <c r="G36">
        <f>IFERROR(INDEX('CMT-inter'!$A$1:$M$33,MATCH(IF(IFERROR(SEARCH("_",$A36),0)&gt;0,LEFT($A36, FIND("_", $A36)-1),$A36),'CMT-inter'!$B$1:$B$33,0),MATCH(G$1,'CMT-inter'!$A$1:$M$1,0)),"")</f>
        <v>20221014</v>
      </c>
      <c r="H36" t="str">
        <f>IFERROR(IF(IFERROR(SEARCH("CTRL",$A36),FALSE),SUBSTITUTE( INDEX('CMT-inter'!$A$1:$M$33,MATCH(SUBSTITUTE(IF(IFERROR(SEARCH("_",$A36),0)&gt;0,LEFT($A36, FIND("_", $A36)-1),$A36),"CTRL","CELL"),'CMT-inter'!$B$1:$B$33,0),MATCH(H$1,'CMT-inter'!$A$1:$M$1,0)),"CELL","CTRL"), INDEX('CMT-inter'!$A$1:$M$33,MATCH(IF(IFERROR(SEARCH("_",$A36),0)&gt;0,LEFT($A36, FIND("_", $A36)-1),$A36),'CMT-inter'!$B$1:$B$33,0),MATCH(H$1,'CMT-inter'!$A$1:$M$1,0))),"")</f>
        <v>CELL15</v>
      </c>
      <c r="I36" t="str">
        <f>IFERROR(INDEX('CMT-inter'!$A$1:$M$33,MATCH(IF(IFERROR(SEARCH("_",$A36),0)&gt;0,LEFT($A36, FIND("_", $A36)-1),$A36),'CMT-inter'!$B$1:$B$33,0),MATCH("OFFER EXPIRES",'CMT-inter'!$A$1:$M$1,0)),"")</f>
        <v>20221231</v>
      </c>
      <c r="J36" t="str">
        <f ca="1">IFERROR(INDEX('CMT-inter'!$A$1:$M$33,MATCH(IF(IFERROR(SEARCH("_",$A36),0)&gt;0,LEFT($A36, FIND("_", $A36)-1),$A36),'CMT-inter'!$B$1:$B$33,0),MATCH(J$1,'CMT-inter'!$A$1:$M$1,0)),"")</f>
        <v>20221201</v>
      </c>
      <c r="K36" t="str">
        <f>'cell parameters'!F36</f>
        <v>club='223':index_key='30000000 and 50000000':priority_num='1'</v>
      </c>
      <c r="M36" t="str">
        <f>'cell parameters'!E36</f>
        <v>club_zip_dyn</v>
      </c>
      <c r="N36">
        <f t="shared" si="0"/>
        <v>35</v>
      </c>
      <c r="O36" t="s">
        <v>566</v>
      </c>
      <c r="Q36" t="str">
        <f>IFERROR(INDEX('CMT-inter'!$A$1:$M$33,MATCH(IF(IFERROR(SEARCH("_",$A36),0)&gt;0,LEFT($A36, FIND("_", $A36)-1),$A36),'CMT-inter'!$B$1:$B$33,0),MATCH("Market Code",'CMT-inter'!$A$1:$M$1,0)),"")</f>
        <v>PTCD17</v>
      </c>
      <c r="S36" t="str">
        <f>IFERROR(INDEX('CMT-inter'!$A$1:$M$33,MATCH(IF(IFERROR(SEARCH("_",$A36),0)&gt;0,LEFT($A36, FIND("_", $A36)-1),$A36),'CMT-inter'!$B$1:$B$33,0),MATCH(S$1,'CMT-inter'!$A$1:$M$1,0)),"")</f>
        <v>postcard</v>
      </c>
    </row>
    <row r="37" spans="1:19" x14ac:dyDescent="0.35">
      <c r="A37" t="s">
        <v>596</v>
      </c>
      <c r="B37">
        <f>IFERROR(INDEX('CMT-inter'!$A$1:$M$33,MATCH(SUBSTITUTE(IF(IFERROR(SEARCH("_",$A37),0)&gt;0,LEFT($A37, FIND("_", $A37)-1),$A37),"CTRL","CELL"),'CMT-inter'!$B$1:$B$33,0),MATCH(B$1,'CMT-inter'!$A$1:$M$1,0)),"")</f>
        <v>20221201</v>
      </c>
      <c r="D37" t="str">
        <f ca="1">IFERROR(INDEX('CMT-inter'!$A$1:$M$33,MATCH(IF(IFERROR(SEARCH("_",$A37),0)&gt;0,LEFT($A37, FIND("_", $A37)-1),$A37),'CMT-inter'!$B$1:$B$33,0),MATCH(D$1,'CMT-inter'!$A$1:$M$1,0)),"")</f>
        <v>20221201</v>
      </c>
      <c r="E37" t="b">
        <v>0</v>
      </c>
      <c r="F37" t="str">
        <f ca="1">IFERROR(INDEX('CMT-inter'!$A$1:$M$33,MATCH(IF(IFERROR(SEARCH("_",$A37),0)&gt;0,LEFT($A37, FIND("_", $A37)-1),$A37),'CMT-inter'!$B$1:$B$33,0),MATCH(F$1,'CMT-inter'!$A$1:$M$1,0)),"")</f>
        <v>20221201</v>
      </c>
      <c r="G37">
        <f>IFERROR(INDEX('CMT-inter'!$A$1:$M$33,MATCH(IF(IFERROR(SEARCH("_",$A37),0)&gt;0,LEFT($A37, FIND("_", $A37)-1),$A37),'CMT-inter'!$B$1:$B$33,0),MATCH(G$1,'CMT-inter'!$A$1:$M$1,0)),"")</f>
        <v>20221014</v>
      </c>
      <c r="H37" t="str">
        <f>IFERROR(IF(IFERROR(SEARCH("CTRL",$A37),FALSE),SUBSTITUTE( INDEX('CMT-inter'!$A$1:$M$33,MATCH(SUBSTITUTE(IF(IFERROR(SEARCH("_",$A37),0)&gt;0,LEFT($A37, FIND("_", $A37)-1),$A37),"CTRL","CELL"),'CMT-inter'!$B$1:$B$33,0),MATCH(H$1,'CMT-inter'!$A$1:$M$1,0)),"CELL","CTRL"), INDEX('CMT-inter'!$A$1:$M$33,MATCH(IF(IFERROR(SEARCH("_",$A37),0)&gt;0,LEFT($A37, FIND("_", $A37)-1),$A37),'CMT-inter'!$B$1:$B$33,0),MATCH(H$1,'CMT-inter'!$A$1:$M$1,0))),"")</f>
        <v>CELL16</v>
      </c>
      <c r="I37" t="str">
        <f>IFERROR(INDEX('CMT-inter'!$A$1:$M$33,MATCH(IF(IFERROR(SEARCH("_",$A37),0)&gt;0,LEFT($A37, FIND("_", $A37)-1),$A37),'CMT-inter'!$B$1:$B$33,0),MATCH("OFFER EXPIRES",'CMT-inter'!$A$1:$M$1,0)),"")</f>
        <v>20221231</v>
      </c>
      <c r="J37" t="str">
        <f ca="1">IFERROR(INDEX('CMT-inter'!$A$1:$M$33,MATCH(IF(IFERROR(SEARCH("_",$A37),0)&gt;0,LEFT($A37, FIND("_", $A37)-1),$A37),'CMT-inter'!$B$1:$B$33,0),MATCH(J$1,'CMT-inter'!$A$1:$M$1,0)),"")</f>
        <v>20221201</v>
      </c>
      <c r="K37" t="str">
        <f>'cell parameters'!F37</f>
        <v>club='389':index_key='0 and 30000000':priority_num='1'</v>
      </c>
      <c r="M37" t="str">
        <f>'cell parameters'!E37</f>
        <v>club_zip_dyn</v>
      </c>
      <c r="N37">
        <f t="shared" si="0"/>
        <v>36</v>
      </c>
      <c r="O37" t="s">
        <v>566</v>
      </c>
      <c r="Q37" t="str">
        <f>IFERROR(INDEX('CMT-inter'!$A$1:$M$33,MATCH(IF(IFERROR(SEARCH("_",$A37),0)&gt;0,LEFT($A37, FIND("_", $A37)-1),$A37),'CMT-inter'!$B$1:$B$33,0),MATCH("Market Code",'CMT-inter'!$A$1:$M$1,0)),"")</f>
        <v>LAND19</v>
      </c>
      <c r="S37" t="str">
        <f>IFERROR(INDEX('CMT-inter'!$A$1:$M$33,MATCH(IF(IFERROR(SEARCH("_",$A37),0)&gt;0,LEFT($A37, FIND("_", $A37)-1),$A37),'CMT-inter'!$B$1:$B$33,0),MATCH(S$1,'CMT-inter'!$A$1:$M$1,0)),"")</f>
        <v>postcard</v>
      </c>
    </row>
    <row r="38" spans="1:19" x14ac:dyDescent="0.35">
      <c r="A38" t="s">
        <v>597</v>
      </c>
      <c r="B38">
        <f>IFERROR(INDEX('CMT-inter'!$A$1:$M$33,MATCH(SUBSTITUTE(IF(IFERROR(SEARCH("_",$A38),0)&gt;0,LEFT($A38, FIND("_", $A38)-1),$A38),"CTRL","CELL"),'CMT-inter'!$B$1:$B$33,0),MATCH(B$1,'CMT-inter'!$A$1:$M$1,0)),"")</f>
        <v>20221201</v>
      </c>
      <c r="D38" t="str">
        <f ca="1">IFERROR(INDEX('CMT-inter'!$A$1:$M$33,MATCH(IF(IFERROR(SEARCH("_",$A38),0)&gt;0,LEFT($A38, FIND("_", $A38)-1),$A38),'CMT-inter'!$B$1:$B$33,0),MATCH(D$1,'CMT-inter'!$A$1:$M$1,0)),"")</f>
        <v>20221201</v>
      </c>
      <c r="E38" t="b">
        <v>0</v>
      </c>
      <c r="F38" t="str">
        <f ca="1">IFERROR(INDEX('CMT-inter'!$A$1:$M$33,MATCH(IF(IFERROR(SEARCH("_",$A38),0)&gt;0,LEFT($A38, FIND("_", $A38)-1),$A38),'CMT-inter'!$B$1:$B$33,0),MATCH(F$1,'CMT-inter'!$A$1:$M$1,0)),"")</f>
        <v>20221201</v>
      </c>
      <c r="G38">
        <f>IFERROR(INDEX('CMT-inter'!$A$1:$M$33,MATCH(IF(IFERROR(SEARCH("_",$A38),0)&gt;0,LEFT($A38, FIND("_", $A38)-1),$A38),'CMT-inter'!$B$1:$B$33,0),MATCH(G$1,'CMT-inter'!$A$1:$M$1,0)),"")</f>
        <v>20221014</v>
      </c>
      <c r="H38" t="str">
        <f>IFERROR(IF(IFERROR(SEARCH("CTRL",$A38),FALSE),SUBSTITUTE( INDEX('CMT-inter'!$A$1:$M$33,MATCH(SUBSTITUTE(IF(IFERROR(SEARCH("_",$A38),0)&gt;0,LEFT($A38, FIND("_", $A38)-1),$A38),"CTRL","CELL"),'CMT-inter'!$B$1:$B$33,0),MATCH(H$1,'CMT-inter'!$A$1:$M$1,0)),"CELL","CTRL"), INDEX('CMT-inter'!$A$1:$M$33,MATCH(IF(IFERROR(SEARCH("_",$A38),0)&gt;0,LEFT($A38, FIND("_", $A38)-1),$A38),'CMT-inter'!$B$1:$B$33,0),MATCH(H$1,'CMT-inter'!$A$1:$M$1,0))),"")</f>
        <v>CELL16</v>
      </c>
      <c r="I38" t="str">
        <f>IFERROR(INDEX('CMT-inter'!$A$1:$M$33,MATCH(IF(IFERROR(SEARCH("_",$A38),0)&gt;0,LEFT($A38, FIND("_", $A38)-1),$A38),'CMT-inter'!$B$1:$B$33,0),MATCH("OFFER EXPIRES",'CMT-inter'!$A$1:$M$1,0)),"")</f>
        <v>20221231</v>
      </c>
      <c r="J38" t="str">
        <f ca="1">IFERROR(INDEX('CMT-inter'!$A$1:$M$33,MATCH(IF(IFERROR(SEARCH("_",$A38),0)&gt;0,LEFT($A38, FIND("_", $A38)-1),$A38),'CMT-inter'!$B$1:$B$33,0),MATCH(J$1,'CMT-inter'!$A$1:$M$1,0)),"")</f>
        <v>20221201</v>
      </c>
      <c r="K38" t="str">
        <f>'cell parameters'!F38</f>
        <v>club='389':index_key='30000000 and 50000000':priority_num='1'</v>
      </c>
      <c r="M38" t="str">
        <f>'cell parameters'!E38</f>
        <v>club_zip_dyn</v>
      </c>
      <c r="N38">
        <f t="shared" si="0"/>
        <v>37</v>
      </c>
      <c r="O38" t="s">
        <v>566</v>
      </c>
      <c r="Q38" t="str">
        <f>IFERROR(INDEX('CMT-inter'!$A$1:$M$33,MATCH(IF(IFERROR(SEARCH("_",$A38),0)&gt;0,LEFT($A38, FIND("_", $A38)-1),$A38),'CMT-inter'!$B$1:$B$33,0),MATCH("Market Code",'CMT-inter'!$A$1:$M$1,0)),"")</f>
        <v>LAND19</v>
      </c>
      <c r="S38" t="str">
        <f>IFERROR(INDEX('CMT-inter'!$A$1:$M$33,MATCH(IF(IFERROR(SEARCH("_",$A38),0)&gt;0,LEFT($A38, FIND("_", $A38)-1),$A38),'CMT-inter'!$B$1:$B$33,0),MATCH(S$1,'CMT-inter'!$A$1:$M$1,0)),"")</f>
        <v>postcard</v>
      </c>
    </row>
    <row r="39" spans="1:19" x14ac:dyDescent="0.35">
      <c r="A39" t="s">
        <v>598</v>
      </c>
      <c r="B39">
        <f>IFERROR(INDEX('CMT-inter'!$A$1:$M$33,MATCH(SUBSTITUTE(IF(IFERROR(SEARCH("_",$A39),0)&gt;0,LEFT($A39, FIND("_", $A39)-1),$A39),"CTRL","CELL"),'CMT-inter'!$B$1:$B$33,0),MATCH(B$1,'CMT-inter'!$A$1:$M$1,0)),"")</f>
        <v>20221201</v>
      </c>
      <c r="D39" t="str">
        <f ca="1">IFERROR(INDEX('CMT-inter'!$A$1:$M$33,MATCH(IF(IFERROR(SEARCH("_",$A39),0)&gt;0,LEFT($A39, FIND("_", $A39)-1),$A39),'CMT-inter'!$B$1:$B$33,0),MATCH(D$1,'CMT-inter'!$A$1:$M$1,0)),"")</f>
        <v>20221201</v>
      </c>
      <c r="E39" t="b">
        <v>0</v>
      </c>
      <c r="F39" t="str">
        <f ca="1">IFERROR(INDEX('CMT-inter'!$A$1:$M$33,MATCH(IF(IFERROR(SEARCH("_",$A39),0)&gt;0,LEFT($A39, FIND("_", $A39)-1),$A39),'CMT-inter'!$B$1:$B$33,0),MATCH(F$1,'CMT-inter'!$A$1:$M$1,0)),"")</f>
        <v>20221201</v>
      </c>
      <c r="G39">
        <f>IFERROR(INDEX('CMT-inter'!$A$1:$M$33,MATCH(IF(IFERROR(SEARCH("_",$A39),0)&gt;0,LEFT($A39, FIND("_", $A39)-1),$A39),'CMT-inter'!$B$1:$B$33,0),MATCH(G$1,'CMT-inter'!$A$1:$M$1,0)),"")</f>
        <v>20221014</v>
      </c>
      <c r="H39" t="str">
        <f>IFERROR(IF(IFERROR(SEARCH("CTRL",$A39),FALSE),SUBSTITUTE( INDEX('CMT-inter'!$A$1:$M$33,MATCH(SUBSTITUTE(IF(IFERROR(SEARCH("_",$A39),0)&gt;0,LEFT($A39, FIND("_", $A39)-1),$A39),"CTRL","CELL"),'CMT-inter'!$B$1:$B$33,0),MATCH(H$1,'CMT-inter'!$A$1:$M$1,0)),"CELL","CTRL"), INDEX('CMT-inter'!$A$1:$M$33,MATCH(IF(IFERROR(SEARCH("_",$A39),0)&gt;0,LEFT($A39, FIND("_", $A39)-1),$A39),'CMT-inter'!$B$1:$B$33,0),MATCH(H$1,'CMT-inter'!$A$1:$M$1,0))),"")</f>
        <v>CELL17</v>
      </c>
      <c r="I39" t="str">
        <f>IFERROR(INDEX('CMT-inter'!$A$1:$M$33,MATCH(IF(IFERROR(SEARCH("_",$A39),0)&gt;0,LEFT($A39, FIND("_", $A39)-1),$A39),'CMT-inter'!$B$1:$B$33,0),MATCH("OFFER EXPIRES",'CMT-inter'!$A$1:$M$1,0)),"")</f>
        <v>20221231</v>
      </c>
      <c r="J39" t="str">
        <f ca="1">IFERROR(INDEX('CMT-inter'!$A$1:$M$33,MATCH(IF(IFERROR(SEARCH("_",$A39),0)&gt;0,LEFT($A39, FIND("_", $A39)-1),$A39),'CMT-inter'!$B$1:$B$33,0),MATCH(J$1,'CMT-inter'!$A$1:$M$1,0)),"")</f>
        <v>20221201</v>
      </c>
      <c r="K39" t="str">
        <f>'cell parameters'!F39</f>
        <v>club='386':index_key='0 and 30000000':priority_num='1'</v>
      </c>
      <c r="M39" t="str">
        <f>'cell parameters'!E39</f>
        <v>club_zip_dyn</v>
      </c>
      <c r="N39">
        <f t="shared" si="0"/>
        <v>38</v>
      </c>
      <c r="O39" t="s">
        <v>566</v>
      </c>
      <c r="Q39" t="str">
        <f>IFERROR(INDEX('CMT-inter'!$A$1:$M$33,MATCH(IF(IFERROR(SEARCH("_",$A39),0)&gt;0,LEFT($A39, FIND("_", $A39)-1),$A39),'CMT-inter'!$B$1:$B$33,0),MATCH("Market Code",'CMT-inter'!$A$1:$M$1,0)),"")</f>
        <v>D17386</v>
      </c>
      <c r="S39" t="str">
        <f>IFERROR(INDEX('CMT-inter'!$A$1:$M$33,MATCH(IF(IFERROR(SEARCH("_",$A39),0)&gt;0,LEFT($A39, FIND("_", $A39)-1),$A39),'CMT-inter'!$B$1:$B$33,0),MATCH(S$1,'CMT-inter'!$A$1:$M$1,0)),"")</f>
        <v>postcard</v>
      </c>
    </row>
    <row r="40" spans="1:19" x14ac:dyDescent="0.35">
      <c r="A40" t="s">
        <v>599</v>
      </c>
      <c r="B40">
        <f>IFERROR(INDEX('CMT-inter'!$A$1:$M$33,MATCH(SUBSTITUTE(IF(IFERROR(SEARCH("_",$A40),0)&gt;0,LEFT($A40, FIND("_", $A40)-1),$A40),"CTRL","CELL"),'CMT-inter'!$B$1:$B$33,0),MATCH(B$1,'CMT-inter'!$A$1:$M$1,0)),"")</f>
        <v>20221201</v>
      </c>
      <c r="D40" t="str">
        <f ca="1">IFERROR(INDEX('CMT-inter'!$A$1:$M$33,MATCH(IF(IFERROR(SEARCH("_",$A40),0)&gt;0,LEFT($A40, FIND("_", $A40)-1),$A40),'CMT-inter'!$B$1:$B$33,0),MATCH(D$1,'CMT-inter'!$A$1:$M$1,0)),"")</f>
        <v>20221201</v>
      </c>
      <c r="E40" t="b">
        <v>0</v>
      </c>
      <c r="F40" t="str">
        <f ca="1">IFERROR(INDEX('CMT-inter'!$A$1:$M$33,MATCH(IF(IFERROR(SEARCH("_",$A40),0)&gt;0,LEFT($A40, FIND("_", $A40)-1),$A40),'CMT-inter'!$B$1:$B$33,0),MATCH(F$1,'CMT-inter'!$A$1:$M$1,0)),"")</f>
        <v>20221201</v>
      </c>
      <c r="G40">
        <f>IFERROR(INDEX('CMT-inter'!$A$1:$M$33,MATCH(IF(IFERROR(SEARCH("_",$A40),0)&gt;0,LEFT($A40, FIND("_", $A40)-1),$A40),'CMT-inter'!$B$1:$B$33,0),MATCH(G$1,'CMT-inter'!$A$1:$M$1,0)),"")</f>
        <v>20221014</v>
      </c>
      <c r="H40" t="str">
        <f>IFERROR(IF(IFERROR(SEARCH("CTRL",$A40),FALSE),SUBSTITUTE( INDEX('CMT-inter'!$A$1:$M$33,MATCH(SUBSTITUTE(IF(IFERROR(SEARCH("_",$A40),0)&gt;0,LEFT($A40, FIND("_", $A40)-1),$A40),"CTRL","CELL"),'CMT-inter'!$B$1:$B$33,0),MATCH(H$1,'CMT-inter'!$A$1:$M$1,0)),"CELL","CTRL"), INDEX('CMT-inter'!$A$1:$M$33,MATCH(IF(IFERROR(SEARCH("_",$A40),0)&gt;0,LEFT($A40, FIND("_", $A40)-1),$A40),'CMT-inter'!$B$1:$B$33,0),MATCH(H$1,'CMT-inter'!$A$1:$M$1,0))),"")</f>
        <v>CELL17</v>
      </c>
      <c r="I40" t="str">
        <f>IFERROR(INDEX('CMT-inter'!$A$1:$M$33,MATCH(IF(IFERROR(SEARCH("_",$A40),0)&gt;0,LEFT($A40, FIND("_", $A40)-1),$A40),'CMT-inter'!$B$1:$B$33,0),MATCH("OFFER EXPIRES",'CMT-inter'!$A$1:$M$1,0)),"")</f>
        <v>20221231</v>
      </c>
      <c r="J40" t="str">
        <f ca="1">IFERROR(INDEX('CMT-inter'!$A$1:$M$33,MATCH(IF(IFERROR(SEARCH("_",$A40),0)&gt;0,LEFT($A40, FIND("_", $A40)-1),$A40),'CMT-inter'!$B$1:$B$33,0),MATCH(J$1,'CMT-inter'!$A$1:$M$1,0)),"")</f>
        <v>20221201</v>
      </c>
      <c r="K40" t="str">
        <f>'cell parameters'!F40</f>
        <v>club='386':index_key='30000000 and 50000000':priority_num='1'</v>
      </c>
      <c r="M40" t="str">
        <f>'cell parameters'!E40</f>
        <v>club_zip_dyn</v>
      </c>
      <c r="N40">
        <f t="shared" si="0"/>
        <v>39</v>
      </c>
      <c r="O40" t="s">
        <v>566</v>
      </c>
      <c r="Q40" t="str">
        <f>IFERROR(INDEX('CMT-inter'!$A$1:$M$33,MATCH(IF(IFERROR(SEARCH("_",$A40),0)&gt;0,LEFT($A40, FIND("_", $A40)-1),$A40),'CMT-inter'!$B$1:$B$33,0),MATCH("Market Code",'CMT-inter'!$A$1:$M$1,0)),"")</f>
        <v>D17386</v>
      </c>
      <c r="S40" t="str">
        <f>IFERROR(INDEX('CMT-inter'!$A$1:$M$33,MATCH(IF(IFERROR(SEARCH("_",$A40),0)&gt;0,LEFT($A40, FIND("_", $A40)-1),$A40),'CMT-inter'!$B$1:$B$33,0),MATCH(S$1,'CMT-inter'!$A$1:$M$1,0)),"")</f>
        <v>postcard</v>
      </c>
    </row>
    <row r="41" spans="1:19" x14ac:dyDescent="0.35">
      <c r="A41" t="s">
        <v>600</v>
      </c>
      <c r="B41">
        <f>IFERROR(INDEX('CMT-inter'!$A$1:$M$33,MATCH(SUBSTITUTE(IF(IFERROR(SEARCH("_",$A41),0)&gt;0,LEFT($A41, FIND("_", $A41)-1),$A41),"CTRL","CELL"),'CMT-inter'!$B$1:$B$33,0),MATCH(B$1,'CMT-inter'!$A$1:$M$1,0)),"")</f>
        <v>20221201</v>
      </c>
      <c r="D41" t="str">
        <f ca="1">IFERROR(INDEX('CMT-inter'!$A$1:$M$33,MATCH(IF(IFERROR(SEARCH("_",$A41),0)&gt;0,LEFT($A41, FIND("_", $A41)-1),$A41),'CMT-inter'!$B$1:$B$33,0),MATCH(D$1,'CMT-inter'!$A$1:$M$1,0)),"")</f>
        <v>20221201</v>
      </c>
      <c r="E41" t="b">
        <v>0</v>
      </c>
      <c r="F41" t="str">
        <f ca="1">IFERROR(INDEX('CMT-inter'!$A$1:$M$33,MATCH(IF(IFERROR(SEARCH("_",$A41),0)&gt;0,LEFT($A41, FIND("_", $A41)-1),$A41),'CMT-inter'!$B$1:$B$33,0),MATCH(F$1,'CMT-inter'!$A$1:$M$1,0)),"")</f>
        <v>20221201</v>
      </c>
      <c r="G41">
        <f>IFERROR(INDEX('CMT-inter'!$A$1:$M$33,MATCH(IF(IFERROR(SEARCH("_",$A41),0)&gt;0,LEFT($A41, FIND("_", $A41)-1),$A41),'CMT-inter'!$B$1:$B$33,0),MATCH(G$1,'CMT-inter'!$A$1:$M$1,0)),"")</f>
        <v>20221014</v>
      </c>
      <c r="H41" t="str">
        <f>IFERROR(IF(IFERROR(SEARCH("CTRL",$A41),FALSE),SUBSTITUTE( INDEX('CMT-inter'!$A$1:$M$33,MATCH(SUBSTITUTE(IF(IFERROR(SEARCH("_",$A41),0)&gt;0,LEFT($A41, FIND("_", $A41)-1),$A41),"CTRL","CELL"),'CMT-inter'!$B$1:$B$33,0),MATCH(H$1,'CMT-inter'!$A$1:$M$1,0)),"CELL","CTRL"), INDEX('CMT-inter'!$A$1:$M$33,MATCH(IF(IFERROR(SEARCH("_",$A41),0)&gt;0,LEFT($A41, FIND("_", $A41)-1),$A41),'CMT-inter'!$B$1:$B$33,0),MATCH(H$1,'CMT-inter'!$A$1:$M$1,0))),"")</f>
        <v>CELL18</v>
      </c>
      <c r="I41" t="str">
        <f>IFERROR(INDEX('CMT-inter'!$A$1:$M$33,MATCH(IF(IFERROR(SEARCH("_",$A41),0)&gt;0,LEFT($A41, FIND("_", $A41)-1),$A41),'CMT-inter'!$B$1:$B$33,0),MATCH("OFFER EXPIRES",'CMT-inter'!$A$1:$M$1,0)),"")</f>
        <v>20221231</v>
      </c>
      <c r="J41" t="str">
        <f ca="1">IFERROR(INDEX('CMT-inter'!$A$1:$M$33,MATCH(IF(IFERROR(SEARCH("_",$A41),0)&gt;0,LEFT($A41, FIND("_", $A41)-1),$A41),'CMT-inter'!$B$1:$B$33,0),MATCH(J$1,'CMT-inter'!$A$1:$M$1,0)),"")</f>
        <v>20221201</v>
      </c>
      <c r="K41" t="str">
        <f>'cell parameters'!F41</f>
        <v>club='390':index_key='0 and 30000000':priority_num='1','2'</v>
      </c>
      <c r="M41" t="str">
        <f>'cell parameters'!E41</f>
        <v>club_zip_dyn</v>
      </c>
      <c r="N41">
        <f t="shared" si="0"/>
        <v>40</v>
      </c>
      <c r="O41" t="s">
        <v>566</v>
      </c>
      <c r="Q41" t="str">
        <f>IFERROR(INDEX('CMT-inter'!$A$1:$M$33,MATCH(IF(IFERROR(SEARCH("_",$A41),0)&gt;0,LEFT($A41, FIND("_", $A41)-1),$A41),'CMT-inter'!$B$1:$B$33,0),MATCH("Market Code",'CMT-inter'!$A$1:$M$1,0)),"")</f>
        <v>LDYD14</v>
      </c>
      <c r="S41" t="str">
        <f>IFERROR(INDEX('CMT-inter'!$A$1:$M$33,MATCH(IF(IFERROR(SEARCH("_",$A41),0)&gt;0,LEFT($A41, FIND("_", $A41)-1),$A41),'CMT-inter'!$B$1:$B$33,0),MATCH(S$1,'CMT-inter'!$A$1:$M$1,0)),"")</f>
        <v>postcard</v>
      </c>
    </row>
    <row r="42" spans="1:19" x14ac:dyDescent="0.35">
      <c r="A42" t="s">
        <v>601</v>
      </c>
      <c r="B42">
        <f>IFERROR(INDEX('CMT-inter'!$A$1:$M$33,MATCH(SUBSTITUTE(IF(IFERROR(SEARCH("_",$A42),0)&gt;0,LEFT($A42, FIND("_", $A42)-1),$A42),"CTRL","CELL"),'CMT-inter'!$B$1:$B$33,0),MATCH(B$1,'CMT-inter'!$A$1:$M$1,0)),"")</f>
        <v>20221201</v>
      </c>
      <c r="D42" t="str">
        <f ca="1">IFERROR(INDEX('CMT-inter'!$A$1:$M$33,MATCH(IF(IFERROR(SEARCH("_",$A42),0)&gt;0,LEFT($A42, FIND("_", $A42)-1),$A42),'CMT-inter'!$B$1:$B$33,0),MATCH(D$1,'CMT-inter'!$A$1:$M$1,0)),"")</f>
        <v>20221201</v>
      </c>
      <c r="E42" t="b">
        <v>0</v>
      </c>
      <c r="F42" t="str">
        <f ca="1">IFERROR(INDEX('CMT-inter'!$A$1:$M$33,MATCH(IF(IFERROR(SEARCH("_",$A42),0)&gt;0,LEFT($A42, FIND("_", $A42)-1),$A42),'CMT-inter'!$B$1:$B$33,0),MATCH(F$1,'CMT-inter'!$A$1:$M$1,0)),"")</f>
        <v>20221201</v>
      </c>
      <c r="G42">
        <f>IFERROR(INDEX('CMT-inter'!$A$1:$M$33,MATCH(IF(IFERROR(SEARCH("_",$A42),0)&gt;0,LEFT($A42, FIND("_", $A42)-1),$A42),'CMT-inter'!$B$1:$B$33,0),MATCH(G$1,'CMT-inter'!$A$1:$M$1,0)),"")</f>
        <v>20221014</v>
      </c>
      <c r="H42" t="str">
        <f>IFERROR(IF(IFERROR(SEARCH("CTRL",$A42),FALSE),SUBSTITUTE( INDEX('CMT-inter'!$A$1:$M$33,MATCH(SUBSTITUTE(IF(IFERROR(SEARCH("_",$A42),0)&gt;0,LEFT($A42, FIND("_", $A42)-1),$A42),"CTRL","CELL"),'CMT-inter'!$B$1:$B$33,0),MATCH(H$1,'CMT-inter'!$A$1:$M$1,0)),"CELL","CTRL"), INDEX('CMT-inter'!$A$1:$M$33,MATCH(IF(IFERROR(SEARCH("_",$A42),0)&gt;0,LEFT($A42, FIND("_", $A42)-1),$A42),'CMT-inter'!$B$1:$B$33,0),MATCH(H$1,'CMT-inter'!$A$1:$M$1,0))),"")</f>
        <v>CELL18</v>
      </c>
      <c r="I42" t="str">
        <f>IFERROR(INDEX('CMT-inter'!$A$1:$M$33,MATCH(IF(IFERROR(SEARCH("_",$A42),0)&gt;0,LEFT($A42, FIND("_", $A42)-1),$A42),'CMT-inter'!$B$1:$B$33,0),MATCH("OFFER EXPIRES",'CMT-inter'!$A$1:$M$1,0)),"")</f>
        <v>20221231</v>
      </c>
      <c r="J42" t="str">
        <f ca="1">IFERROR(INDEX('CMT-inter'!$A$1:$M$33,MATCH(IF(IFERROR(SEARCH("_",$A42),0)&gt;0,LEFT($A42, FIND("_", $A42)-1),$A42),'CMT-inter'!$B$1:$B$33,0),MATCH(J$1,'CMT-inter'!$A$1:$M$1,0)),"")</f>
        <v>20221201</v>
      </c>
      <c r="K42" t="str">
        <f>'cell parameters'!F42</f>
        <v>club='390':index_key='30000000 and 50000000':priority_num='1','2'</v>
      </c>
      <c r="M42" t="str">
        <f>'cell parameters'!E42</f>
        <v>club_zip_dyn</v>
      </c>
      <c r="N42">
        <f t="shared" si="0"/>
        <v>41</v>
      </c>
      <c r="O42" t="s">
        <v>566</v>
      </c>
      <c r="Q42" t="str">
        <f>IFERROR(INDEX('CMT-inter'!$A$1:$M$33,MATCH(IF(IFERROR(SEARCH("_",$A42),0)&gt;0,LEFT($A42, FIND("_", $A42)-1),$A42),'CMT-inter'!$B$1:$B$33,0),MATCH("Market Code",'CMT-inter'!$A$1:$M$1,0)),"")</f>
        <v>LDYD14</v>
      </c>
      <c r="S42" t="str">
        <f>IFERROR(INDEX('CMT-inter'!$A$1:$M$33,MATCH(IF(IFERROR(SEARCH("_",$A42),0)&gt;0,LEFT($A42, FIND("_", $A42)-1),$A42),'CMT-inter'!$B$1:$B$33,0),MATCH(S$1,'CMT-inter'!$A$1:$M$1,0)),"")</f>
        <v>postcard</v>
      </c>
    </row>
    <row r="43" spans="1:19" x14ac:dyDescent="0.35">
      <c r="A43" t="s">
        <v>602</v>
      </c>
      <c r="B43">
        <f>IFERROR(INDEX('CMT-inter'!$A$1:$M$33,MATCH(SUBSTITUTE(IF(IFERROR(SEARCH("_",$A43),0)&gt;0,LEFT($A43, FIND("_", $A43)-1),$A43),"CTRL","CELL"),'CMT-inter'!$B$1:$B$33,0),MATCH(B$1,'CMT-inter'!$A$1:$M$1,0)),"")</f>
        <v>20221201</v>
      </c>
      <c r="D43" t="str">
        <f ca="1">IFERROR(INDEX('CMT-inter'!$A$1:$M$33,MATCH(IF(IFERROR(SEARCH("_",$A43),0)&gt;0,LEFT($A43, FIND("_", $A43)-1),$A43),'CMT-inter'!$B$1:$B$33,0),MATCH(D$1,'CMT-inter'!$A$1:$M$1,0)),"")</f>
        <v>20221208</v>
      </c>
      <c r="E43" t="b">
        <v>0</v>
      </c>
      <c r="F43" t="str">
        <f ca="1">IFERROR(INDEX('CMT-inter'!$A$1:$M$33,MATCH(IF(IFERROR(SEARCH("_",$A43),0)&gt;0,LEFT($A43, FIND("_", $A43)-1),$A43),'CMT-inter'!$B$1:$B$33,0),MATCH(F$1,'CMT-inter'!$A$1:$M$1,0)),"")</f>
        <v>20221208</v>
      </c>
      <c r="G43">
        <f>IFERROR(INDEX('CMT-inter'!$A$1:$M$33,MATCH(IF(IFERROR(SEARCH("_",$A43),0)&gt;0,LEFT($A43, FIND("_", $A43)-1),$A43),'CMT-inter'!$B$1:$B$33,0),MATCH(G$1,'CMT-inter'!$A$1:$M$1,0)),"")</f>
        <v>20221014</v>
      </c>
      <c r="H43" t="str">
        <f>IFERROR(IF(IFERROR(SEARCH("CTRL",$A43),FALSE),SUBSTITUTE( INDEX('CMT-inter'!$A$1:$M$33,MATCH(SUBSTITUTE(IF(IFERROR(SEARCH("_",$A43),0)&gt;0,LEFT($A43, FIND("_", $A43)-1),$A43),"CTRL","CELL"),'CMT-inter'!$B$1:$B$33,0),MATCH(H$1,'CMT-inter'!$A$1:$M$1,0)),"CELL","CTRL"), INDEX('CMT-inter'!$A$1:$M$33,MATCH(IF(IFERROR(SEARCH("_",$A43),0)&gt;0,LEFT($A43, FIND("_", $A43)-1),$A43),'CMT-inter'!$B$1:$B$33,0),MATCH(H$1,'CMT-inter'!$A$1:$M$1,0))),"")</f>
        <v>CELL19</v>
      </c>
      <c r="I43" t="str">
        <f>IFERROR(INDEX('CMT-inter'!$A$1:$M$33,MATCH(IF(IFERROR(SEARCH("_",$A43),0)&gt;0,LEFT($A43, FIND("_", $A43)-1),$A43),'CMT-inter'!$B$1:$B$33,0),MATCH("OFFER EXPIRES",'CMT-inter'!$A$1:$M$1,0)),"")</f>
        <v>20230105</v>
      </c>
      <c r="J43" t="str">
        <f ca="1">IFERROR(INDEX('CMT-inter'!$A$1:$M$33,MATCH(IF(IFERROR(SEARCH("_",$A43),0)&gt;0,LEFT($A43, FIND("_", $A43)-1),$A43),'CMT-inter'!$B$1:$B$33,0),MATCH(J$1,'CMT-inter'!$A$1:$M$1,0)),"")</f>
        <v>20221208</v>
      </c>
      <c r="K43" t="str">
        <f>'cell parameters'!F43</f>
        <v>club='225':index_key='0 and 30000000':priority_num='1'</v>
      </c>
      <c r="M43" t="str">
        <f>'cell parameters'!E43</f>
        <v>club_zip_dyn</v>
      </c>
      <c r="N43">
        <f t="shared" si="0"/>
        <v>42</v>
      </c>
      <c r="O43" t="s">
        <v>566</v>
      </c>
      <c r="Q43" t="str">
        <f>IFERROR(INDEX('CMT-inter'!$A$1:$M$33,MATCH(IF(IFERROR(SEARCH("_",$A43),0)&gt;0,LEFT($A43, FIND("_", $A43)-1),$A43),'CMT-inter'!$B$1:$B$33,0),MATCH("Market Code",'CMT-inter'!$A$1:$M$1,0)),"")</f>
        <v>BB2225</v>
      </c>
      <c r="S43" t="str">
        <f>IFERROR(INDEX('CMT-inter'!$A$1:$M$33,MATCH(IF(IFERROR(SEARCH("_",$A43),0)&gt;0,LEFT($A43, FIND("_", $A43)-1),$A43),'CMT-inter'!$B$1:$B$33,0),MATCH(S$1,'CMT-inter'!$A$1:$M$1,0)),"")</f>
        <v>SmartSaver</v>
      </c>
    </row>
    <row r="44" spans="1:19" x14ac:dyDescent="0.35">
      <c r="A44" t="s">
        <v>603</v>
      </c>
      <c r="B44">
        <f>IFERROR(INDEX('CMT-inter'!$A$1:$M$33,MATCH(SUBSTITUTE(IF(IFERROR(SEARCH("_",$A44),0)&gt;0,LEFT($A44, FIND("_", $A44)-1),$A44),"CTRL","CELL"),'CMT-inter'!$B$1:$B$33,0),MATCH(B$1,'CMT-inter'!$A$1:$M$1,0)),"")</f>
        <v>20221201</v>
      </c>
      <c r="D44" t="str">
        <f ca="1">IFERROR(INDEX('CMT-inter'!$A$1:$M$33,MATCH(IF(IFERROR(SEARCH("_",$A44),0)&gt;0,LEFT($A44, FIND("_", $A44)-1),$A44),'CMT-inter'!$B$1:$B$33,0),MATCH(D$1,'CMT-inter'!$A$1:$M$1,0)),"")</f>
        <v>20221208</v>
      </c>
      <c r="E44" t="b">
        <v>0</v>
      </c>
      <c r="F44" t="str">
        <f ca="1">IFERROR(INDEX('CMT-inter'!$A$1:$M$33,MATCH(IF(IFERROR(SEARCH("_",$A44),0)&gt;0,LEFT($A44, FIND("_", $A44)-1),$A44),'CMT-inter'!$B$1:$B$33,0),MATCH(F$1,'CMT-inter'!$A$1:$M$1,0)),"")</f>
        <v>20221208</v>
      </c>
      <c r="G44">
        <f>IFERROR(INDEX('CMT-inter'!$A$1:$M$33,MATCH(IF(IFERROR(SEARCH("_",$A44),0)&gt;0,LEFT($A44, FIND("_", $A44)-1),$A44),'CMT-inter'!$B$1:$B$33,0),MATCH(G$1,'CMT-inter'!$A$1:$M$1,0)),"")</f>
        <v>20221014</v>
      </c>
      <c r="H44" t="str">
        <f>IFERROR(IF(IFERROR(SEARCH("CTRL",$A44),FALSE),SUBSTITUTE( INDEX('CMT-inter'!$A$1:$M$33,MATCH(SUBSTITUTE(IF(IFERROR(SEARCH("_",$A44),0)&gt;0,LEFT($A44, FIND("_", $A44)-1),$A44),"CTRL","CELL"),'CMT-inter'!$B$1:$B$33,0),MATCH(H$1,'CMT-inter'!$A$1:$M$1,0)),"CELL","CTRL"), INDEX('CMT-inter'!$A$1:$M$33,MATCH(IF(IFERROR(SEARCH("_",$A44),0)&gt;0,LEFT($A44, FIND("_", $A44)-1),$A44),'CMT-inter'!$B$1:$B$33,0),MATCH(H$1,'CMT-inter'!$A$1:$M$1,0))),"")</f>
        <v>CELL19</v>
      </c>
      <c r="I44" t="str">
        <f>IFERROR(INDEX('CMT-inter'!$A$1:$M$33,MATCH(IF(IFERROR(SEARCH("_",$A44),0)&gt;0,LEFT($A44, FIND("_", $A44)-1),$A44),'CMT-inter'!$B$1:$B$33,0),MATCH("OFFER EXPIRES",'CMT-inter'!$A$1:$M$1,0)),"")</f>
        <v>20230105</v>
      </c>
      <c r="J44" t="str">
        <f ca="1">IFERROR(INDEX('CMT-inter'!$A$1:$M$33,MATCH(IF(IFERROR(SEARCH("_",$A44),0)&gt;0,LEFT($A44, FIND("_", $A44)-1),$A44),'CMT-inter'!$B$1:$B$33,0),MATCH(J$1,'CMT-inter'!$A$1:$M$1,0)),"")</f>
        <v>20221208</v>
      </c>
      <c r="K44" t="str">
        <f>'cell parameters'!F44</f>
        <v>club='225':index_key='30000000 and 50000000':priority_num='1'</v>
      </c>
      <c r="M44" t="str">
        <f>'cell parameters'!E44</f>
        <v>club_zip_dyn</v>
      </c>
      <c r="N44">
        <f t="shared" si="0"/>
        <v>43</v>
      </c>
      <c r="O44" t="s">
        <v>566</v>
      </c>
      <c r="Q44" t="str">
        <f>IFERROR(INDEX('CMT-inter'!$A$1:$M$33,MATCH(IF(IFERROR(SEARCH("_",$A44),0)&gt;0,LEFT($A44, FIND("_", $A44)-1),$A44),'CMT-inter'!$B$1:$B$33,0),MATCH("Market Code",'CMT-inter'!$A$1:$M$1,0)),"")</f>
        <v>BB2225</v>
      </c>
      <c r="S44" t="str">
        <f>IFERROR(INDEX('CMT-inter'!$A$1:$M$33,MATCH(IF(IFERROR(SEARCH("_",$A44),0)&gt;0,LEFT($A44, FIND("_", $A44)-1),$A44),'CMT-inter'!$B$1:$B$33,0),MATCH(S$1,'CMT-inter'!$A$1:$M$1,0)),"")</f>
        <v>SmartSaver</v>
      </c>
    </row>
    <row r="45" spans="1:19" x14ac:dyDescent="0.35">
      <c r="A45" t="s">
        <v>604</v>
      </c>
      <c r="B45">
        <f>IFERROR(INDEX('CMT-inter'!$A$1:$M$33,MATCH(SUBSTITUTE(IF(IFERROR(SEARCH("_",$A45),0)&gt;0,LEFT($A45, FIND("_", $A45)-1),$A45),"CTRL","CELL"),'CMT-inter'!$B$1:$B$33,0),MATCH(B$1,'CMT-inter'!$A$1:$M$1,0)),"")</f>
        <v>20221201</v>
      </c>
      <c r="D45" t="str">
        <f ca="1">IFERROR(INDEX('CMT-inter'!$A$1:$M$33,MATCH(IF(IFERROR(SEARCH("_",$A45),0)&gt;0,LEFT($A45, FIND("_", $A45)-1),$A45),'CMT-inter'!$B$1:$B$33,0),MATCH(D$1,'CMT-inter'!$A$1:$M$1,0)),"")</f>
        <v>20221201</v>
      </c>
      <c r="E45" t="b">
        <v>0</v>
      </c>
      <c r="F45" t="str">
        <f ca="1">IFERROR(INDEX('CMT-inter'!$A$1:$M$33,MATCH(IF(IFERROR(SEARCH("_",$A45),0)&gt;0,LEFT($A45, FIND("_", $A45)-1),$A45),'CMT-inter'!$B$1:$B$33,0),MATCH(F$1,'CMT-inter'!$A$1:$M$1,0)),"")</f>
        <v>20221201</v>
      </c>
      <c r="G45">
        <f>IFERROR(INDEX('CMT-inter'!$A$1:$M$33,MATCH(IF(IFERROR(SEARCH("_",$A45),0)&gt;0,LEFT($A45, FIND("_", $A45)-1),$A45),'CMT-inter'!$B$1:$B$33,0),MATCH(G$1,'CMT-inter'!$A$1:$M$1,0)),"")</f>
        <v>20221014</v>
      </c>
      <c r="H45" t="str">
        <f>IFERROR(IF(IFERROR(SEARCH("CTRL",$A45),FALSE),SUBSTITUTE( INDEX('CMT-inter'!$A$1:$M$33,MATCH(SUBSTITUTE(IF(IFERROR(SEARCH("_",$A45),0)&gt;0,LEFT($A45, FIND("_", $A45)-1),$A45),"CTRL","CELL"),'CMT-inter'!$B$1:$B$33,0),MATCH(H$1,'CMT-inter'!$A$1:$M$1,0)),"CELL","CTRL"), INDEX('CMT-inter'!$A$1:$M$33,MATCH(IF(IFERROR(SEARCH("_",$A45),0)&gt;0,LEFT($A45, FIND("_", $A45)-1),$A45),'CMT-inter'!$B$1:$B$33,0),MATCH(H$1,'CMT-inter'!$A$1:$M$1,0))),"")</f>
        <v>CELL20</v>
      </c>
      <c r="I45" t="str">
        <f>IFERROR(INDEX('CMT-inter'!$A$1:$M$33,MATCH(IF(IFERROR(SEARCH("_",$A45),0)&gt;0,LEFT($A45, FIND("_", $A45)-1),$A45),'CMT-inter'!$B$1:$B$33,0),MATCH("OFFER EXPIRES",'CMT-inter'!$A$1:$M$1,0)),"")</f>
        <v>20221231</v>
      </c>
      <c r="J45" t="str">
        <f ca="1">IFERROR(INDEX('CMT-inter'!$A$1:$M$33,MATCH(IF(IFERROR(SEARCH("_",$A45),0)&gt;0,LEFT($A45, FIND("_", $A45)-1),$A45),'CMT-inter'!$B$1:$B$33,0),MATCH(J$1,'CMT-inter'!$A$1:$M$1,0)),"")</f>
        <v>20221201</v>
      </c>
      <c r="K45" t="str">
        <f>'cell parameters'!F45</f>
        <v>club='224':index_key='0 and 30000000':priority_num='1'</v>
      </c>
      <c r="M45" t="str">
        <f>'cell parameters'!E45</f>
        <v>club_zip_dyn</v>
      </c>
      <c r="N45">
        <f t="shared" si="0"/>
        <v>44</v>
      </c>
      <c r="O45" t="s">
        <v>566</v>
      </c>
      <c r="Q45" t="str">
        <f>IFERROR(INDEX('CMT-inter'!$A$1:$M$33,MATCH(IF(IFERROR(SEARCH("_",$A45),0)&gt;0,LEFT($A45, FIND("_", $A45)-1),$A45),'CMT-inter'!$B$1:$B$33,0),MATCH("Market Code",'CMT-inter'!$A$1:$M$1,0)),"")</f>
        <v>NBLSCR</v>
      </c>
      <c r="S45" t="str">
        <f>IFERROR(INDEX('CMT-inter'!$A$1:$M$33,MATCH(IF(IFERROR(SEARCH("_",$A45),0)&gt;0,LEFT($A45, FIND("_", $A45)-1),$A45),'CMT-inter'!$B$1:$B$33,0),MATCH(S$1,'CMT-inter'!$A$1:$M$1,0)),"")</f>
        <v>scratch_ticket</v>
      </c>
    </row>
    <row r="46" spans="1:19" x14ac:dyDescent="0.35">
      <c r="A46" t="s">
        <v>605</v>
      </c>
      <c r="B46">
        <f>IFERROR(INDEX('CMT-inter'!$A$1:$M$33,MATCH(SUBSTITUTE(IF(IFERROR(SEARCH("_",$A46),0)&gt;0,LEFT($A46, FIND("_", $A46)-1),$A46),"CTRL","CELL"),'CMT-inter'!$B$1:$B$33,0),MATCH(B$1,'CMT-inter'!$A$1:$M$1,0)),"")</f>
        <v>20221201</v>
      </c>
      <c r="D46" t="str">
        <f ca="1">IFERROR(INDEX('CMT-inter'!$A$1:$M$33,MATCH(IF(IFERROR(SEARCH("_",$A46),0)&gt;0,LEFT($A46, FIND("_", $A46)-1),$A46),'CMT-inter'!$B$1:$B$33,0),MATCH(D$1,'CMT-inter'!$A$1:$M$1,0)),"")</f>
        <v>20221201</v>
      </c>
      <c r="E46" t="b">
        <v>0</v>
      </c>
      <c r="F46" t="str">
        <f ca="1">IFERROR(INDEX('CMT-inter'!$A$1:$M$33,MATCH(IF(IFERROR(SEARCH("_",$A46),0)&gt;0,LEFT($A46, FIND("_", $A46)-1),$A46),'CMT-inter'!$B$1:$B$33,0),MATCH(F$1,'CMT-inter'!$A$1:$M$1,0)),"")</f>
        <v>20221201</v>
      </c>
      <c r="G46">
        <f>IFERROR(INDEX('CMT-inter'!$A$1:$M$33,MATCH(IF(IFERROR(SEARCH("_",$A46),0)&gt;0,LEFT($A46, FIND("_", $A46)-1),$A46),'CMT-inter'!$B$1:$B$33,0),MATCH(G$1,'CMT-inter'!$A$1:$M$1,0)),"")</f>
        <v>20221014</v>
      </c>
      <c r="H46" t="str">
        <f>IFERROR(IF(IFERROR(SEARCH("CTRL",$A46),FALSE),SUBSTITUTE( INDEX('CMT-inter'!$A$1:$M$33,MATCH(SUBSTITUTE(IF(IFERROR(SEARCH("_",$A46),0)&gt;0,LEFT($A46, FIND("_", $A46)-1),$A46),"CTRL","CELL"),'CMT-inter'!$B$1:$B$33,0),MATCH(H$1,'CMT-inter'!$A$1:$M$1,0)),"CELL","CTRL"), INDEX('CMT-inter'!$A$1:$M$33,MATCH(IF(IFERROR(SEARCH("_",$A46),0)&gt;0,LEFT($A46, FIND("_", $A46)-1),$A46),'CMT-inter'!$B$1:$B$33,0),MATCH(H$1,'CMT-inter'!$A$1:$M$1,0))),"")</f>
        <v>CELL20</v>
      </c>
      <c r="I46" t="str">
        <f>IFERROR(INDEX('CMT-inter'!$A$1:$M$33,MATCH(IF(IFERROR(SEARCH("_",$A46),0)&gt;0,LEFT($A46, FIND("_", $A46)-1),$A46),'CMT-inter'!$B$1:$B$33,0),MATCH("OFFER EXPIRES",'CMT-inter'!$A$1:$M$1,0)),"")</f>
        <v>20221231</v>
      </c>
      <c r="J46" t="str">
        <f ca="1">IFERROR(INDEX('CMT-inter'!$A$1:$M$33,MATCH(IF(IFERROR(SEARCH("_",$A46),0)&gt;0,LEFT($A46, FIND("_", $A46)-1),$A46),'CMT-inter'!$B$1:$B$33,0),MATCH(J$1,'CMT-inter'!$A$1:$M$1,0)),"")</f>
        <v>20221201</v>
      </c>
      <c r="K46" t="str">
        <f>'cell parameters'!F46</f>
        <v>club='224':index_key='30000000 and 50000000':priority_num='1'</v>
      </c>
      <c r="M46" t="str">
        <f>'cell parameters'!E46</f>
        <v>club_zip_dyn</v>
      </c>
      <c r="N46">
        <f t="shared" si="0"/>
        <v>45</v>
      </c>
      <c r="O46" t="s">
        <v>566</v>
      </c>
      <c r="Q46" t="str">
        <f>IFERROR(INDEX('CMT-inter'!$A$1:$M$33,MATCH(IF(IFERROR(SEARCH("_",$A46),0)&gt;0,LEFT($A46, FIND("_", $A46)-1),$A46),'CMT-inter'!$B$1:$B$33,0),MATCH("Market Code",'CMT-inter'!$A$1:$M$1,0)),"")</f>
        <v>NBLSCR</v>
      </c>
      <c r="S46" t="str">
        <f>IFERROR(INDEX('CMT-inter'!$A$1:$M$33,MATCH(IF(IFERROR(SEARCH("_",$A46),0)&gt;0,LEFT($A46, FIND("_", $A46)-1),$A46),'CMT-inter'!$B$1:$B$33,0),MATCH(S$1,'CMT-inter'!$A$1:$M$1,0)),"")</f>
        <v>scratch_ticket</v>
      </c>
    </row>
    <row r="47" spans="1:19" x14ac:dyDescent="0.35">
      <c r="A47" t="s">
        <v>606</v>
      </c>
      <c r="B47">
        <f>IFERROR(INDEX('CMT-inter'!$A$1:$M$33,MATCH(SUBSTITUTE(IF(IFERROR(SEARCH("_",$A47),0)&gt;0,LEFT($A47, FIND("_", $A47)-1),$A47),"CTRL","CELL"),'CMT-inter'!$B$1:$B$33,0),MATCH(B$1,'CMT-inter'!$A$1:$M$1,0)),"")</f>
        <v>20221201</v>
      </c>
      <c r="D47" t="str">
        <f ca="1">IFERROR(INDEX('CMT-inter'!$A$1:$M$33,MATCH(IF(IFERROR(SEARCH("_",$A47),0)&gt;0,LEFT($A47, FIND("_", $A47)-1),$A47),'CMT-inter'!$B$1:$B$33,0),MATCH(D$1,'CMT-inter'!$A$1:$M$1,0)),"")</f>
        <v>20221215</v>
      </c>
      <c r="E47" t="b">
        <v>0</v>
      </c>
      <c r="F47" t="str">
        <f ca="1">IFERROR(INDEX('CMT-inter'!$A$1:$M$33,MATCH(IF(IFERROR(SEARCH("_",$A47),0)&gt;0,LEFT($A47, FIND("_", $A47)-1),$A47),'CMT-inter'!$B$1:$B$33,0),MATCH(F$1,'CMT-inter'!$A$1:$M$1,0)),"")</f>
        <v>20221215</v>
      </c>
      <c r="G47">
        <f>IFERROR(INDEX('CMT-inter'!$A$1:$M$33,MATCH(IF(IFERROR(SEARCH("_",$A47),0)&gt;0,LEFT($A47, FIND("_", $A47)-1),$A47),'CMT-inter'!$B$1:$B$33,0),MATCH(G$1,'CMT-inter'!$A$1:$M$1,0)),"")</f>
        <v>20221014</v>
      </c>
      <c r="H47" t="str">
        <f>IFERROR(IF(IFERROR(SEARCH("CTRL",$A47),FALSE),SUBSTITUTE( INDEX('CMT-inter'!$A$1:$M$33,MATCH(SUBSTITUTE(IF(IFERROR(SEARCH("_",$A47),0)&gt;0,LEFT($A47, FIND("_", $A47)-1),$A47),"CTRL","CELL"),'CMT-inter'!$B$1:$B$33,0),MATCH(H$1,'CMT-inter'!$A$1:$M$1,0)),"CELL","CTRL"), INDEX('CMT-inter'!$A$1:$M$33,MATCH(IF(IFERROR(SEARCH("_",$A47),0)&gt;0,LEFT($A47, FIND("_", $A47)-1),$A47),'CMT-inter'!$B$1:$B$33,0),MATCH(H$1,'CMT-inter'!$A$1:$M$1,0))),"")</f>
        <v>CELL21</v>
      </c>
      <c r="I47" t="str">
        <f>IFERROR(INDEX('CMT-inter'!$A$1:$M$33,MATCH(IF(IFERROR(SEARCH("_",$A47),0)&gt;0,LEFT($A47, FIND("_", $A47)-1),$A47),'CMT-inter'!$B$1:$B$33,0),MATCH("OFFER EXPIRES",'CMT-inter'!$A$1:$M$1,0)),"")</f>
        <v>20230119</v>
      </c>
      <c r="J47" t="str">
        <f ca="1">IFERROR(INDEX('CMT-inter'!$A$1:$M$33,MATCH(IF(IFERROR(SEARCH("_",$A47),0)&gt;0,LEFT($A47, FIND("_", $A47)-1),$A47),'CMT-inter'!$B$1:$B$33,0),MATCH(J$1,'CMT-inter'!$A$1:$M$1,0)),"")</f>
        <v>20221215</v>
      </c>
      <c r="K47" t="str">
        <f>'cell parameters'!F47</f>
        <v>club='224':index_key='0 and 30000000':priority_num='1':bjs_cell='CELL20'</v>
      </c>
      <c r="M47" t="str">
        <f>'cell parameters'!E47</f>
        <v>sub_club_zip_dyn</v>
      </c>
      <c r="N47">
        <f t="shared" si="0"/>
        <v>46</v>
      </c>
      <c r="O47" t="s">
        <v>566</v>
      </c>
      <c r="Q47" t="str">
        <f>IFERROR(INDEX('CMT-inter'!$A$1:$M$33,MATCH(IF(IFERROR(SEARCH("_",$A47),0)&gt;0,LEFT($A47, FIND("_", $A47)-1),$A47),'CMT-inter'!$B$1:$B$33,0),MATCH("Market Code",'CMT-inter'!$A$1:$M$1,0)),"")</f>
        <v>NBLBB2</v>
      </c>
      <c r="S47" t="str">
        <f>IFERROR(INDEX('CMT-inter'!$A$1:$M$33,MATCH(IF(IFERROR(SEARCH("_",$A47),0)&gt;0,LEFT($A47, FIND("_", $A47)-1),$A47),'CMT-inter'!$B$1:$B$33,0),MATCH(S$1,'CMT-inter'!$A$1:$M$1,0)),"")</f>
        <v>SmartSaver</v>
      </c>
    </row>
    <row r="48" spans="1:19" x14ac:dyDescent="0.35">
      <c r="A48" t="s">
        <v>607</v>
      </c>
      <c r="B48">
        <f>IFERROR(INDEX('CMT-inter'!$A$1:$M$33,MATCH(SUBSTITUTE(IF(IFERROR(SEARCH("_",$A48),0)&gt;0,LEFT($A48, FIND("_", $A48)-1),$A48),"CTRL","CELL"),'CMT-inter'!$B$1:$B$33,0),MATCH(B$1,'CMT-inter'!$A$1:$M$1,0)),"")</f>
        <v>20221201</v>
      </c>
      <c r="D48" t="str">
        <f ca="1">IFERROR(INDEX('CMT-inter'!$A$1:$M$33,MATCH(IF(IFERROR(SEARCH("_",$A48),0)&gt;0,LEFT($A48, FIND("_", $A48)-1),$A48),'CMT-inter'!$B$1:$B$33,0),MATCH(D$1,'CMT-inter'!$A$1:$M$1,0)),"")</f>
        <v>20221215</v>
      </c>
      <c r="E48" t="b">
        <v>0</v>
      </c>
      <c r="F48" t="str">
        <f ca="1">IFERROR(INDEX('CMT-inter'!$A$1:$M$33,MATCH(IF(IFERROR(SEARCH("_",$A48),0)&gt;0,LEFT($A48, FIND("_", $A48)-1),$A48),'CMT-inter'!$B$1:$B$33,0),MATCH(F$1,'CMT-inter'!$A$1:$M$1,0)),"")</f>
        <v>20221215</v>
      </c>
      <c r="G48">
        <f>IFERROR(INDEX('CMT-inter'!$A$1:$M$33,MATCH(IF(IFERROR(SEARCH("_",$A48),0)&gt;0,LEFT($A48, FIND("_", $A48)-1),$A48),'CMT-inter'!$B$1:$B$33,0),MATCH(G$1,'CMT-inter'!$A$1:$M$1,0)),"")</f>
        <v>20221014</v>
      </c>
      <c r="H48" t="str">
        <f>IFERROR(IF(IFERROR(SEARCH("CTRL",$A48),FALSE),SUBSTITUTE( INDEX('CMT-inter'!$A$1:$M$33,MATCH(SUBSTITUTE(IF(IFERROR(SEARCH("_",$A48),0)&gt;0,LEFT($A48, FIND("_", $A48)-1),$A48),"CTRL","CELL"),'CMT-inter'!$B$1:$B$33,0),MATCH(H$1,'CMT-inter'!$A$1:$M$1,0)),"CELL","CTRL"), INDEX('CMT-inter'!$A$1:$M$33,MATCH(IF(IFERROR(SEARCH("_",$A48),0)&gt;0,LEFT($A48, FIND("_", $A48)-1),$A48),'CMT-inter'!$B$1:$B$33,0),MATCH(H$1,'CMT-inter'!$A$1:$M$1,0))),"")</f>
        <v>CELL21</v>
      </c>
      <c r="I48" t="str">
        <f>IFERROR(INDEX('CMT-inter'!$A$1:$M$33,MATCH(IF(IFERROR(SEARCH("_",$A48),0)&gt;0,LEFT($A48, FIND("_", $A48)-1),$A48),'CMT-inter'!$B$1:$B$33,0),MATCH("OFFER EXPIRES",'CMT-inter'!$A$1:$M$1,0)),"")</f>
        <v>20230119</v>
      </c>
      <c r="J48" t="str">
        <f ca="1">IFERROR(INDEX('CMT-inter'!$A$1:$M$33,MATCH(IF(IFERROR(SEARCH("_",$A48),0)&gt;0,LEFT($A48, FIND("_", $A48)-1),$A48),'CMT-inter'!$B$1:$B$33,0),MATCH(J$1,'CMT-inter'!$A$1:$M$1,0)),"")</f>
        <v>20221215</v>
      </c>
      <c r="K48" t="str">
        <f>'cell parameters'!F48</f>
        <v>club='224':index_key='30000000 and 50000000':priority_num='1':bjs_cell='CELL20_BNZD'</v>
      </c>
      <c r="M48" t="str">
        <f>'cell parameters'!E48</f>
        <v>sub_club_zip_dyn</v>
      </c>
      <c r="N48">
        <f t="shared" si="0"/>
        <v>47</v>
      </c>
      <c r="O48" t="s">
        <v>566</v>
      </c>
      <c r="Q48" t="str">
        <f>IFERROR(INDEX('CMT-inter'!$A$1:$M$33,MATCH(IF(IFERROR(SEARCH("_",$A48),0)&gt;0,LEFT($A48, FIND("_", $A48)-1),$A48),'CMT-inter'!$B$1:$B$33,0),MATCH("Market Code",'CMT-inter'!$A$1:$M$1,0)),"")</f>
        <v>NBLBB2</v>
      </c>
      <c r="S48" t="str">
        <f>IFERROR(INDEX('CMT-inter'!$A$1:$M$33,MATCH(IF(IFERROR(SEARCH("_",$A48),0)&gt;0,LEFT($A48, FIND("_", $A48)-1),$A48),'CMT-inter'!$B$1:$B$33,0),MATCH(S$1,'CMT-inter'!$A$1:$M$1,0)),"")</f>
        <v>SmartSaver</v>
      </c>
    </row>
    <row r="49" spans="1:19" x14ac:dyDescent="0.35">
      <c r="A49" t="s">
        <v>608</v>
      </c>
      <c r="B49">
        <f>IFERROR(INDEX('CMT-inter'!$A$1:$M$33,MATCH(SUBSTITUTE(IF(IFERROR(SEARCH("_",$A49),0)&gt;0,LEFT($A49, FIND("_", $A49)-1),$A49),"CTRL","CELL"),'CMT-inter'!$B$1:$B$33,0),MATCH(B$1,'CMT-inter'!$A$1:$M$1,0)),"")</f>
        <v>20221201</v>
      </c>
      <c r="D49" t="str">
        <f ca="1">IFERROR(INDEX('CMT-inter'!$A$1:$M$33,MATCH(IF(IFERROR(SEARCH("_",$A49),0)&gt;0,LEFT($A49, FIND("_", $A49)-1),$A49),'CMT-inter'!$B$1:$B$33,0),MATCH(D$1,'CMT-inter'!$A$1:$M$1,0)),"")</f>
        <v>20221208</v>
      </c>
      <c r="E49" t="b">
        <v>0</v>
      </c>
      <c r="F49" t="str">
        <f ca="1">IFERROR(INDEX('CMT-inter'!$A$1:$M$33,MATCH(IF(IFERROR(SEARCH("_",$A49),0)&gt;0,LEFT($A49, FIND("_", $A49)-1),$A49),'CMT-inter'!$B$1:$B$33,0),MATCH(F$1,'CMT-inter'!$A$1:$M$1,0)),"")</f>
        <v>20221208</v>
      </c>
      <c r="G49">
        <f>IFERROR(INDEX('CMT-inter'!$A$1:$M$33,MATCH(IF(IFERROR(SEARCH("_",$A49),0)&gt;0,LEFT($A49, FIND("_", $A49)-1),$A49),'CMT-inter'!$B$1:$B$33,0),MATCH(G$1,'CMT-inter'!$A$1:$M$1,0)),"")</f>
        <v>20221014</v>
      </c>
      <c r="H49" t="str">
        <f>IFERROR(IF(IFERROR(SEARCH("CTRL",$A49),FALSE),SUBSTITUTE( INDEX('CMT-inter'!$A$1:$M$33,MATCH(SUBSTITUTE(IF(IFERROR(SEARCH("_",$A49),0)&gt;0,LEFT($A49, FIND("_", $A49)-1),$A49),"CTRL","CELL"),'CMT-inter'!$B$1:$B$33,0),MATCH(H$1,'CMT-inter'!$A$1:$M$1,0)),"CELL","CTRL"), INDEX('CMT-inter'!$A$1:$M$33,MATCH(IF(IFERROR(SEARCH("_",$A49),0)&gt;0,LEFT($A49, FIND("_", $A49)-1),$A49),'CMT-inter'!$B$1:$B$33,0),MATCH(H$1,'CMT-inter'!$A$1:$M$1,0))),"")</f>
        <v>CELL22</v>
      </c>
      <c r="I49" t="str">
        <f>IFERROR(INDEX('CMT-inter'!$A$1:$M$33,MATCH(IF(IFERROR(SEARCH("_",$A49),0)&gt;0,LEFT($A49, FIND("_", $A49)-1),$A49),'CMT-inter'!$B$1:$B$33,0),MATCH("OFFER EXPIRES",'CMT-inter'!$A$1:$M$1,0)),"")</f>
        <v>20230105</v>
      </c>
      <c r="J49" t="str">
        <f ca="1">IFERROR(INDEX('CMT-inter'!$A$1:$M$33,MATCH(IF(IFERROR(SEARCH("_",$A49),0)&gt;0,LEFT($A49, FIND("_", $A49)-1),$A49),'CMT-inter'!$B$1:$B$33,0),MATCH(J$1,'CMT-inter'!$A$1:$M$1,0)),"")</f>
        <v>20221208</v>
      </c>
      <c r="K49" t="str">
        <f>'cell parameters'!F49</f>
        <v>club='392':index_key='0 and 30000000':priority_num='1'</v>
      </c>
      <c r="M49" t="str">
        <f>'cell parameters'!E49</f>
        <v>club_zip_dyn</v>
      </c>
      <c r="N49">
        <f t="shared" si="0"/>
        <v>48</v>
      </c>
      <c r="O49" t="s">
        <v>566</v>
      </c>
      <c r="Q49" t="str">
        <f>IFERROR(INDEX('CMT-inter'!$A$1:$M$33,MATCH(IF(IFERROR(SEARCH("_",$A49),0)&gt;0,LEFT($A49, FIND("_", $A49)-1),$A49),'CMT-inter'!$B$1:$B$33,0),MATCH("Market Code",'CMT-inter'!$A$1:$M$1,0)),"")</f>
        <v>ALBBBM</v>
      </c>
      <c r="S49" t="str">
        <f>IFERROR(INDEX('CMT-inter'!$A$1:$M$33,MATCH(IF(IFERROR(SEARCH("_",$A49),0)&gt;0,LEFT($A49, FIND("_", $A49)-1),$A49),'CMT-inter'!$B$1:$B$33,0),MATCH(S$1,'CMT-inter'!$A$1:$M$1,0)),"")</f>
        <v>SmartSaver</v>
      </c>
    </row>
    <row r="50" spans="1:19" x14ac:dyDescent="0.35">
      <c r="A50" t="s">
        <v>609</v>
      </c>
      <c r="B50">
        <f>IFERROR(INDEX('CMT-inter'!$A$1:$M$33,MATCH(SUBSTITUTE(IF(IFERROR(SEARCH("_",$A50),0)&gt;0,LEFT($A50, FIND("_", $A50)-1),$A50),"CTRL","CELL"),'CMT-inter'!$B$1:$B$33,0),MATCH(B$1,'CMT-inter'!$A$1:$M$1,0)),"")</f>
        <v>20221201</v>
      </c>
      <c r="D50" t="str">
        <f ca="1">IFERROR(INDEX('CMT-inter'!$A$1:$M$33,MATCH(IF(IFERROR(SEARCH("_",$A50),0)&gt;0,LEFT($A50, FIND("_", $A50)-1),$A50),'CMT-inter'!$B$1:$B$33,0),MATCH(D$1,'CMT-inter'!$A$1:$M$1,0)),"")</f>
        <v>20221208</v>
      </c>
      <c r="E50" t="b">
        <v>0</v>
      </c>
      <c r="F50" t="str">
        <f ca="1">IFERROR(INDEX('CMT-inter'!$A$1:$M$33,MATCH(IF(IFERROR(SEARCH("_",$A50),0)&gt;0,LEFT($A50, FIND("_", $A50)-1),$A50),'CMT-inter'!$B$1:$B$33,0),MATCH(F$1,'CMT-inter'!$A$1:$M$1,0)),"")</f>
        <v>20221208</v>
      </c>
      <c r="G50">
        <f>IFERROR(INDEX('CMT-inter'!$A$1:$M$33,MATCH(IF(IFERROR(SEARCH("_",$A50),0)&gt;0,LEFT($A50, FIND("_", $A50)-1),$A50),'CMT-inter'!$B$1:$B$33,0),MATCH(G$1,'CMT-inter'!$A$1:$M$1,0)),"")</f>
        <v>20221014</v>
      </c>
      <c r="H50" t="str">
        <f>IFERROR(IF(IFERROR(SEARCH("CTRL",$A50),FALSE),SUBSTITUTE( INDEX('CMT-inter'!$A$1:$M$33,MATCH(SUBSTITUTE(IF(IFERROR(SEARCH("_",$A50),0)&gt;0,LEFT($A50, FIND("_", $A50)-1),$A50),"CTRL","CELL"),'CMT-inter'!$B$1:$B$33,0),MATCH(H$1,'CMT-inter'!$A$1:$M$1,0)),"CELL","CTRL"), INDEX('CMT-inter'!$A$1:$M$33,MATCH(IF(IFERROR(SEARCH("_",$A50),0)&gt;0,LEFT($A50, FIND("_", $A50)-1),$A50),'CMT-inter'!$B$1:$B$33,0),MATCH(H$1,'CMT-inter'!$A$1:$M$1,0))),"")</f>
        <v>CELL22</v>
      </c>
      <c r="I50" t="str">
        <f>IFERROR(INDEX('CMT-inter'!$A$1:$M$33,MATCH(IF(IFERROR(SEARCH("_",$A50),0)&gt;0,LEFT($A50, FIND("_", $A50)-1),$A50),'CMT-inter'!$B$1:$B$33,0),MATCH("OFFER EXPIRES",'CMT-inter'!$A$1:$M$1,0)),"")</f>
        <v>20230105</v>
      </c>
      <c r="J50" t="str">
        <f ca="1">IFERROR(INDEX('CMT-inter'!$A$1:$M$33,MATCH(IF(IFERROR(SEARCH("_",$A50),0)&gt;0,LEFT($A50, FIND("_", $A50)-1),$A50),'CMT-inter'!$B$1:$B$33,0),MATCH(J$1,'CMT-inter'!$A$1:$M$1,0)),"")</f>
        <v>20221208</v>
      </c>
      <c r="K50" t="str">
        <f>'cell parameters'!F50</f>
        <v>club='392':index_key='30000000 and 50000000':priority_num='1'</v>
      </c>
      <c r="M50" t="str">
        <f>'cell parameters'!E50</f>
        <v>club_zip_dyn</v>
      </c>
      <c r="N50">
        <f t="shared" si="0"/>
        <v>49</v>
      </c>
      <c r="O50" t="s">
        <v>566</v>
      </c>
      <c r="Q50" t="str">
        <f>IFERROR(INDEX('CMT-inter'!$A$1:$M$33,MATCH(IF(IFERROR(SEARCH("_",$A50),0)&gt;0,LEFT($A50, FIND("_", $A50)-1),$A50),'CMT-inter'!$B$1:$B$33,0),MATCH("Market Code",'CMT-inter'!$A$1:$M$1,0)),"")</f>
        <v>ALBBBM</v>
      </c>
      <c r="S50" t="str">
        <f>IFERROR(INDEX('CMT-inter'!$A$1:$M$33,MATCH(IF(IFERROR(SEARCH("_",$A50),0)&gt;0,LEFT($A50, FIND("_", $A50)-1),$A50),'CMT-inter'!$B$1:$B$33,0),MATCH(S$1,'CMT-inter'!$A$1:$M$1,0)),"")</f>
        <v>SmartSaver</v>
      </c>
    </row>
    <row r="51" spans="1:19" x14ac:dyDescent="0.35">
      <c r="A51" t="s">
        <v>610</v>
      </c>
      <c r="B51">
        <f>IFERROR(INDEX('CMT-inter'!$A$1:$M$33,MATCH(SUBSTITUTE(IF(IFERROR(SEARCH("_",$A51),0)&gt;0,LEFT($A51, FIND("_", $A51)-1),$A51),"CTRL","CELL"),'CMT-inter'!$B$1:$B$33,0),MATCH(B$1,'CMT-inter'!$A$1:$M$1,0)),"")</f>
        <v>20221201</v>
      </c>
      <c r="D51" t="str">
        <f ca="1">IFERROR(INDEX('CMT-inter'!$A$1:$M$33,MATCH(IF(IFERROR(SEARCH("_",$A51),0)&gt;0,LEFT($A51, FIND("_", $A51)-1),$A51),'CMT-inter'!$B$1:$B$33,0),MATCH(D$1,'CMT-inter'!$A$1:$M$1,0)),"")</f>
        <v>20221208</v>
      </c>
      <c r="E51" t="b">
        <v>0</v>
      </c>
      <c r="F51" t="str">
        <f ca="1">IFERROR(INDEX('CMT-inter'!$A$1:$M$33,MATCH(IF(IFERROR(SEARCH("_",$A51),0)&gt;0,LEFT($A51, FIND("_", $A51)-1),$A51),'CMT-inter'!$B$1:$B$33,0),MATCH(F$1,'CMT-inter'!$A$1:$M$1,0)),"")</f>
        <v>20221208</v>
      </c>
      <c r="G51">
        <f>IFERROR(INDEX('CMT-inter'!$A$1:$M$33,MATCH(IF(IFERROR(SEARCH("_",$A51),0)&gt;0,LEFT($A51, FIND("_", $A51)-1),$A51),'CMT-inter'!$B$1:$B$33,0),MATCH(G$1,'CMT-inter'!$A$1:$M$1,0)),"")</f>
        <v>20221014</v>
      </c>
      <c r="H51" t="str">
        <f>IFERROR(IF(IFERROR(SEARCH("CTRL",$A51),FALSE),SUBSTITUTE( INDEX('CMT-inter'!$A$1:$M$33,MATCH(SUBSTITUTE(IF(IFERROR(SEARCH("_",$A51),0)&gt;0,LEFT($A51, FIND("_", $A51)-1),$A51),"CTRL","CELL"),'CMT-inter'!$B$1:$B$33,0),MATCH(H$1,'CMT-inter'!$A$1:$M$1,0)),"CELL","CTRL"), INDEX('CMT-inter'!$A$1:$M$33,MATCH(IF(IFERROR(SEARCH("_",$A51),0)&gt;0,LEFT($A51, FIND("_", $A51)-1),$A51),'CMT-inter'!$B$1:$B$33,0),MATCH(H$1,'CMT-inter'!$A$1:$M$1,0))),"")</f>
        <v>CELL23</v>
      </c>
      <c r="I51" t="str">
        <f>IFERROR(INDEX('CMT-inter'!$A$1:$M$33,MATCH(IF(IFERROR(SEARCH("_",$A51),0)&gt;0,LEFT($A51, FIND("_", $A51)-1),$A51),'CMT-inter'!$B$1:$B$33,0),MATCH("OFFER EXPIRES",'CMT-inter'!$A$1:$M$1,0)),"")</f>
        <v>20230114</v>
      </c>
      <c r="J51" t="str">
        <f ca="1">IFERROR(INDEX('CMT-inter'!$A$1:$M$33,MATCH(IF(IFERROR(SEARCH("_",$A51),0)&gt;0,LEFT($A51, FIND("_", $A51)-1),$A51),'CMT-inter'!$B$1:$B$33,0),MATCH(J$1,'CMT-inter'!$A$1:$M$1,0)),"")</f>
        <v>20221208</v>
      </c>
      <c r="K51" t="str">
        <f>'cell parameters'!F51</f>
        <v>club='395':index_key='0 and 30000000':priority_num='1'</v>
      </c>
      <c r="M51" t="str">
        <f>'cell parameters'!E51</f>
        <v>club_zip_dyn</v>
      </c>
      <c r="N51">
        <f t="shared" si="0"/>
        <v>50</v>
      </c>
      <c r="O51" t="s">
        <v>566</v>
      </c>
      <c r="Q51" t="str">
        <f>IFERROR(INDEX('CMT-inter'!$A$1:$M$33,MATCH(IF(IFERROR(SEARCH("_",$A51),0)&gt;0,LEFT($A51, FIND("_", $A51)-1),$A51),'CMT-inter'!$B$1:$B$33,0),MATCH("Market Code",'CMT-inter'!$A$1:$M$1,0)),"")</f>
        <v>GRNDM6</v>
      </c>
      <c r="S51" t="str">
        <f>IFERROR(INDEX('CMT-inter'!$A$1:$M$33,MATCH(IF(IFERROR(SEARCH("_",$A51),0)&gt;0,LEFT($A51, FIND("_", $A51)-1),$A51),'CMT-inter'!$B$1:$B$33,0),MATCH(S$1,'CMT-inter'!$A$1:$M$1,0)),"")</f>
        <v>postcard</v>
      </c>
    </row>
    <row r="52" spans="1:19" x14ac:dyDescent="0.35">
      <c r="A52" t="s">
        <v>611</v>
      </c>
      <c r="B52">
        <f>IFERROR(INDEX('CMT-inter'!$A$1:$M$33,MATCH(SUBSTITUTE(IF(IFERROR(SEARCH("_",$A52),0)&gt;0,LEFT($A52, FIND("_", $A52)-1),$A52),"CTRL","CELL"),'CMT-inter'!$B$1:$B$33,0),MATCH(B$1,'CMT-inter'!$A$1:$M$1,0)),"")</f>
        <v>20221201</v>
      </c>
      <c r="D52" t="str">
        <f ca="1">IFERROR(INDEX('CMT-inter'!$A$1:$M$33,MATCH(IF(IFERROR(SEARCH("_",$A52),0)&gt;0,LEFT($A52, FIND("_", $A52)-1),$A52),'CMT-inter'!$B$1:$B$33,0),MATCH(D$1,'CMT-inter'!$A$1:$M$1,0)),"")</f>
        <v>20221208</v>
      </c>
      <c r="E52" t="b">
        <v>0</v>
      </c>
      <c r="F52" t="str">
        <f ca="1">IFERROR(INDEX('CMT-inter'!$A$1:$M$33,MATCH(IF(IFERROR(SEARCH("_",$A52),0)&gt;0,LEFT($A52, FIND("_", $A52)-1),$A52),'CMT-inter'!$B$1:$B$33,0),MATCH(F$1,'CMT-inter'!$A$1:$M$1,0)),"")</f>
        <v>20221208</v>
      </c>
      <c r="G52">
        <f>IFERROR(INDEX('CMT-inter'!$A$1:$M$33,MATCH(IF(IFERROR(SEARCH("_",$A52),0)&gt;0,LEFT($A52, FIND("_", $A52)-1),$A52),'CMT-inter'!$B$1:$B$33,0),MATCH(G$1,'CMT-inter'!$A$1:$M$1,0)),"")</f>
        <v>20221014</v>
      </c>
      <c r="H52" t="str">
        <f>IFERROR(IF(IFERROR(SEARCH("CTRL",$A52),FALSE),SUBSTITUTE( INDEX('CMT-inter'!$A$1:$M$33,MATCH(SUBSTITUTE(IF(IFERROR(SEARCH("_",$A52),0)&gt;0,LEFT($A52, FIND("_", $A52)-1),$A52),"CTRL","CELL"),'CMT-inter'!$B$1:$B$33,0),MATCH(H$1,'CMT-inter'!$A$1:$M$1,0)),"CELL","CTRL"), INDEX('CMT-inter'!$A$1:$M$33,MATCH(IF(IFERROR(SEARCH("_",$A52),0)&gt;0,LEFT($A52, FIND("_", $A52)-1),$A52),'CMT-inter'!$B$1:$B$33,0),MATCH(H$1,'CMT-inter'!$A$1:$M$1,0))),"")</f>
        <v>CELL23</v>
      </c>
      <c r="I52" t="str">
        <f>IFERROR(INDEX('CMT-inter'!$A$1:$M$33,MATCH(IF(IFERROR(SEARCH("_",$A52),0)&gt;0,LEFT($A52, FIND("_", $A52)-1),$A52),'CMT-inter'!$B$1:$B$33,0),MATCH("OFFER EXPIRES",'CMT-inter'!$A$1:$M$1,0)),"")</f>
        <v>20230114</v>
      </c>
      <c r="J52" t="str">
        <f ca="1">IFERROR(INDEX('CMT-inter'!$A$1:$M$33,MATCH(IF(IFERROR(SEARCH("_",$A52),0)&gt;0,LEFT($A52, FIND("_", $A52)-1),$A52),'CMT-inter'!$B$1:$B$33,0),MATCH(J$1,'CMT-inter'!$A$1:$M$1,0)),"")</f>
        <v>20221208</v>
      </c>
      <c r="K52" t="str">
        <f>'cell parameters'!F52</f>
        <v>club='395':index_key='30000000 and 50000000':priority_num='1'</v>
      </c>
      <c r="M52" t="str">
        <f>'cell parameters'!E52</f>
        <v>club_zip_dyn</v>
      </c>
      <c r="N52">
        <f t="shared" si="0"/>
        <v>51</v>
      </c>
      <c r="O52" t="s">
        <v>566</v>
      </c>
      <c r="Q52" t="str">
        <f>IFERROR(INDEX('CMT-inter'!$A$1:$M$33,MATCH(IF(IFERROR(SEARCH("_",$A52),0)&gt;0,LEFT($A52, FIND("_", $A52)-1),$A52),'CMT-inter'!$B$1:$B$33,0),MATCH("Market Code",'CMT-inter'!$A$1:$M$1,0)),"")</f>
        <v>GRNDM6</v>
      </c>
      <c r="S52" t="str">
        <f>IFERROR(INDEX('CMT-inter'!$A$1:$M$33,MATCH(IF(IFERROR(SEARCH("_",$A52),0)&gt;0,LEFT($A52, FIND("_", $A52)-1),$A52),'CMT-inter'!$B$1:$B$33,0),MATCH(S$1,'CMT-inter'!$A$1:$M$1,0)),"")</f>
        <v>postcard</v>
      </c>
    </row>
    <row r="53" spans="1:19" x14ac:dyDescent="0.35">
      <c r="A53" t="s">
        <v>612</v>
      </c>
      <c r="B53">
        <f>IFERROR(INDEX('CMT-inter'!$A$1:$M$33,MATCH(SUBSTITUTE(IF(IFERROR(SEARCH("_",$A53),0)&gt;0,LEFT($A53, FIND("_", $A53)-1),$A53),"CTRL","CELL"),'CMT-inter'!$B$1:$B$33,0),MATCH(B$1,'CMT-inter'!$A$1:$M$1,0)),"")</f>
        <v>20221201</v>
      </c>
      <c r="D53" t="str">
        <f ca="1">IFERROR(INDEX('CMT-inter'!$A$1:$M$33,MATCH(IF(IFERROR(SEARCH("_",$A53),0)&gt;0,LEFT($A53, FIND("_", $A53)-1),$A53),'CMT-inter'!$B$1:$B$33,0),MATCH(D$1,'CMT-inter'!$A$1:$M$1,0)),"")</f>
        <v>20221201</v>
      </c>
      <c r="E53" t="b">
        <v>0</v>
      </c>
      <c r="F53" t="str">
        <f ca="1">IFERROR(INDEX('CMT-inter'!$A$1:$M$33,MATCH(IF(IFERROR(SEARCH("_",$A53),0)&gt;0,LEFT($A53, FIND("_", $A53)-1),$A53),'CMT-inter'!$B$1:$B$33,0),MATCH(F$1,'CMT-inter'!$A$1:$M$1,0)),"")</f>
        <v>20221201</v>
      </c>
      <c r="G53">
        <f>IFERROR(INDEX('CMT-inter'!$A$1:$M$33,MATCH(IF(IFERROR(SEARCH("_",$A53),0)&gt;0,LEFT($A53, FIND("_", $A53)-1),$A53),'CMT-inter'!$B$1:$B$33,0),MATCH(G$1,'CMT-inter'!$A$1:$M$1,0)),"")</f>
        <v>20221014</v>
      </c>
      <c r="H53" t="str">
        <f>IFERROR(IF(IFERROR(SEARCH("CTRL",$A53),FALSE),SUBSTITUTE( INDEX('CMT-inter'!$A$1:$M$33,MATCH(SUBSTITUTE(IF(IFERROR(SEARCH("_",$A53),0)&gt;0,LEFT($A53, FIND("_", $A53)-1),$A53),"CTRL","CELL"),'CMT-inter'!$B$1:$B$33,0),MATCH(H$1,'CMT-inter'!$A$1:$M$1,0)),"CELL","CTRL"), INDEX('CMT-inter'!$A$1:$M$33,MATCH(IF(IFERROR(SEARCH("_",$A53),0)&gt;0,LEFT($A53, FIND("_", $A53)-1),$A53),'CMT-inter'!$B$1:$B$33,0),MATCH(H$1,'CMT-inter'!$A$1:$M$1,0))),"")</f>
        <v>CELL24</v>
      </c>
      <c r="I53" t="str">
        <f>IFERROR(INDEX('CMT-inter'!$A$1:$M$33,MATCH(IF(IFERROR(SEARCH("_",$A53),0)&gt;0,LEFT($A53, FIND("_", $A53)-1),$A53),'CMT-inter'!$B$1:$B$33,0),MATCH("OFFER EXPIRES",'CMT-inter'!$A$1:$M$1,0)),"")</f>
        <v>20221231</v>
      </c>
      <c r="J53" t="str">
        <f ca="1">IFERROR(INDEX('CMT-inter'!$A$1:$M$33,MATCH(IF(IFERROR(SEARCH("_",$A53),0)&gt;0,LEFT($A53, FIND("_", $A53)-1),$A53),'CMT-inter'!$B$1:$B$33,0),MATCH(J$1,'CMT-inter'!$A$1:$M$1,0)),"")</f>
        <v>20221201</v>
      </c>
      <c r="K53" t="str">
        <f>'cell parameters'!F53</f>
        <v>club='391':index_key='0 and 30000000':priority_num='1','2'</v>
      </c>
      <c r="M53" t="str">
        <f>'cell parameters'!E53</f>
        <v>club_zip_dyn</v>
      </c>
      <c r="N53">
        <f t="shared" si="0"/>
        <v>52</v>
      </c>
      <c r="O53" t="s">
        <v>566</v>
      </c>
      <c r="Q53" t="str">
        <f>IFERROR(INDEX('CMT-inter'!$A$1:$M$33,MATCH(IF(IFERROR(SEARCH("_",$A53),0)&gt;0,LEFT($A53, FIND("_", $A53)-1),$A53),'CMT-inter'!$B$1:$B$33,0),MATCH("Market Code",'CMT-inter'!$A$1:$M$1,0)),"")</f>
        <v>MDLENG</v>
      </c>
      <c r="S53" t="str">
        <f>IFERROR(INDEX('CMT-inter'!$A$1:$M$33,MATCH(IF(IFERROR(SEARCH("_",$A53),0)&gt;0,LEFT($A53, FIND("_", $A53)-1),$A53),'CMT-inter'!$B$1:$B$33,0),MATCH(S$1,'CMT-inter'!$A$1:$M$1,0)),"")</f>
        <v>booklet</v>
      </c>
    </row>
    <row r="54" spans="1:19" x14ac:dyDescent="0.35">
      <c r="A54" t="s">
        <v>613</v>
      </c>
      <c r="B54">
        <f>IFERROR(INDEX('CMT-inter'!$A$1:$M$33,MATCH(SUBSTITUTE(IF(IFERROR(SEARCH("_",$A54),0)&gt;0,LEFT($A54, FIND("_", $A54)-1),$A54),"CTRL","CELL"),'CMT-inter'!$B$1:$B$33,0),MATCH(B$1,'CMT-inter'!$A$1:$M$1,0)),"")</f>
        <v>20221201</v>
      </c>
      <c r="D54" t="str">
        <f ca="1">IFERROR(INDEX('CMT-inter'!$A$1:$M$33,MATCH(IF(IFERROR(SEARCH("_",$A54),0)&gt;0,LEFT($A54, FIND("_", $A54)-1),$A54),'CMT-inter'!$B$1:$B$33,0),MATCH(D$1,'CMT-inter'!$A$1:$M$1,0)),"")</f>
        <v>20221201</v>
      </c>
      <c r="E54" t="b">
        <v>0</v>
      </c>
      <c r="F54" t="str">
        <f ca="1">IFERROR(INDEX('CMT-inter'!$A$1:$M$33,MATCH(IF(IFERROR(SEARCH("_",$A54),0)&gt;0,LEFT($A54, FIND("_", $A54)-1),$A54),'CMT-inter'!$B$1:$B$33,0),MATCH(F$1,'CMT-inter'!$A$1:$M$1,0)),"")</f>
        <v>20221201</v>
      </c>
      <c r="G54">
        <f>IFERROR(INDEX('CMT-inter'!$A$1:$M$33,MATCH(IF(IFERROR(SEARCH("_",$A54),0)&gt;0,LEFT($A54, FIND("_", $A54)-1),$A54),'CMT-inter'!$B$1:$B$33,0),MATCH(G$1,'CMT-inter'!$A$1:$M$1,0)),"")</f>
        <v>20221014</v>
      </c>
      <c r="H54" t="str">
        <f>IFERROR(IF(IFERROR(SEARCH("CTRL",$A54),FALSE),SUBSTITUTE( INDEX('CMT-inter'!$A$1:$M$33,MATCH(SUBSTITUTE(IF(IFERROR(SEARCH("_",$A54),0)&gt;0,LEFT($A54, FIND("_", $A54)-1),$A54),"CTRL","CELL"),'CMT-inter'!$B$1:$B$33,0),MATCH(H$1,'CMT-inter'!$A$1:$M$1,0)),"CELL","CTRL"), INDEX('CMT-inter'!$A$1:$M$33,MATCH(IF(IFERROR(SEARCH("_",$A54),0)&gt;0,LEFT($A54, FIND("_", $A54)-1),$A54),'CMT-inter'!$B$1:$B$33,0),MATCH(H$1,'CMT-inter'!$A$1:$M$1,0))),"")</f>
        <v>CELL24</v>
      </c>
      <c r="I54" t="str">
        <f>IFERROR(INDEX('CMT-inter'!$A$1:$M$33,MATCH(IF(IFERROR(SEARCH("_",$A54),0)&gt;0,LEFT($A54, FIND("_", $A54)-1),$A54),'CMT-inter'!$B$1:$B$33,0),MATCH("OFFER EXPIRES",'CMT-inter'!$A$1:$M$1,0)),"")</f>
        <v>20221231</v>
      </c>
      <c r="J54" t="str">
        <f ca="1">IFERROR(INDEX('CMT-inter'!$A$1:$M$33,MATCH(IF(IFERROR(SEARCH("_",$A54),0)&gt;0,LEFT($A54, FIND("_", $A54)-1),$A54),'CMT-inter'!$B$1:$B$33,0),MATCH(J$1,'CMT-inter'!$A$1:$M$1,0)),"")</f>
        <v>20221201</v>
      </c>
      <c r="K54" t="str">
        <f>'cell parameters'!F54</f>
        <v>club='391':index_key='30000000 and 50000000':priority_num='1','2'</v>
      </c>
      <c r="M54" t="str">
        <f>'cell parameters'!E54</f>
        <v>club_zip_dyn</v>
      </c>
      <c r="N54">
        <f t="shared" si="0"/>
        <v>53</v>
      </c>
      <c r="O54" t="s">
        <v>566</v>
      </c>
      <c r="Q54" t="str">
        <f>IFERROR(INDEX('CMT-inter'!$A$1:$M$33,MATCH(IF(IFERROR(SEARCH("_",$A54),0)&gt;0,LEFT($A54, FIND("_", $A54)-1),$A54),'CMT-inter'!$B$1:$B$33,0),MATCH("Market Code",'CMT-inter'!$A$1:$M$1,0)),"")</f>
        <v>MDLENG</v>
      </c>
      <c r="S54" t="str">
        <f>IFERROR(INDEX('CMT-inter'!$A$1:$M$33,MATCH(IF(IFERROR(SEARCH("_",$A54),0)&gt;0,LEFT($A54, FIND("_", $A54)-1),$A54),'CMT-inter'!$B$1:$B$33,0),MATCH(S$1,'CMT-inter'!$A$1:$M$1,0)),"")</f>
        <v>booklet</v>
      </c>
    </row>
    <row r="55" spans="1:19" x14ac:dyDescent="0.35">
      <c r="A55" t="s">
        <v>614</v>
      </c>
      <c r="B55">
        <f>IFERROR(INDEX('CMT-inter'!$A$1:$M$33,MATCH(SUBSTITUTE(IF(IFERROR(SEARCH("_",$A55),0)&gt;0,LEFT($A55, FIND("_", $A55)-1),$A55),"CTRL","CELL"),'CMT-inter'!$B$1:$B$33,0),MATCH(B$1,'CMT-inter'!$A$1:$M$1,0)),"")</f>
        <v>20221201</v>
      </c>
      <c r="D55" t="str">
        <f ca="1">IFERROR(INDEX('CMT-inter'!$A$1:$M$33,MATCH(IF(IFERROR(SEARCH("_",$A55),0)&gt;0,LEFT($A55, FIND("_", $A55)-1),$A55),'CMT-inter'!$B$1:$B$33,0),MATCH(D$1,'CMT-inter'!$A$1:$M$1,0)),"")</f>
        <v>20221215</v>
      </c>
      <c r="E55" t="b">
        <v>0</v>
      </c>
      <c r="F55" t="str">
        <f ca="1">IFERROR(INDEX('CMT-inter'!$A$1:$M$33,MATCH(IF(IFERROR(SEARCH("_",$A55),0)&gt;0,LEFT($A55, FIND("_", $A55)-1),$A55),'CMT-inter'!$B$1:$B$33,0),MATCH(F$1,'CMT-inter'!$A$1:$M$1,0)),"")</f>
        <v>20221215</v>
      </c>
      <c r="G55">
        <f>IFERROR(INDEX('CMT-inter'!$A$1:$M$33,MATCH(IF(IFERROR(SEARCH("_",$A55),0)&gt;0,LEFT($A55, FIND("_", $A55)-1),$A55),'CMT-inter'!$B$1:$B$33,0),MATCH(G$1,'CMT-inter'!$A$1:$M$1,0)),"")</f>
        <v>20221014</v>
      </c>
      <c r="H55" t="str">
        <f>IFERROR(IF(IFERROR(SEARCH("CTRL",$A55),FALSE),SUBSTITUTE( INDEX('CMT-inter'!$A$1:$M$33,MATCH(SUBSTITUTE(IF(IFERROR(SEARCH("_",$A55),0)&gt;0,LEFT($A55, FIND("_", $A55)-1),$A55),"CTRL","CELL"),'CMT-inter'!$B$1:$B$33,0),MATCH(H$1,'CMT-inter'!$A$1:$M$1,0)),"CELL","CTRL"), INDEX('CMT-inter'!$A$1:$M$33,MATCH(IF(IFERROR(SEARCH("_",$A55),0)&gt;0,LEFT($A55, FIND("_", $A55)-1),$A55),'CMT-inter'!$B$1:$B$33,0),MATCH(H$1,'CMT-inter'!$A$1:$M$1,0))),"")</f>
        <v>CELL25</v>
      </c>
      <c r="I55" t="str">
        <f>IFERROR(INDEX('CMT-inter'!$A$1:$M$33,MATCH(IF(IFERROR(SEARCH("_",$A55),0)&gt;0,LEFT($A55, FIND("_", $A55)-1),$A55),'CMT-inter'!$B$1:$B$33,0),MATCH("OFFER EXPIRES",'CMT-inter'!$A$1:$M$1,0)),"")</f>
        <v>20230114</v>
      </c>
      <c r="J55" t="str">
        <f ca="1">IFERROR(INDEX('CMT-inter'!$A$1:$M$33,MATCH(IF(IFERROR(SEARCH("_",$A55),0)&gt;0,LEFT($A55, FIND("_", $A55)-1),$A55),'CMT-inter'!$B$1:$B$33,0),MATCH(J$1,'CMT-inter'!$A$1:$M$1,0)),"")</f>
        <v>20221215</v>
      </c>
      <c r="K55" t="str">
        <f>'cell parameters'!F55</f>
        <v>club='391':index_key='0 and 30000000':priority_num='1':bjs_cell='CELL24'</v>
      </c>
      <c r="M55" t="str">
        <f>'cell parameters'!E55</f>
        <v>sub_club_zip_dyn</v>
      </c>
      <c r="N55">
        <f t="shared" si="0"/>
        <v>54</v>
      </c>
      <c r="O55" t="s">
        <v>566</v>
      </c>
      <c r="Q55" t="str">
        <f>IFERROR(INDEX('CMT-inter'!$A$1:$M$33,MATCH(IF(IFERROR(SEARCH("_",$A55),0)&gt;0,LEFT($A55, FIND("_", $A55)-1),$A55),'CMT-inter'!$B$1:$B$33,0),MATCH("Market Code",'CMT-inter'!$A$1:$M$1,0)),"")</f>
        <v>MDLTAB</v>
      </c>
      <c r="S55" t="str">
        <f>IFERROR(INDEX('CMT-inter'!$A$1:$M$33,MATCH(IF(IFERROR(SEARCH("_",$A55),0)&gt;0,LEFT($A55, FIND("_", $A55)-1),$A55),'CMT-inter'!$B$1:$B$33,0),MATCH(S$1,'CMT-inter'!$A$1:$M$1,0)),"")</f>
        <v>tab_mailer</v>
      </c>
    </row>
    <row r="56" spans="1:19" x14ac:dyDescent="0.35">
      <c r="A56" t="s">
        <v>615</v>
      </c>
      <c r="B56">
        <f>IFERROR(INDEX('CMT-inter'!$A$1:$M$33,MATCH(SUBSTITUTE(IF(IFERROR(SEARCH("_",$A56),0)&gt;0,LEFT($A56, FIND("_", $A56)-1),$A56),"CTRL","CELL"),'CMT-inter'!$B$1:$B$33,0),MATCH(B$1,'CMT-inter'!$A$1:$M$1,0)),"")</f>
        <v>20221201</v>
      </c>
      <c r="D56" t="str">
        <f ca="1">IFERROR(INDEX('CMT-inter'!$A$1:$M$33,MATCH(IF(IFERROR(SEARCH("_",$A56),0)&gt;0,LEFT($A56, FIND("_", $A56)-1),$A56),'CMT-inter'!$B$1:$B$33,0),MATCH(D$1,'CMT-inter'!$A$1:$M$1,0)),"")</f>
        <v>20221215</v>
      </c>
      <c r="E56" t="b">
        <v>0</v>
      </c>
      <c r="F56" t="str">
        <f ca="1">IFERROR(INDEX('CMT-inter'!$A$1:$M$33,MATCH(IF(IFERROR(SEARCH("_",$A56),0)&gt;0,LEFT($A56, FIND("_", $A56)-1),$A56),'CMT-inter'!$B$1:$B$33,0),MATCH(F$1,'CMT-inter'!$A$1:$M$1,0)),"")</f>
        <v>20221215</v>
      </c>
      <c r="G56">
        <f>IFERROR(INDEX('CMT-inter'!$A$1:$M$33,MATCH(IF(IFERROR(SEARCH("_",$A56),0)&gt;0,LEFT($A56, FIND("_", $A56)-1),$A56),'CMT-inter'!$B$1:$B$33,0),MATCH(G$1,'CMT-inter'!$A$1:$M$1,0)),"")</f>
        <v>20221014</v>
      </c>
      <c r="H56" t="str">
        <f>IFERROR(IF(IFERROR(SEARCH("CTRL",$A56),FALSE),SUBSTITUTE( INDEX('CMT-inter'!$A$1:$M$33,MATCH(SUBSTITUTE(IF(IFERROR(SEARCH("_",$A56),0)&gt;0,LEFT($A56, FIND("_", $A56)-1),$A56),"CTRL","CELL"),'CMT-inter'!$B$1:$B$33,0),MATCH(H$1,'CMT-inter'!$A$1:$M$1,0)),"CELL","CTRL"), INDEX('CMT-inter'!$A$1:$M$33,MATCH(IF(IFERROR(SEARCH("_",$A56),0)&gt;0,LEFT($A56, FIND("_", $A56)-1),$A56),'CMT-inter'!$B$1:$B$33,0),MATCH(H$1,'CMT-inter'!$A$1:$M$1,0))),"")</f>
        <v>CELL25</v>
      </c>
      <c r="I56" t="str">
        <f>IFERROR(INDEX('CMT-inter'!$A$1:$M$33,MATCH(IF(IFERROR(SEARCH("_",$A56),0)&gt;0,LEFT($A56, FIND("_", $A56)-1),$A56),'CMT-inter'!$B$1:$B$33,0),MATCH("OFFER EXPIRES",'CMT-inter'!$A$1:$M$1,0)),"")</f>
        <v>20230114</v>
      </c>
      <c r="J56" t="str">
        <f ca="1">IFERROR(INDEX('CMT-inter'!$A$1:$M$33,MATCH(IF(IFERROR(SEARCH("_",$A56),0)&gt;0,LEFT($A56, FIND("_", $A56)-1),$A56),'CMT-inter'!$B$1:$B$33,0),MATCH(J$1,'CMT-inter'!$A$1:$M$1,0)),"")</f>
        <v>20221215</v>
      </c>
      <c r="K56" t="str">
        <f>'cell parameters'!F56</f>
        <v>club='391':index_key='30000000 and 50000000':priority_num='1':bjs_cell='CELL24_BNZD'</v>
      </c>
      <c r="M56" t="str">
        <f>'cell parameters'!E56</f>
        <v>sub_club_zip_dyn</v>
      </c>
      <c r="N56">
        <f t="shared" si="0"/>
        <v>55</v>
      </c>
      <c r="O56" t="s">
        <v>566</v>
      </c>
      <c r="Q56" t="str">
        <f>IFERROR(INDEX('CMT-inter'!$A$1:$M$33,MATCH(IF(IFERROR(SEARCH("_",$A56),0)&gt;0,LEFT($A56, FIND("_", $A56)-1),$A56),'CMT-inter'!$B$1:$B$33,0),MATCH("Market Code",'CMT-inter'!$A$1:$M$1,0)),"")</f>
        <v>MDLTAB</v>
      </c>
      <c r="S56" t="str">
        <f>IFERROR(INDEX('CMT-inter'!$A$1:$M$33,MATCH(IF(IFERROR(SEARCH("_",$A56),0)&gt;0,LEFT($A56, FIND("_", $A56)-1),$A56),'CMT-inter'!$B$1:$B$33,0),MATCH(S$1,'CMT-inter'!$A$1:$M$1,0)),"")</f>
        <v>tab_mailer</v>
      </c>
    </row>
    <row r="57" spans="1:19" x14ac:dyDescent="0.35">
      <c r="A57" t="s">
        <v>616</v>
      </c>
      <c r="B57">
        <f>IFERROR(INDEX('CMT-inter'!$A$1:$M$33,MATCH(SUBSTITUTE(IF(IFERROR(SEARCH("_",$A57),0)&gt;0,LEFT($A57, FIND("_", $A57)-1),$A57),"CTRL","CELL"),'CMT-inter'!$B$1:$B$33,0),MATCH(B$1,'CMT-inter'!$A$1:$M$1,0)),"")</f>
        <v>20221201</v>
      </c>
      <c r="D57" t="str">
        <f ca="1">IFERROR(INDEX('CMT-inter'!$A$1:$M$33,MATCH(IF(IFERROR(SEARCH("_",$A57),0)&gt;0,LEFT($A57, FIND("_", $A57)-1),$A57),'CMT-inter'!$B$1:$B$33,0),MATCH(D$1,'CMT-inter'!$A$1:$M$1,0)),"")</f>
        <v>20221215</v>
      </c>
      <c r="E57" t="b">
        <v>0</v>
      </c>
      <c r="F57" t="str">
        <f ca="1">IFERROR(INDEX('CMT-inter'!$A$1:$M$33,MATCH(IF(IFERROR(SEARCH("_",$A57),0)&gt;0,LEFT($A57, FIND("_", $A57)-1),$A57),'CMT-inter'!$B$1:$B$33,0),MATCH(F$1,'CMT-inter'!$A$1:$M$1,0)),"")</f>
        <v>20221215</v>
      </c>
      <c r="G57">
        <f>IFERROR(INDEX('CMT-inter'!$A$1:$M$33,MATCH(IF(IFERROR(SEARCH("_",$A57),0)&gt;0,LEFT($A57, FIND("_", $A57)-1),$A57),'CMT-inter'!$B$1:$B$33,0),MATCH(G$1,'CMT-inter'!$A$1:$M$1,0)),"")</f>
        <v>20221014</v>
      </c>
      <c r="H57" t="str">
        <f>IFERROR(IF(IFERROR(SEARCH("CTRL",$A57),FALSE),SUBSTITUTE( INDEX('CMT-inter'!$A$1:$M$33,MATCH(SUBSTITUTE(IF(IFERROR(SEARCH("_",$A57),0)&gt;0,LEFT($A57, FIND("_", $A57)-1),$A57),"CTRL","CELL"),'CMT-inter'!$B$1:$B$33,0),MATCH(H$1,'CMT-inter'!$A$1:$M$1,0)),"CELL","CTRL"), INDEX('CMT-inter'!$A$1:$M$33,MATCH(IF(IFERROR(SEARCH("_",$A57),0)&gt;0,LEFT($A57, FIND("_", $A57)-1),$A57),'CMT-inter'!$B$1:$B$33,0),MATCH(H$1,'CMT-inter'!$A$1:$M$1,0))),"")</f>
        <v>CELL26</v>
      </c>
      <c r="I57" t="str">
        <f>IFERROR(INDEX('CMT-inter'!$A$1:$M$33,MATCH(IF(IFERROR(SEARCH("_",$A57),0)&gt;0,LEFT($A57, FIND("_", $A57)-1),$A57),'CMT-inter'!$B$1:$B$33,0),MATCH("OFFER EXPIRES",'CMT-inter'!$A$1:$M$1,0)),"")</f>
        <v>20230119</v>
      </c>
      <c r="J57" t="str">
        <f ca="1">IFERROR(INDEX('CMT-inter'!$A$1:$M$33,MATCH(IF(IFERROR(SEARCH("_",$A57),0)&gt;0,LEFT($A57, FIND("_", $A57)-1),$A57),'CMT-inter'!$B$1:$B$33,0),MATCH(J$1,'CMT-inter'!$A$1:$M$1,0)),"")</f>
        <v>20221215</v>
      </c>
      <c r="K57" t="str">
        <f>'cell parameters'!F57</f>
        <v>club='222':index_key='0 and 30000000':priority_num='1'</v>
      </c>
      <c r="M57" t="str">
        <f>'cell parameters'!E57</f>
        <v>club_zip_dyn</v>
      </c>
      <c r="N57">
        <f t="shared" si="0"/>
        <v>56</v>
      </c>
      <c r="O57" t="s">
        <v>566</v>
      </c>
      <c r="Q57" t="str">
        <f>IFERROR(INDEX('CMT-inter'!$A$1:$M$33,MATCH(IF(IFERROR(SEARCH("_",$A57),0)&gt;0,LEFT($A57, FIND("_", $A57)-1),$A57),'CMT-inter'!$B$1:$B$33,0),MATCH("Market Code",'CMT-inter'!$A$1:$M$1,0)),"")</f>
        <v>WAYDM5</v>
      </c>
      <c r="S57" t="str">
        <f>IFERROR(INDEX('CMT-inter'!$A$1:$M$33,MATCH(IF(IFERROR(SEARCH("_",$A57),0)&gt;0,LEFT($A57, FIND("_", $A57)-1),$A57),'CMT-inter'!$B$1:$B$33,0),MATCH(S$1,'CMT-inter'!$A$1:$M$1,0)),"")</f>
        <v>postcard</v>
      </c>
    </row>
    <row r="58" spans="1:19" x14ac:dyDescent="0.35">
      <c r="A58" t="s">
        <v>617</v>
      </c>
      <c r="B58">
        <f>IFERROR(INDEX('CMT-inter'!$A$1:$M$33,MATCH(SUBSTITUTE(IF(IFERROR(SEARCH("_",$A58),0)&gt;0,LEFT($A58, FIND("_", $A58)-1),$A58),"CTRL","CELL"),'CMT-inter'!$B$1:$B$33,0),MATCH(B$1,'CMT-inter'!$A$1:$M$1,0)),"")</f>
        <v>20221201</v>
      </c>
      <c r="D58" t="str">
        <f ca="1">IFERROR(INDEX('CMT-inter'!$A$1:$M$33,MATCH(IF(IFERROR(SEARCH("_",$A58),0)&gt;0,LEFT($A58, FIND("_", $A58)-1),$A58),'CMT-inter'!$B$1:$B$33,0),MATCH(D$1,'CMT-inter'!$A$1:$M$1,0)),"")</f>
        <v>20221215</v>
      </c>
      <c r="E58" t="b">
        <v>0</v>
      </c>
      <c r="F58" t="str">
        <f ca="1">IFERROR(INDEX('CMT-inter'!$A$1:$M$33,MATCH(IF(IFERROR(SEARCH("_",$A58),0)&gt;0,LEFT($A58, FIND("_", $A58)-1),$A58),'CMT-inter'!$B$1:$B$33,0),MATCH(F$1,'CMT-inter'!$A$1:$M$1,0)),"")</f>
        <v>20221215</v>
      </c>
      <c r="G58">
        <f>IFERROR(INDEX('CMT-inter'!$A$1:$M$33,MATCH(IF(IFERROR(SEARCH("_",$A58),0)&gt;0,LEFT($A58, FIND("_", $A58)-1),$A58),'CMT-inter'!$B$1:$B$33,0),MATCH(G$1,'CMT-inter'!$A$1:$M$1,0)),"")</f>
        <v>20221014</v>
      </c>
      <c r="H58" t="str">
        <f>IFERROR(IF(IFERROR(SEARCH("CTRL",$A58),FALSE),SUBSTITUTE( INDEX('CMT-inter'!$A$1:$M$33,MATCH(SUBSTITUTE(IF(IFERROR(SEARCH("_",$A58),0)&gt;0,LEFT($A58, FIND("_", $A58)-1),$A58),"CTRL","CELL"),'CMT-inter'!$B$1:$B$33,0),MATCH(H$1,'CMT-inter'!$A$1:$M$1,0)),"CELL","CTRL"), INDEX('CMT-inter'!$A$1:$M$33,MATCH(IF(IFERROR(SEARCH("_",$A58),0)&gt;0,LEFT($A58, FIND("_", $A58)-1),$A58),'CMT-inter'!$B$1:$B$33,0),MATCH(H$1,'CMT-inter'!$A$1:$M$1,0))),"")</f>
        <v>CELL26</v>
      </c>
      <c r="I58" t="str">
        <f>IFERROR(INDEX('CMT-inter'!$A$1:$M$33,MATCH(IF(IFERROR(SEARCH("_",$A58),0)&gt;0,LEFT($A58, FIND("_", $A58)-1),$A58),'CMT-inter'!$B$1:$B$33,0),MATCH("OFFER EXPIRES",'CMT-inter'!$A$1:$M$1,0)),"")</f>
        <v>20230119</v>
      </c>
      <c r="J58" t="str">
        <f ca="1">IFERROR(INDEX('CMT-inter'!$A$1:$M$33,MATCH(IF(IFERROR(SEARCH("_",$A58),0)&gt;0,LEFT($A58, FIND("_", $A58)-1),$A58),'CMT-inter'!$B$1:$B$33,0),MATCH(J$1,'CMT-inter'!$A$1:$M$1,0)),"")</f>
        <v>20221215</v>
      </c>
      <c r="K58" t="str">
        <f>'cell parameters'!F58</f>
        <v>club='222':index_key='30000000 and 50000000':priority_num='1'</v>
      </c>
      <c r="M58" t="str">
        <f>'cell parameters'!E58</f>
        <v>club_zip_dyn</v>
      </c>
      <c r="N58">
        <f t="shared" si="0"/>
        <v>57</v>
      </c>
      <c r="O58" t="s">
        <v>566</v>
      </c>
      <c r="Q58" t="str">
        <f>IFERROR(INDEX('CMT-inter'!$A$1:$M$33,MATCH(IF(IFERROR(SEARCH("_",$A58),0)&gt;0,LEFT($A58, FIND("_", $A58)-1),$A58),'CMT-inter'!$B$1:$B$33,0),MATCH("Market Code",'CMT-inter'!$A$1:$M$1,0)),"")</f>
        <v>WAYDM5</v>
      </c>
      <c r="S58" t="str">
        <f>IFERROR(INDEX('CMT-inter'!$A$1:$M$33,MATCH(IF(IFERROR(SEARCH("_",$A58),0)&gt;0,LEFT($A58, FIND("_", $A58)-1),$A58),'CMT-inter'!$B$1:$B$33,0),MATCH(S$1,'CMT-inter'!$A$1:$M$1,0)),"")</f>
        <v>postcard</v>
      </c>
    </row>
    <row r="59" spans="1:19" x14ac:dyDescent="0.35">
      <c r="A59" t="s">
        <v>618</v>
      </c>
      <c r="B59">
        <f>IFERROR(INDEX('CMT-inter'!$A$1:$M$33,MATCH(SUBSTITUTE(IF(IFERROR(SEARCH("_",$A59),0)&gt;0,LEFT($A59, FIND("_", $A59)-1),$A59),"CTRL","CELL"),'CMT-inter'!$B$1:$B$33,0),MATCH(B$1,'CMT-inter'!$A$1:$M$1,0)),"")</f>
        <v>20221201</v>
      </c>
      <c r="D59" t="str">
        <f ca="1">IFERROR(INDEX('CMT-inter'!$A$1:$M$33,MATCH(IF(IFERROR(SEARCH("_",$A59),0)&gt;0,LEFT($A59, FIND("_", $A59)-1),$A59),'CMT-inter'!$B$1:$B$33,0),MATCH(D$1,'CMT-inter'!$A$1:$M$1,0)),"")</f>
        <v>20221215</v>
      </c>
      <c r="E59" t="b">
        <v>0</v>
      </c>
      <c r="F59" t="str">
        <f ca="1">IFERROR(INDEX('CMT-inter'!$A$1:$M$33,MATCH(IF(IFERROR(SEARCH("_",$A59),0)&gt;0,LEFT($A59, FIND("_", $A59)-1),$A59),'CMT-inter'!$B$1:$B$33,0),MATCH(F$1,'CMT-inter'!$A$1:$M$1,0)),"")</f>
        <v>20221215</v>
      </c>
      <c r="G59">
        <f>IFERROR(INDEX('CMT-inter'!$A$1:$M$33,MATCH(IF(IFERROR(SEARCH("_",$A59),0)&gt;0,LEFT($A59, FIND("_", $A59)-1),$A59),'CMT-inter'!$B$1:$B$33,0),MATCH(G$1,'CMT-inter'!$A$1:$M$1,0)),"")</f>
        <v>20221014</v>
      </c>
      <c r="H59" t="str">
        <f>IFERROR(IF(IFERROR(SEARCH("CTRL",$A59),FALSE),SUBSTITUTE( INDEX('CMT-inter'!$A$1:$M$33,MATCH(SUBSTITUTE(IF(IFERROR(SEARCH("_",$A59),0)&gt;0,LEFT($A59, FIND("_", $A59)-1),$A59),"CTRL","CELL"),'CMT-inter'!$B$1:$B$33,0),MATCH(H$1,'CMT-inter'!$A$1:$M$1,0)),"CELL","CTRL"), INDEX('CMT-inter'!$A$1:$M$33,MATCH(IF(IFERROR(SEARCH("_",$A59),0)&gt;0,LEFT($A59, FIND("_", $A59)-1),$A59),'CMT-inter'!$B$1:$B$33,0),MATCH(H$1,'CMT-inter'!$A$1:$M$1,0))),"")</f>
        <v>CELL27</v>
      </c>
      <c r="I59" t="str">
        <f>IFERROR(INDEX('CMT-inter'!$A$1:$M$33,MATCH(IF(IFERROR(SEARCH("_",$A59),0)&gt;0,LEFT($A59, FIND("_", $A59)-1),$A59),'CMT-inter'!$B$1:$B$33,0),MATCH("OFFER EXPIRES",'CMT-inter'!$A$1:$M$1,0)),"")</f>
        <v>20230114</v>
      </c>
      <c r="J59" t="str">
        <f ca="1">IFERROR(INDEX('CMT-inter'!$A$1:$M$33,MATCH(IF(IFERROR(SEARCH("_",$A59),0)&gt;0,LEFT($A59, FIND("_", $A59)-1),$A59),'CMT-inter'!$B$1:$B$33,0),MATCH(J$1,'CMT-inter'!$A$1:$M$1,0)),"")</f>
        <v>20221215</v>
      </c>
      <c r="K59" t="str">
        <f>'cell parameters'!F59</f>
        <v>club='235':index_key='0 and 30000000':priority_num='1','2'</v>
      </c>
      <c r="M59" t="str">
        <f>'cell parameters'!E59</f>
        <v>club_zip_dyn</v>
      </c>
      <c r="N59">
        <f t="shared" si="0"/>
        <v>58</v>
      </c>
      <c r="O59" t="s">
        <v>566</v>
      </c>
      <c r="Q59" t="str">
        <f>IFERROR(INDEX('CMT-inter'!$A$1:$M$33,MATCH(IF(IFERROR(SEARCH("_",$A59),0)&gt;0,LEFT($A59, FIND("_", $A59)-1),$A59),'CMT-inter'!$B$1:$B$33,0),MATCH("Market Code",'CMT-inter'!$A$1:$M$1,0)),"")</f>
        <v>MCDDM4</v>
      </c>
      <c r="S59" t="str">
        <f>IFERROR(INDEX('CMT-inter'!$A$1:$M$33,MATCH(IF(IFERROR(SEARCH("_",$A59),0)&gt;0,LEFT($A59, FIND("_", $A59)-1),$A59),'CMT-inter'!$B$1:$B$33,0),MATCH(S$1,'CMT-inter'!$A$1:$M$1,0)),"")</f>
        <v>postcard</v>
      </c>
    </row>
    <row r="60" spans="1:19" x14ac:dyDescent="0.35">
      <c r="A60" t="s">
        <v>619</v>
      </c>
      <c r="B60">
        <f>IFERROR(INDEX('CMT-inter'!$A$1:$M$33,MATCH(SUBSTITUTE(IF(IFERROR(SEARCH("_",$A60),0)&gt;0,LEFT($A60, FIND("_", $A60)-1),$A60),"CTRL","CELL"),'CMT-inter'!$B$1:$B$33,0),MATCH(B$1,'CMT-inter'!$A$1:$M$1,0)),"")</f>
        <v>20221201</v>
      </c>
      <c r="D60" t="str">
        <f ca="1">IFERROR(INDEX('CMT-inter'!$A$1:$M$33,MATCH(IF(IFERROR(SEARCH("_",$A60),0)&gt;0,LEFT($A60, FIND("_", $A60)-1),$A60),'CMT-inter'!$B$1:$B$33,0),MATCH(D$1,'CMT-inter'!$A$1:$M$1,0)),"")</f>
        <v>20221215</v>
      </c>
      <c r="E60" t="b">
        <v>0</v>
      </c>
      <c r="F60" t="str">
        <f ca="1">IFERROR(INDEX('CMT-inter'!$A$1:$M$33,MATCH(IF(IFERROR(SEARCH("_",$A60),0)&gt;0,LEFT($A60, FIND("_", $A60)-1),$A60),'CMT-inter'!$B$1:$B$33,0),MATCH(F$1,'CMT-inter'!$A$1:$M$1,0)),"")</f>
        <v>20221215</v>
      </c>
      <c r="G60">
        <f>IFERROR(INDEX('CMT-inter'!$A$1:$M$33,MATCH(IF(IFERROR(SEARCH("_",$A60),0)&gt;0,LEFT($A60, FIND("_", $A60)-1),$A60),'CMT-inter'!$B$1:$B$33,0),MATCH(G$1,'CMT-inter'!$A$1:$M$1,0)),"")</f>
        <v>20221014</v>
      </c>
      <c r="H60" t="str">
        <f>IFERROR(IF(IFERROR(SEARCH("CTRL",$A60),FALSE),SUBSTITUTE( INDEX('CMT-inter'!$A$1:$M$33,MATCH(SUBSTITUTE(IF(IFERROR(SEARCH("_",$A60),0)&gt;0,LEFT($A60, FIND("_", $A60)-1),$A60),"CTRL","CELL"),'CMT-inter'!$B$1:$B$33,0),MATCH(H$1,'CMT-inter'!$A$1:$M$1,0)),"CELL","CTRL"), INDEX('CMT-inter'!$A$1:$M$33,MATCH(IF(IFERROR(SEARCH("_",$A60),0)&gt;0,LEFT($A60, FIND("_", $A60)-1),$A60),'CMT-inter'!$B$1:$B$33,0),MATCH(H$1,'CMT-inter'!$A$1:$M$1,0))),"")</f>
        <v>CELL27</v>
      </c>
      <c r="I60" t="str">
        <f>IFERROR(INDEX('CMT-inter'!$A$1:$M$33,MATCH(IF(IFERROR(SEARCH("_",$A60),0)&gt;0,LEFT($A60, FIND("_", $A60)-1),$A60),'CMT-inter'!$B$1:$B$33,0),MATCH("OFFER EXPIRES",'CMT-inter'!$A$1:$M$1,0)),"")</f>
        <v>20230114</v>
      </c>
      <c r="J60" t="str">
        <f ca="1">IFERROR(INDEX('CMT-inter'!$A$1:$M$33,MATCH(IF(IFERROR(SEARCH("_",$A60),0)&gt;0,LEFT($A60, FIND("_", $A60)-1),$A60),'CMT-inter'!$B$1:$B$33,0),MATCH(J$1,'CMT-inter'!$A$1:$M$1,0)),"")</f>
        <v>20221215</v>
      </c>
      <c r="K60" t="str">
        <f>'cell parameters'!F60</f>
        <v>club='235':index_key='30000000 and 50000000':priority_num='1','2'</v>
      </c>
      <c r="M60" t="str">
        <f>'cell parameters'!E60</f>
        <v>club_zip_dyn</v>
      </c>
      <c r="N60">
        <f t="shared" si="0"/>
        <v>59</v>
      </c>
      <c r="O60" t="s">
        <v>566</v>
      </c>
      <c r="Q60" t="str">
        <f>IFERROR(INDEX('CMT-inter'!$A$1:$M$33,MATCH(IF(IFERROR(SEARCH("_",$A60),0)&gt;0,LEFT($A60, FIND("_", $A60)-1),$A60),'CMT-inter'!$B$1:$B$33,0),MATCH("Market Code",'CMT-inter'!$A$1:$M$1,0)),"")</f>
        <v>MCDDM4</v>
      </c>
      <c r="S60" t="str">
        <f>IFERROR(INDEX('CMT-inter'!$A$1:$M$33,MATCH(IF(IFERROR(SEARCH("_",$A60),0)&gt;0,LEFT($A60, FIND("_", $A60)-1),$A60),'CMT-inter'!$B$1:$B$33,0),MATCH(S$1,'CMT-inter'!$A$1:$M$1,0)),"")</f>
        <v>postcard</v>
      </c>
    </row>
    <row r="61" spans="1:19" x14ac:dyDescent="0.35">
      <c r="A61" t="s">
        <v>620</v>
      </c>
      <c r="B61">
        <f>IFERROR(INDEX('CMT-inter'!$A$1:$M$33,MATCH(SUBSTITUTE(IF(IFERROR(SEARCH("_",$A61),0)&gt;0,LEFT($A61, FIND("_", $A61)-1),$A61),"CTRL","CELL"),'CMT-inter'!$B$1:$B$33,0),MATCH(B$1,'CMT-inter'!$A$1:$M$1,0)),"")</f>
        <v>20221201</v>
      </c>
      <c r="D61" t="str">
        <f ca="1">IFERROR(INDEX('CMT-inter'!$A$1:$M$33,MATCH(IF(IFERROR(SEARCH("_",$A61),0)&gt;0,LEFT($A61, FIND("_", $A61)-1),$A61),'CMT-inter'!$B$1:$B$33,0),MATCH(D$1,'CMT-inter'!$A$1:$M$1,0)),"")</f>
        <v>20221201</v>
      </c>
      <c r="E61" t="b">
        <v>0</v>
      </c>
      <c r="F61" t="str">
        <f ca="1">IFERROR(INDEX('CMT-inter'!$A$1:$M$33,MATCH(IF(IFERROR(SEARCH("_",$A61),0)&gt;0,LEFT($A61, FIND("_", $A61)-1),$A61),'CMT-inter'!$B$1:$B$33,0),MATCH(F$1,'CMT-inter'!$A$1:$M$1,0)),"")</f>
        <v>20221201</v>
      </c>
      <c r="G61">
        <f>IFERROR(INDEX('CMT-inter'!$A$1:$M$33,MATCH(IF(IFERROR(SEARCH("_",$A61),0)&gt;0,LEFT($A61, FIND("_", $A61)-1),$A61),'CMT-inter'!$B$1:$B$33,0),MATCH(G$1,'CMT-inter'!$A$1:$M$1,0)),"")</f>
        <v>20221014</v>
      </c>
      <c r="H61" t="str">
        <f>IFERROR(IF(IFERROR(SEARCH("CTRL",$A61),FALSE),SUBSTITUTE( INDEX('CMT-inter'!$A$1:$M$33,MATCH(SUBSTITUTE(IF(IFERROR(SEARCH("_",$A61),0)&gt;0,LEFT($A61, FIND("_", $A61)-1),$A61),"CTRL","CELL"),'CMT-inter'!$B$1:$B$33,0),MATCH(H$1,'CMT-inter'!$A$1:$M$1,0)),"CELL","CTRL"), INDEX('CMT-inter'!$A$1:$M$33,MATCH(IF(IFERROR(SEARCH("_",$A61),0)&gt;0,LEFT($A61, FIND("_", $A61)-1),$A61),'CMT-inter'!$B$1:$B$33,0),MATCH(H$1,'CMT-inter'!$A$1:$M$1,0))),"")</f>
        <v>CELL28</v>
      </c>
      <c r="I61" t="str">
        <f>IFERROR(INDEX('CMT-inter'!$A$1:$M$33,MATCH(IF(IFERROR(SEARCH("_",$A61),0)&gt;0,LEFT($A61, FIND("_", $A61)-1),$A61),'CMT-inter'!$B$1:$B$33,0),MATCH("OFFER EXPIRES",'CMT-inter'!$A$1:$M$1,0)),"")</f>
        <v>20221225</v>
      </c>
      <c r="J61" t="str">
        <f ca="1">IFERROR(INDEX('CMT-inter'!$A$1:$M$33,MATCH(IF(IFERROR(SEARCH("_",$A61),0)&gt;0,LEFT($A61, FIND("_", $A61)-1),$A61),'CMT-inter'!$B$1:$B$33,0),MATCH(J$1,'CMT-inter'!$A$1:$M$1,0)),"")</f>
        <v>20221201</v>
      </c>
      <c r="K61" t="str">
        <f>'cell parameters'!F61</f>
        <v>club='226':index_key='0 and 30000000':priority_num='1','2'</v>
      </c>
      <c r="M61" t="str">
        <f>'cell parameters'!E61</f>
        <v>club_zip_dyn</v>
      </c>
      <c r="N61">
        <f t="shared" si="0"/>
        <v>60</v>
      </c>
      <c r="O61" t="s">
        <v>566</v>
      </c>
      <c r="Q61" t="str">
        <f>IFERROR(INDEX('CMT-inter'!$A$1:$M$33,MATCH(IF(IFERROR(SEARCH("_",$A61),0)&gt;0,LEFT($A61, FIND("_", $A61)-1),$A61),'CMT-inter'!$B$1:$B$33,0),MATCH("Market Code",'CMT-inter'!$A$1:$M$1,0)),"")</f>
        <v>DAVDM1</v>
      </c>
      <c r="S61" t="str">
        <f>IFERROR(INDEX('CMT-inter'!$A$1:$M$33,MATCH(IF(IFERROR(SEARCH("_",$A61),0)&gt;0,LEFT($A61, FIND("_", $A61)-1),$A61),'CMT-inter'!$B$1:$B$33,0),MATCH(S$1,'CMT-inter'!$A$1:$M$1,0)),"")</f>
        <v>postcard</v>
      </c>
    </row>
    <row r="62" spans="1:19" x14ac:dyDescent="0.35">
      <c r="A62" t="s">
        <v>621</v>
      </c>
      <c r="B62">
        <f>IFERROR(INDEX('CMT-inter'!$A$1:$M$33,MATCH(SUBSTITUTE(IF(IFERROR(SEARCH("_",$A62),0)&gt;0,LEFT($A62, FIND("_", $A62)-1),$A62),"CTRL","CELL"),'CMT-inter'!$B$1:$B$33,0),MATCH(B$1,'CMT-inter'!$A$1:$M$1,0)),"")</f>
        <v>20221201</v>
      </c>
      <c r="D62" t="str">
        <f ca="1">IFERROR(INDEX('CMT-inter'!$A$1:$M$33,MATCH(IF(IFERROR(SEARCH("_",$A62),0)&gt;0,LEFT($A62, FIND("_", $A62)-1),$A62),'CMT-inter'!$B$1:$B$33,0),MATCH(D$1,'CMT-inter'!$A$1:$M$1,0)),"")</f>
        <v>20221201</v>
      </c>
      <c r="E62" t="b">
        <v>0</v>
      </c>
      <c r="F62" t="str">
        <f ca="1">IFERROR(INDEX('CMT-inter'!$A$1:$M$33,MATCH(IF(IFERROR(SEARCH("_",$A62),0)&gt;0,LEFT($A62, FIND("_", $A62)-1),$A62),'CMT-inter'!$B$1:$B$33,0),MATCH(F$1,'CMT-inter'!$A$1:$M$1,0)),"")</f>
        <v>20221201</v>
      </c>
      <c r="G62">
        <f>IFERROR(INDEX('CMT-inter'!$A$1:$M$33,MATCH(IF(IFERROR(SEARCH("_",$A62),0)&gt;0,LEFT($A62, FIND("_", $A62)-1),$A62),'CMT-inter'!$B$1:$B$33,0),MATCH(G$1,'CMT-inter'!$A$1:$M$1,0)),"")</f>
        <v>20221014</v>
      </c>
      <c r="H62" t="str">
        <f>IFERROR(IF(IFERROR(SEARCH("CTRL",$A62),FALSE),SUBSTITUTE( INDEX('CMT-inter'!$A$1:$M$33,MATCH(SUBSTITUTE(IF(IFERROR(SEARCH("_",$A62),0)&gt;0,LEFT($A62, FIND("_", $A62)-1),$A62),"CTRL","CELL"),'CMT-inter'!$B$1:$B$33,0),MATCH(H$1,'CMT-inter'!$A$1:$M$1,0)),"CELL","CTRL"), INDEX('CMT-inter'!$A$1:$M$33,MATCH(IF(IFERROR(SEARCH("_",$A62),0)&gt;0,LEFT($A62, FIND("_", $A62)-1),$A62),'CMT-inter'!$B$1:$B$33,0),MATCH(H$1,'CMT-inter'!$A$1:$M$1,0))),"")</f>
        <v>CELL28</v>
      </c>
      <c r="I62" t="str">
        <f>IFERROR(INDEX('CMT-inter'!$A$1:$M$33,MATCH(IF(IFERROR(SEARCH("_",$A62),0)&gt;0,LEFT($A62, FIND("_", $A62)-1),$A62),'CMT-inter'!$B$1:$B$33,0),MATCH("OFFER EXPIRES",'CMT-inter'!$A$1:$M$1,0)),"")</f>
        <v>20221225</v>
      </c>
      <c r="J62" t="str">
        <f ca="1">IFERROR(INDEX('CMT-inter'!$A$1:$M$33,MATCH(IF(IFERROR(SEARCH("_",$A62),0)&gt;0,LEFT($A62, FIND("_", $A62)-1),$A62),'CMT-inter'!$B$1:$B$33,0),MATCH(J$1,'CMT-inter'!$A$1:$M$1,0)),"")</f>
        <v>20221201</v>
      </c>
      <c r="K62" t="str">
        <f>'cell parameters'!F62</f>
        <v>club='226':index_key='30000000 and 50000000':priority_num='1','2'</v>
      </c>
      <c r="M62" t="str">
        <f>'cell parameters'!E62</f>
        <v>club_zip_dyn</v>
      </c>
      <c r="N62">
        <f t="shared" si="0"/>
        <v>61</v>
      </c>
      <c r="O62" t="s">
        <v>566</v>
      </c>
      <c r="Q62" t="str">
        <f>IFERROR(INDEX('CMT-inter'!$A$1:$M$33,MATCH(IF(IFERROR(SEARCH("_",$A62),0)&gt;0,LEFT($A62, FIND("_", $A62)-1),$A62),'CMT-inter'!$B$1:$B$33,0),MATCH("Market Code",'CMT-inter'!$A$1:$M$1,0)),"")</f>
        <v>DAVDM1</v>
      </c>
      <c r="S62" t="str">
        <f>IFERROR(INDEX('CMT-inter'!$A$1:$M$33,MATCH(IF(IFERROR(SEARCH("_",$A62),0)&gt;0,LEFT($A62, FIND("_", $A62)-1),$A62),'CMT-inter'!$B$1:$B$33,0),MATCH(S$1,'CMT-inter'!$A$1:$M$1,0)),"")</f>
        <v>postcard</v>
      </c>
    </row>
    <row r="63" spans="1:19" x14ac:dyDescent="0.35">
      <c r="A63" t="s">
        <v>622</v>
      </c>
      <c r="B63">
        <f>IFERROR(INDEX('CMT-inter'!$A$1:$M$33,MATCH(SUBSTITUTE(IF(IFERROR(SEARCH("_",$A63),0)&gt;0,LEFT($A63, FIND("_", $A63)-1),$A63),"CTRL","CELL"),'CMT-inter'!$B$1:$B$33,0),MATCH(B$1,'CMT-inter'!$A$1:$M$1,0)),"")</f>
        <v>20221201</v>
      </c>
      <c r="D63" t="str">
        <f ca="1">IFERROR(INDEX('CMT-inter'!$A$1:$M$33,MATCH(IF(IFERROR(SEARCH("_",$A63),0)&gt;0,LEFT($A63, FIND("_", $A63)-1),$A63),'CMT-inter'!$B$1:$B$33,0),MATCH(D$1,'CMT-inter'!$A$1:$M$1,0)),"")</f>
        <v>20221208</v>
      </c>
      <c r="E63" t="b">
        <v>0</v>
      </c>
      <c r="F63" t="str">
        <f ca="1">IFERROR(INDEX('CMT-inter'!$A$1:$M$33,MATCH(IF(IFERROR(SEARCH("_",$A63),0)&gt;0,LEFT($A63, FIND("_", $A63)-1),$A63),'CMT-inter'!$B$1:$B$33,0),MATCH(F$1,'CMT-inter'!$A$1:$M$1,0)),"")</f>
        <v>20221208</v>
      </c>
      <c r="G63">
        <f>IFERROR(INDEX('CMT-inter'!$A$1:$M$33,MATCH(IF(IFERROR(SEARCH("_",$A63),0)&gt;0,LEFT($A63, FIND("_", $A63)-1),$A63),'CMT-inter'!$B$1:$B$33,0),MATCH(G$1,'CMT-inter'!$A$1:$M$1,0)),"")</f>
        <v>20221014</v>
      </c>
      <c r="H63" t="str">
        <f>IFERROR(IF(IFERROR(SEARCH("CTRL",$A63),FALSE),SUBSTITUTE( INDEX('CMT-inter'!$A$1:$M$33,MATCH(SUBSTITUTE(IF(IFERROR(SEARCH("_",$A63),0)&gt;0,LEFT($A63, FIND("_", $A63)-1),$A63),"CTRL","CELL"),'CMT-inter'!$B$1:$B$33,0),MATCH(H$1,'CMT-inter'!$A$1:$M$1,0)),"CELL","CTRL"), INDEX('CMT-inter'!$A$1:$M$33,MATCH(IF(IFERROR(SEARCH("_",$A63),0)&gt;0,LEFT($A63, FIND("_", $A63)-1),$A63),'CMT-inter'!$B$1:$B$33,0),MATCH(H$1,'CMT-inter'!$A$1:$M$1,0))),"")</f>
        <v>CELL29</v>
      </c>
      <c r="I63" t="str">
        <f>IFERROR(INDEX('CMT-inter'!$A$1:$M$33,MATCH(IF(IFERROR(SEARCH("_",$A63),0)&gt;0,LEFT($A63, FIND("_", $A63)-1),$A63),'CMT-inter'!$B$1:$B$33,0),MATCH("OFFER EXPIRES",'CMT-inter'!$A$1:$M$1,0)),"")</f>
        <v>20230107</v>
      </c>
      <c r="J63" t="str">
        <f ca="1">IFERROR(INDEX('CMT-inter'!$A$1:$M$33,MATCH(IF(IFERROR(SEARCH("_",$A63),0)&gt;0,LEFT($A63, FIND("_", $A63)-1),$A63),'CMT-inter'!$B$1:$B$33,0),MATCH(J$1,'CMT-inter'!$A$1:$M$1,0)),"")</f>
        <v>20221208</v>
      </c>
      <c r="K63" t="str">
        <f>'cell parameters'!F63</f>
        <v>club='226':index_key='0 and 30000000':priority_num='1':bjs_cell='CELL28'</v>
      </c>
      <c r="M63" t="str">
        <f>'cell parameters'!E63</f>
        <v>sub_club_zip_dyn</v>
      </c>
      <c r="N63">
        <f t="shared" si="0"/>
        <v>62</v>
      </c>
      <c r="O63" t="s">
        <v>566</v>
      </c>
      <c r="Q63" t="str">
        <f>IFERROR(INDEX('CMT-inter'!$A$1:$M$33,MATCH(IF(IFERROR(SEARCH("_",$A63),0)&gt;0,LEFT($A63, FIND("_", $A63)-1),$A63),'CMT-inter'!$B$1:$B$33,0),MATCH("Market Code",'CMT-inter'!$A$1:$M$1,0)),"")</f>
        <v>DAVDM2</v>
      </c>
      <c r="S63" t="str">
        <f>IFERROR(INDEX('CMT-inter'!$A$1:$M$33,MATCH(IF(IFERROR(SEARCH("_",$A63),0)&gt;0,LEFT($A63, FIND("_", $A63)-1),$A63),'CMT-inter'!$B$1:$B$33,0),MATCH(S$1,'CMT-inter'!$A$1:$M$1,0)),"")</f>
        <v>postcard</v>
      </c>
    </row>
    <row r="64" spans="1:19" x14ac:dyDescent="0.35">
      <c r="A64" t="s">
        <v>623</v>
      </c>
      <c r="B64">
        <f>IFERROR(INDEX('CMT-inter'!$A$1:$M$33,MATCH(SUBSTITUTE(IF(IFERROR(SEARCH("_",$A64),0)&gt;0,LEFT($A64, FIND("_", $A64)-1),$A64),"CTRL","CELL"),'CMT-inter'!$B$1:$B$33,0),MATCH(B$1,'CMT-inter'!$A$1:$M$1,0)),"")</f>
        <v>20221201</v>
      </c>
      <c r="D64" t="str">
        <f ca="1">IFERROR(INDEX('CMT-inter'!$A$1:$M$33,MATCH(IF(IFERROR(SEARCH("_",$A64),0)&gt;0,LEFT($A64, FIND("_", $A64)-1),$A64),'CMT-inter'!$B$1:$B$33,0),MATCH(D$1,'CMT-inter'!$A$1:$M$1,0)),"")</f>
        <v>20221208</v>
      </c>
      <c r="E64" t="b">
        <v>0</v>
      </c>
      <c r="F64" t="str">
        <f ca="1">IFERROR(INDEX('CMT-inter'!$A$1:$M$33,MATCH(IF(IFERROR(SEARCH("_",$A64),0)&gt;0,LEFT($A64, FIND("_", $A64)-1),$A64),'CMT-inter'!$B$1:$B$33,0),MATCH(F$1,'CMT-inter'!$A$1:$M$1,0)),"")</f>
        <v>20221208</v>
      </c>
      <c r="G64">
        <f>IFERROR(INDEX('CMT-inter'!$A$1:$M$33,MATCH(IF(IFERROR(SEARCH("_",$A64),0)&gt;0,LEFT($A64, FIND("_", $A64)-1),$A64),'CMT-inter'!$B$1:$B$33,0),MATCH(G$1,'CMT-inter'!$A$1:$M$1,0)),"")</f>
        <v>20221014</v>
      </c>
      <c r="H64" t="str">
        <f>IFERROR(IF(IFERROR(SEARCH("CTRL",$A64),FALSE),SUBSTITUTE( INDEX('CMT-inter'!$A$1:$M$33,MATCH(SUBSTITUTE(IF(IFERROR(SEARCH("_",$A64),0)&gt;0,LEFT($A64, FIND("_", $A64)-1),$A64),"CTRL","CELL"),'CMT-inter'!$B$1:$B$33,0),MATCH(H$1,'CMT-inter'!$A$1:$M$1,0)),"CELL","CTRL"), INDEX('CMT-inter'!$A$1:$M$33,MATCH(IF(IFERROR(SEARCH("_",$A64),0)&gt;0,LEFT($A64, FIND("_", $A64)-1),$A64),'CMT-inter'!$B$1:$B$33,0),MATCH(H$1,'CMT-inter'!$A$1:$M$1,0))),"")</f>
        <v>CELL29</v>
      </c>
      <c r="I64" t="str">
        <f>IFERROR(INDEX('CMT-inter'!$A$1:$M$33,MATCH(IF(IFERROR(SEARCH("_",$A64),0)&gt;0,LEFT($A64, FIND("_", $A64)-1),$A64),'CMT-inter'!$B$1:$B$33,0),MATCH("OFFER EXPIRES",'CMT-inter'!$A$1:$M$1,0)),"")</f>
        <v>20230107</v>
      </c>
      <c r="J64" t="str">
        <f ca="1">IFERROR(INDEX('CMT-inter'!$A$1:$M$33,MATCH(IF(IFERROR(SEARCH("_",$A64),0)&gt;0,LEFT($A64, FIND("_", $A64)-1),$A64),'CMT-inter'!$B$1:$B$33,0),MATCH(J$1,'CMT-inter'!$A$1:$M$1,0)),"")</f>
        <v>20221208</v>
      </c>
      <c r="K64" t="str">
        <f>'cell parameters'!F64</f>
        <v>club='226':index_key='30000000 and 50000000':priority_num='1':bjs_cell='CELL28_BNZD'</v>
      </c>
      <c r="M64" t="str">
        <f>'cell parameters'!E64</f>
        <v>sub_club_zip_dyn</v>
      </c>
      <c r="N64">
        <f t="shared" si="0"/>
        <v>63</v>
      </c>
      <c r="O64" t="s">
        <v>566</v>
      </c>
      <c r="Q64" t="str">
        <f>IFERROR(INDEX('CMT-inter'!$A$1:$M$33,MATCH(IF(IFERROR(SEARCH("_",$A64),0)&gt;0,LEFT($A64, FIND("_", $A64)-1),$A64),'CMT-inter'!$B$1:$B$33,0),MATCH("Market Code",'CMT-inter'!$A$1:$M$1,0)),"")</f>
        <v>DAVDM2</v>
      </c>
      <c r="S64" t="str">
        <f>IFERROR(INDEX('CMT-inter'!$A$1:$M$33,MATCH(IF(IFERROR(SEARCH("_",$A64),0)&gt;0,LEFT($A64, FIND("_", $A64)-1),$A64),'CMT-inter'!$B$1:$B$33,0),MATCH(S$1,'CMT-inter'!$A$1:$M$1,0)),"")</f>
        <v>postcard</v>
      </c>
    </row>
    <row r="65" spans="1:19" x14ac:dyDescent="0.35">
      <c r="A65" s="111" t="s">
        <v>624</v>
      </c>
      <c r="B65">
        <f>IFERROR(INDEX('CMT-inter'!$A$1:$M$33,MATCH(SUBSTITUTE(IF(IFERROR(SEARCH("_",$A65),0)&gt;0,LEFT($A65, FIND("_", $A65)-1),$A65),"CTRL","CELL"),'CMT-inter'!$B$1:$B$33,0),MATCH(B$1,'CMT-inter'!$A$1:$M$1,0)),"")</f>
        <v>20221201</v>
      </c>
      <c r="D65" t="str">
        <f ca="1">IFERROR(INDEX('CMT-inter'!$A$1:$M$33,MATCH(IF(IFERROR(SEARCH("_",$A65),0)&gt;0,LEFT($A65, FIND("_", $A65)-1),$A65),'CMT-inter'!$B$1:$B$33,0),MATCH(D$1,'CMT-inter'!$A$1:$M$1,0)),"")</f>
        <v>20221208</v>
      </c>
      <c r="E65" t="b">
        <v>0</v>
      </c>
      <c r="F65" t="str">
        <f ca="1">IFERROR(INDEX('CMT-inter'!$A$1:$M$33,MATCH(IF(IFERROR(SEARCH("_",$A65),0)&gt;0,LEFT($A65, FIND("_", $A65)-1),$A65),'CMT-inter'!$B$1:$B$33,0),MATCH(F$1,'CMT-inter'!$A$1:$M$1,0)),"")</f>
        <v>20221208</v>
      </c>
      <c r="G65">
        <f>IFERROR(INDEX('CMT-inter'!$A$1:$M$33,MATCH(IF(IFERROR(SEARCH("_",$A65),0)&gt;0,LEFT($A65, FIND("_", $A65)-1),$A65),'CMT-inter'!$B$1:$B$33,0),MATCH(G$1,'CMT-inter'!$A$1:$M$1,0)),"")</f>
        <v>20221014</v>
      </c>
      <c r="H65" t="str">
        <f>IFERROR(IF(IFERROR(SEARCH("CTRL",$A65),FALSE),SUBSTITUTE( INDEX('CMT-inter'!$A$1:$M$33,MATCH(SUBSTITUTE(IF(IFERROR(SEARCH("_",$A65),0)&gt;0,LEFT($A65, FIND("_", $A65)-1),$A65),"CTRL","CELL"),'CMT-inter'!$B$1:$B$33,0),MATCH(H$1,'CMT-inter'!$A$1:$M$1,0)),"CELL","CTRL"), INDEX('CMT-inter'!$A$1:$M$33,MATCH(IF(IFERROR(SEARCH("_",$A65),0)&gt;0,LEFT($A65, FIND("_", $A65)-1),$A65),'CMT-inter'!$B$1:$B$33,0),MATCH(H$1,'CMT-inter'!$A$1:$M$1,0))),"")</f>
        <v>CELL30</v>
      </c>
      <c r="I65" t="str">
        <f>IFERROR(INDEX('CMT-inter'!$A$1:$M$33,MATCH(IF(IFERROR(SEARCH("_",$A65),0)&gt;0,LEFT($A65, FIND("_", $A65)-1),$A65),'CMT-inter'!$B$1:$B$33,0),MATCH("OFFER EXPIRES",'CMT-inter'!$A$1:$M$1,0)),"")</f>
        <v>20230121</v>
      </c>
      <c r="J65" t="str">
        <f ca="1">IFERROR(INDEX('CMT-inter'!$A$1:$M$33,MATCH(IF(IFERROR(SEARCH("_",$A65),0)&gt;0,LEFT($A65, FIND("_", $A65)-1),$A65),'CMT-inter'!$B$1:$B$33,0),MATCH(J$1,'CMT-inter'!$A$1:$M$1,0)),"")</f>
        <v>20221208</v>
      </c>
      <c r="K65" s="111" t="str">
        <f>'cell parameters'!F65</f>
        <v>club='226':index_key='0 and 30000000':priority_num='1':bjs_cell='CELL29'</v>
      </c>
      <c r="M65" t="str">
        <f>'cell parameters'!E65</f>
        <v>sub_club_zip_dyn</v>
      </c>
      <c r="N65">
        <f t="shared" si="0"/>
        <v>64</v>
      </c>
      <c r="O65" t="s">
        <v>566</v>
      </c>
      <c r="Q65" t="str">
        <f>IFERROR(INDEX('CMT-inter'!$A$1:$M$33,MATCH(IF(IFERROR(SEARCH("_",$A65),0)&gt;0,LEFT($A65, FIND("_", $A65)-1),$A65),'CMT-inter'!$B$1:$B$33,0),MATCH("Market Code",'CMT-inter'!$A$1:$M$1,0)),"")</f>
        <v>DAVDM3</v>
      </c>
      <c r="S65" t="str">
        <f>IFERROR(INDEX('CMT-inter'!$A$1:$M$33,MATCH(IF(IFERROR(SEARCH("_",$A65),0)&gt;0,LEFT($A65, FIND("_", $A65)-1),$A65),'CMT-inter'!$B$1:$B$33,0),MATCH(S$1,'CMT-inter'!$A$1:$M$1,0)),"")</f>
        <v>postcard</v>
      </c>
    </row>
    <row r="66" spans="1:19" x14ac:dyDescent="0.35">
      <c r="A66" t="s">
        <v>625</v>
      </c>
      <c r="B66">
        <f>IFERROR(INDEX('CMT-inter'!$A$1:$M$33,MATCH(SUBSTITUTE(IF(IFERROR(SEARCH("_",$A66),0)&gt;0,LEFT($A66, FIND("_", $A66)-1),$A66),"CTRL","CELL"),'CMT-inter'!$B$1:$B$33,0),MATCH(B$1,'CMT-inter'!$A$1:$M$1,0)),"")</f>
        <v>20221201</v>
      </c>
      <c r="D66" t="str">
        <f ca="1">IFERROR(INDEX('CMT-inter'!$A$1:$M$33,MATCH(IF(IFERROR(SEARCH("_",$A66),0)&gt;0,LEFT($A66, FIND("_", $A66)-1),$A66),'CMT-inter'!$B$1:$B$33,0),MATCH(D$1,'CMT-inter'!$A$1:$M$1,0)),"")</f>
        <v>20221208</v>
      </c>
      <c r="E66" t="b">
        <v>0</v>
      </c>
      <c r="F66" t="str">
        <f ca="1">IFERROR(INDEX('CMT-inter'!$A$1:$M$33,MATCH(IF(IFERROR(SEARCH("_",$A66),0)&gt;0,LEFT($A66, FIND("_", $A66)-1),$A66),'CMT-inter'!$B$1:$B$33,0),MATCH(F$1,'CMT-inter'!$A$1:$M$1,0)),"")</f>
        <v>20221208</v>
      </c>
      <c r="G66">
        <f>IFERROR(INDEX('CMT-inter'!$A$1:$M$33,MATCH(IF(IFERROR(SEARCH("_",$A66),0)&gt;0,LEFT($A66, FIND("_", $A66)-1),$A66),'CMT-inter'!$B$1:$B$33,0),MATCH(G$1,'CMT-inter'!$A$1:$M$1,0)),"")</f>
        <v>20221014</v>
      </c>
      <c r="H66" t="str">
        <f>IFERROR(IF(IFERROR(SEARCH("CTRL",$A66),FALSE),SUBSTITUTE( INDEX('CMT-inter'!$A$1:$M$33,MATCH(SUBSTITUTE(IF(IFERROR(SEARCH("_",$A66),0)&gt;0,LEFT($A66, FIND("_", $A66)-1),$A66),"CTRL","CELL"),'CMT-inter'!$B$1:$B$33,0),MATCH(H$1,'CMT-inter'!$A$1:$M$1,0)),"CELL","CTRL"), INDEX('CMT-inter'!$A$1:$M$33,MATCH(IF(IFERROR(SEARCH("_",$A66),0)&gt;0,LEFT($A66, FIND("_", $A66)-1),$A66),'CMT-inter'!$B$1:$B$33,0),MATCH(H$1,'CMT-inter'!$A$1:$M$1,0))),"")</f>
        <v>CELL30</v>
      </c>
      <c r="I66" t="str">
        <f>IFERROR(INDEX('CMT-inter'!$A$1:$M$33,MATCH(IF(IFERROR(SEARCH("_",$A66),0)&gt;0,LEFT($A66, FIND("_", $A66)-1),$A66),'CMT-inter'!$B$1:$B$33,0),MATCH("OFFER EXPIRES",'CMT-inter'!$A$1:$M$1,0)),"")</f>
        <v>20230121</v>
      </c>
      <c r="J66" t="str">
        <f ca="1">IFERROR(INDEX('CMT-inter'!$A$1:$M$33,MATCH(IF(IFERROR(SEARCH("_",$A66),0)&gt;0,LEFT($A66, FIND("_", $A66)-1),$A66),'CMT-inter'!$B$1:$B$33,0),MATCH(J$1,'CMT-inter'!$A$1:$M$1,0)),"")</f>
        <v>20221208</v>
      </c>
      <c r="K66" s="111" t="str">
        <f>'cell parameters'!F66</f>
        <v>club='226':index_key='30000000 and 50000000':priority_num='1':bjs_cell='CELL29_BNZD'</v>
      </c>
      <c r="M66" t="str">
        <f>'cell parameters'!E66</f>
        <v>sub_club_zip_dyn</v>
      </c>
      <c r="N66">
        <f t="shared" si="0"/>
        <v>65</v>
      </c>
      <c r="O66" t="s">
        <v>566</v>
      </c>
      <c r="Q66" t="str">
        <f>IFERROR(INDEX('CMT-inter'!$A$1:$M$33,MATCH(IF(IFERROR(SEARCH("_",$A66),0)&gt;0,LEFT($A66, FIND("_", $A66)-1),$A66),'CMT-inter'!$B$1:$B$33,0),MATCH("Market Code",'CMT-inter'!$A$1:$M$1,0)),"")</f>
        <v>DAVDM3</v>
      </c>
      <c r="S66" t="str">
        <f>IFERROR(INDEX('CMT-inter'!$A$1:$M$33,MATCH(IF(IFERROR(SEARCH("_",$A66),0)&gt;0,LEFT($A66, FIND("_", $A66)-1),$A66),'CMT-inter'!$B$1:$B$33,0),MATCH(S$1,'CMT-inter'!$A$1:$M$1,0)),"")</f>
        <v>postcard</v>
      </c>
    </row>
    <row r="67" spans="1:19" hidden="1" x14ac:dyDescent="0.35">
      <c r="A67" s="166" t="s">
        <v>626</v>
      </c>
      <c r="B67">
        <f>IFERROR(INDEX('CMT-inter'!$A$1:$M$32,MATCH(SUBSTITUTE(IF(IFERROR(SEARCH("_",$A67),0)&gt;0,LEFT($A67, FIND("_", $A67)-1),$A67),"CTRL","CELL"),'CMT-inter'!$B$1:$B$32,0),MATCH(B$1,'CMT-inter'!$A$1:$M$1,0)),"")</f>
        <v>20221201</v>
      </c>
      <c r="D67" t="str">
        <f>IFERROR(INDEX('CMT-inter'!$A$1:$M$32,MATCH(IF(IFERROR(SEARCH("_",$A67),0)&gt;0,LEFT($A67, FIND("_", $A67)-1),$A67),'CMT-inter'!$B$1:$B$32,0),MATCH(D$1,'CMT-inter'!$A$1:$M$1,0)),"")</f>
        <v/>
      </c>
      <c r="E67" t="b">
        <v>0</v>
      </c>
      <c r="F67" t="str">
        <f>IFERROR(INDEX('CMT-inter'!$A$1:$M$32,MATCH(IF(IFERROR(SEARCH("_",$A67),0)&gt;0,LEFT($A67, FIND("_", $A67)-1),$A67),'CMT-inter'!$B$1:$B$32,0),MATCH(F$1,'CMT-inter'!$A$1:$M$1,0)),"")</f>
        <v/>
      </c>
      <c r="G67" t="str">
        <f>IFERROR(INDEX('CMT-inter'!$A$1:$M$32,MATCH(IF(IFERROR(SEARCH("_",$A67),0)&gt;0,LEFT($A67, FIND("_", $A67)-1),$A67),'CMT-inter'!$B$1:$B$32,0),MATCH(G$1,'CMT-inter'!$A$1:$M$1,0)),"")</f>
        <v/>
      </c>
      <c r="H67" t="str">
        <f>IFERROR(IF(IFERROR(SEARCH("CTRL",$A67),FALSE),SUBSTITUTE( INDEX('CMT-inter'!$A$1:$M$32,MATCH(SUBSTITUTE(IF(IFERROR(SEARCH("_",$A67),0)&gt;0,LEFT($A67, FIND("_", $A67)-1),$A67),"CTRL","CELL"),'CMT-inter'!$B$1:$B$32,0),MATCH(H$1,'CMT-inter'!$A$1:$M$1,0)),"CELL","CTRL"), INDEX('CMT-inter'!$A$1:$M$32,MATCH(IF(IFERROR(SEARCH("_",$A67),0)&gt;0,LEFT($A67, FIND("_", $A67)-1),$A67),'CMT-inter'!$B$1:$B$32,0),MATCH(H$1,'CMT-inter'!$A$1:$M$1,0))),"")</f>
        <v>CTRL07</v>
      </c>
      <c r="I67" t="str">
        <f>IFERROR(INDEX('CMT-inter'!$A$1:$M$32,MATCH(IF(IFERROR(SEARCH("_",$A67),0)&gt;0,LEFT($A67, FIND("_", $A67)-1),$A67),'CMT-inter'!$B$1:$B$32,0),MATCH("OFFER EXPIRES",'CMT-inter'!$A$1:$M$1,0)),"")</f>
        <v/>
      </c>
      <c r="J67" t="str">
        <f>IFERROR(INDEX('CMT-inter'!$A$1:$M$32,MATCH(IF(IFERROR(SEARCH("_",$A67),0)&gt;0,LEFT($A67, FIND("_", $A67)-1),$A67),'CMT-inter'!$B$1:$B$32,0),MATCH(J$1,'CMT-inter'!$A$1:$M$1,0)),"")</f>
        <v/>
      </c>
      <c r="K67" t="s">
        <v>627</v>
      </c>
      <c r="L67">
        <v>40000</v>
      </c>
      <c r="M67" s="114" t="s">
        <v>628</v>
      </c>
      <c r="N67">
        <f t="shared" ref="N67:N69" si="1">IF(N66="sequence",1,N66+1)</f>
        <v>66</v>
      </c>
      <c r="O67" t="s">
        <v>566</v>
      </c>
      <c r="Q67" t="str">
        <f>IFERROR(INDEX('CMT-inter'!$A$1:$M$32,MATCH(IF(IFERROR(SEARCH("_",$A67),0)&gt;0,LEFT($A67, FIND("_", $A67)-1),$A67),'CMT-inter'!$B$1:$B$32,0),MATCH("Market Code",'CMT-inter'!$A$1:$M$1,0)),"")</f>
        <v/>
      </c>
      <c r="R67" s="111"/>
      <c r="S67" t="str">
        <f>IFERROR(INDEX('CMT-inter'!$A$1:$M$33,MATCH(IF(IFERROR(SEARCH("_",$A67),0)&gt;0,LEFT($A67, FIND("_", $A67)-1),$A67),'CMT-inter'!$B$1:$B$33,0),MATCH(S$1,'CMT-inter'!$A$1:$M$1,0)),"")</f>
        <v/>
      </c>
    </row>
    <row r="68" spans="1:19" x14ac:dyDescent="0.35">
      <c r="A68" s="114" t="s">
        <v>629</v>
      </c>
      <c r="B68">
        <f>IFERROR(INDEX('CMT-inter'!$A$1:$M$32,MATCH(SUBSTITUTE(IF(IFERROR(SEARCH("_",$A68),0)&gt;0,LEFT($A68, FIND("_", $A68)-1),$A68),"CTRL","CELL"),'CMT-inter'!$B$1:$B$32,0),MATCH(B$1,'CMT-inter'!$A$1:$M$1,0)),"")</f>
        <v>20221201</v>
      </c>
      <c r="D68" t="str">
        <f ca="1">IFERROR(INDEX('CMT-inter'!$A$1:$M$32,MATCH(IF(IFERROR(SEARCH("_",$A68),0)&gt;0,LEFT($A68, FIND("_", $A68)-1),$A68),'CMT-inter'!$B$1:$B$32,0),MATCH(D$1,'CMT-inter'!$A$1:$M$1,0)),"")</f>
        <v>20221201</v>
      </c>
      <c r="E68" t="b">
        <v>0</v>
      </c>
      <c r="F68" t="str">
        <f ca="1">IFERROR(INDEX('CMT-inter'!$A$1:$M$32,MATCH(IF(IFERROR(SEARCH("_",$A68),0)&gt;0,LEFT($A68, FIND("_", $A68)-1),$A68),'CMT-inter'!$B$1:$B$32,0),MATCH(F$1,'CMT-inter'!$A$1:$M$1,0)),"")</f>
        <v>20221201</v>
      </c>
      <c r="G68">
        <f>IFERROR(INDEX('CMT-inter'!$A$1:$M$32,MATCH(IF(IFERROR(SEARCH("_",$A68),0)&gt;0,LEFT($A68, FIND("_", $A68)-1),$A68),'CMT-inter'!$B$1:$B$32,0),MATCH(G$1,'CMT-inter'!$A$1:$M$1,0)),"")</f>
        <v>20221014</v>
      </c>
      <c r="H68" t="str">
        <f>IFERROR(IF(IFERROR(SEARCH("CTRL",$A68),FALSE),SUBSTITUTE( INDEX('CMT-inter'!$A$1:$M$32,MATCH(SUBSTITUTE(IF(IFERROR(SEARCH("_",$A68),0)&gt;0,LEFT($A68, FIND("_", $A68)-1),$A68),"CTRL","CELL"),'CMT-inter'!$B$1:$B$32,0),MATCH(H$1,'CMT-inter'!$A$1:$M$1,0)),"CELL","CTRL"), INDEX('CMT-inter'!$A$1:$M$32,MATCH(IF(IFERROR(SEARCH("_",$A68),0)&gt;0,LEFT($A68, FIND("_", $A68)-1),$A68),'CMT-inter'!$B$1:$B$32,0),MATCH(H$1,'CMT-inter'!$A$1:$M$1,0))),"")</f>
        <v>CELL07</v>
      </c>
      <c r="I68" t="str">
        <f>IFERROR(INDEX('CMT-inter'!$A$1:$M$32,MATCH(IF(IFERROR(SEARCH("_",$A68),0)&gt;0,LEFT($A68, FIND("_", $A68)-1),$A68),'CMT-inter'!$B$1:$B$32,0),MATCH("OFFER EXPIRES",'CMT-inter'!$A$1:$M$1,0)),"")</f>
        <v>20230108</v>
      </c>
      <c r="J68" t="str">
        <f ca="1">IFERROR(INDEX('CMT-inter'!$A$1:$M$32,MATCH(IF(IFERROR(SEARCH("_",$A68),0)&gt;0,LEFT($A68, FIND("_", $A68)-1),$A68),'CMT-inter'!$B$1:$B$32,0),MATCH(J$1,'CMT-inter'!$A$1:$M$1,0)),"")</f>
        <v>20221201</v>
      </c>
      <c r="K68" t="s">
        <v>627</v>
      </c>
      <c r="M68" s="114" t="s">
        <v>628</v>
      </c>
      <c r="N68">
        <v>66</v>
      </c>
      <c r="O68" t="s">
        <v>566</v>
      </c>
      <c r="Q68" t="str">
        <f>IFERROR(INDEX('CMT-inter'!$A$1:$M$32,MATCH(IF(IFERROR(SEARCH("_",$A68),0)&gt;0,LEFT($A68, FIND("_", $A68)-1),$A68),'CMT-inter'!$B$1:$B$32,0),MATCH("Market Code",'CMT-inter'!$A$1:$M$1,0)),"")</f>
        <v>SFDEC7, SFDECP</v>
      </c>
      <c r="S68" t="str">
        <f>IFERROR(INDEX('CMT-inter'!$A$1:$M$33,MATCH(IF(IFERROR(SEARCH("_",$A68),0)&gt;0,LEFT($A68, FIND("_", $A68)-1),$A68),'CMT-inter'!$B$1:$B$33,0),MATCH(S$1,'CMT-inter'!$A$1:$M$1,0)),"")</f>
        <v>letter</v>
      </c>
    </row>
    <row r="69" spans="1:19" hidden="1" x14ac:dyDescent="0.35">
      <c r="A69" s="114" t="s">
        <v>630</v>
      </c>
      <c r="B69">
        <f>IFERROR(INDEX('CMT-inter'!$A$1:$M$32,MATCH(SUBSTITUTE(IF(IFERROR(SEARCH("_",$A69),0)&gt;0,LEFT($A69, FIND("_", $A69)-1),$A69),"CTRL","CELL"),'CMT-inter'!$B$1:$B$32,0),MATCH(B$1,'CMT-inter'!$A$1:$M$1,0)),"")</f>
        <v>20221201</v>
      </c>
      <c r="D69" t="str">
        <f>IFERROR(INDEX('CMT-inter'!$A$1:$M$32,MATCH(IF(IFERROR(SEARCH("_",$A69),0)&gt;0,LEFT($A69, FIND("_", $A69)-1),$A69),'CMT-inter'!$B$1:$B$32,0),MATCH(D$1,'CMT-inter'!$A$1:$M$1,0)),"")</f>
        <v/>
      </c>
      <c r="E69" t="b">
        <v>0</v>
      </c>
      <c r="F69" t="str">
        <f>IFERROR(INDEX('CMT-inter'!$A$1:$M$32,MATCH(IF(IFERROR(SEARCH("_",$A69),0)&gt;0,LEFT($A69, FIND("_", $A69)-1),$A69),'CMT-inter'!$B$1:$B$32,0),MATCH(F$1,'CMT-inter'!$A$1:$M$1,0)),"")</f>
        <v/>
      </c>
      <c r="G69" t="str">
        <f>IFERROR(INDEX('CMT-inter'!$A$1:$M$32,MATCH(IF(IFERROR(SEARCH("_",$A69),0)&gt;0,LEFT($A69, FIND("_", $A69)-1),$A69),'CMT-inter'!$B$1:$B$32,0),MATCH(G$1,'CMT-inter'!$A$1:$M$1,0)),"")</f>
        <v/>
      </c>
      <c r="H69" t="str">
        <f>IFERROR(IF(IFERROR(SEARCH("CTRL",$A69),FALSE),SUBSTITUTE( INDEX('CMT-inter'!$A$1:$M$32,MATCH(SUBSTITUTE(IF(IFERROR(SEARCH("_",$A69),0)&gt;0,LEFT($A69, FIND("_", $A69)-1),$A69),"CTRL","CELL"),'CMT-inter'!$B$1:$B$32,0),MATCH(H$1,'CMT-inter'!$A$1:$M$1,0)),"CELL","CTRL"), INDEX('CMT-inter'!$A$1:$M$32,MATCH(IF(IFERROR(SEARCH("_",$A69),0)&gt;0,LEFT($A69, FIND("_", $A69)-1),$A69),'CMT-inter'!$B$1:$B$32,0),MATCH(H$1,'CMT-inter'!$A$1:$M$1,0))),"")</f>
        <v>CTRL03</v>
      </c>
      <c r="I69" t="str">
        <f>IFERROR(INDEX('CMT-inter'!$A$1:$M$32,MATCH(IF(IFERROR(SEARCH("_",$A69),0)&gt;0,LEFT($A69, FIND("_", $A69)-1),$A69),'CMT-inter'!$B$1:$B$32,0),MATCH("OFFER EXPIRES",'CMT-inter'!$A$1:$M$1,0)),"")</f>
        <v/>
      </c>
      <c r="J69" t="str">
        <f>IFERROR(INDEX('CMT-inter'!$A$1:$M$32,MATCH(IF(IFERROR(SEARCH("_",$A69),0)&gt;0,LEFT($A69, FIND("_", $A69)-1),$A69),'CMT-inter'!$B$1:$B$32,0),MATCH(J$1,'CMT-inter'!$A$1:$M$1,0)),"")</f>
        <v/>
      </c>
      <c r="K69" t="s">
        <v>631</v>
      </c>
      <c r="L69" s="111">
        <v>200000</v>
      </c>
      <c r="M69" s="114" t="s">
        <v>628</v>
      </c>
      <c r="N69">
        <f t="shared" si="1"/>
        <v>67</v>
      </c>
      <c r="O69" t="s">
        <v>566</v>
      </c>
      <c r="Q69" t="str">
        <f>IFERROR(INDEX('CMT-inter'!$A$1:$M$32,MATCH(IF(IFERROR(SEARCH("_",$A69),0)&gt;0,LEFT($A69, FIND("_", $A69)-1),$A69),'CMT-inter'!$B$1:$B$32,0),MATCH("Market Code",'CMT-inter'!$A$1:$M$1,0)),"")</f>
        <v/>
      </c>
      <c r="R69" s="111"/>
      <c r="S69" t="str">
        <f>IFERROR(INDEX('CMT-inter'!$A$1:$M$33,MATCH(IF(IFERROR(SEARCH("_",$A69),0)&gt;0,LEFT($A69, FIND("_", $A69)-1),$A69),'CMT-inter'!$B$1:$B$33,0),MATCH(S$1,'CMT-inter'!$A$1:$M$1,0)),"")</f>
        <v/>
      </c>
    </row>
    <row r="70" spans="1:19" x14ac:dyDescent="0.35">
      <c r="A70" s="114" t="s">
        <v>632</v>
      </c>
      <c r="B70">
        <f>IFERROR(INDEX('CMT-inter'!$A$1:$M$32,MATCH(SUBSTITUTE(IF(IFERROR(SEARCH("_",$A70),0)&gt;0,LEFT($A70, FIND("_", $A70)-1),$A70),"CTRL","CELL"),'CMT-inter'!$B$1:$B$32,0),MATCH(B$1,'CMT-inter'!$A$1:$M$1,0)),"")</f>
        <v>20221201</v>
      </c>
      <c r="D70" t="str">
        <f ca="1">IFERROR(INDEX('CMT-inter'!$A$1:$M$32,MATCH(IF(IFERROR(SEARCH("_",$A70),0)&gt;0,LEFT($A70, FIND("_", $A70)-1),$A70),'CMT-inter'!$B$1:$B$32,0),MATCH(D$1,'CMT-inter'!$A$1:$M$1,0)),"")</f>
        <v>20221201</v>
      </c>
      <c r="E70" t="b">
        <v>0</v>
      </c>
      <c r="F70" t="str">
        <f ca="1">IFERROR(INDEX('CMT-inter'!$A$1:$M$32,MATCH(IF(IFERROR(SEARCH("_",$A70),0)&gt;0,LEFT($A70, FIND("_", $A70)-1),$A70),'CMT-inter'!$B$1:$B$32,0),MATCH(F$1,'CMT-inter'!$A$1:$M$1,0)),"")</f>
        <v>20221201</v>
      </c>
      <c r="G70">
        <f>IFERROR(INDEX('CMT-inter'!$A$1:$M$32,MATCH(IF(IFERROR(SEARCH("_",$A70),0)&gt;0,LEFT($A70, FIND("_", $A70)-1),$A70),'CMT-inter'!$B$1:$B$32,0),MATCH(G$1,'CMT-inter'!$A$1:$M$1,0)),"")</f>
        <v>20221014</v>
      </c>
      <c r="H70" t="str">
        <f>IFERROR(IF(IFERROR(SEARCH("CTRL",$A70),FALSE),SUBSTITUTE( INDEX('CMT-inter'!$A$1:$M$32,MATCH(SUBSTITUTE(IF(IFERROR(SEARCH("_",$A70),0)&gt;0,LEFT($A70, FIND("_", $A70)-1),$A70),"CTRL","CELL"),'CMT-inter'!$B$1:$B$32,0),MATCH(H$1,'CMT-inter'!$A$1:$M$1,0)),"CELL","CTRL"), INDEX('CMT-inter'!$A$1:$M$32,MATCH(IF(IFERROR(SEARCH("_",$A70),0)&gt;0,LEFT($A70, FIND("_", $A70)-1),$A70),'CMT-inter'!$B$1:$B$32,0),MATCH(H$1,'CMT-inter'!$A$1:$M$1,0))),"")</f>
        <v>CELL03</v>
      </c>
      <c r="I70" t="str">
        <f>IFERROR(INDEX('CMT-inter'!$A$1:$M$32,MATCH(IF(IFERROR(SEARCH("_",$A70),0)&gt;0,LEFT($A70, FIND("_", $A70)-1),$A70),'CMT-inter'!$B$1:$B$32,0),MATCH("OFFER EXPIRES",'CMT-inter'!$A$1:$M$1,0)),"")</f>
        <v>20230108</v>
      </c>
      <c r="J70" t="str">
        <f ca="1">IFERROR(INDEX('CMT-inter'!$A$1:$M$32,MATCH(IF(IFERROR(SEARCH("_",$A70),0)&gt;0,LEFT($A70, FIND("_", $A70)-1),$A70),'CMT-inter'!$B$1:$B$32,0),MATCH(J$1,'CMT-inter'!$A$1:$M$1,0)),"")</f>
        <v>20221201</v>
      </c>
      <c r="K70" t="s">
        <v>631</v>
      </c>
      <c r="M70" s="114" t="s">
        <v>628</v>
      </c>
      <c r="N70">
        <v>67</v>
      </c>
      <c r="O70" t="s">
        <v>566</v>
      </c>
      <c r="Q70" t="str">
        <f>IFERROR(INDEX('CMT-inter'!$A$1:$M$32,MATCH(IF(IFERROR(SEARCH("_",$A70),0)&gt;0,LEFT($A70, FIND("_", $A70)-1),$A70),'CMT-inter'!$B$1:$B$32,0),MATCH("Market Code",'CMT-inter'!$A$1:$M$1,0)),"")</f>
        <v>DMDEC3</v>
      </c>
      <c r="S70" t="str">
        <f>IFERROR(INDEX('CMT-inter'!$A$1:$M$33,MATCH(IF(IFERROR(SEARCH("_",$A70),0)&gt;0,LEFT($A70, FIND("_", $A70)-1),$A70),'CMT-inter'!$B$1:$B$33,0),MATCH(S$1,'CMT-inter'!$A$1:$M$1,0)),"")</f>
        <v>letter</v>
      </c>
    </row>
  </sheetData>
  <autoFilter ref="A1:S70" xr:uid="{C3DF0A66-1E9C-4962-B2F9-714A07DD02FE}">
    <filterColumn colId="0">
      <filters>
        <filter val="CELL01_OT_MAIN"/>
        <filter val="CELL02_OT_MAIN"/>
        <filter val="CELL03_LP_VC_CR_SUP"/>
        <filter val="CELL03_MAIN"/>
        <filter val="CELL03_ON_N"/>
        <filter val="CELL03_OP_P"/>
        <filter val="CELL03_PP_BUS"/>
        <filter val="CELL03_UTEST"/>
        <filter val="CELL03_UTPP"/>
        <filter val="CELL05_MI_LONG"/>
        <filter val="CELL06_MI_LONG"/>
        <filter val="CELL07_MAIN"/>
        <filter val="CELL08"/>
        <filter val="CELL09"/>
        <filter val="CELL10"/>
        <filter val="CELL11"/>
        <filter val="CELL12"/>
        <filter val="CELL12_LP_BUS"/>
        <filter val="CELL12_ON_N"/>
        <filter val="CELL12_OP_P"/>
        <filter val="CELL12_UCLP"/>
        <filter val="CELL12_UTLP"/>
        <filter val="CELL13"/>
        <filter val="CELL14"/>
        <filter val="CELL14_BNZD"/>
        <filter val="CELL15"/>
        <filter val="CELL15_BNZD"/>
        <filter val="CELL16"/>
        <filter val="CELL16_BNZD"/>
        <filter val="CELL17"/>
        <filter val="CELL17_BNZD"/>
        <filter val="CELL18"/>
        <filter val="CELL18_BNZD"/>
        <filter val="CELL19"/>
        <filter val="CELL19_BNZD"/>
        <filter val="CELL20"/>
        <filter val="CELL20_BNZD"/>
        <filter val="CELL21"/>
        <filter val="CELL21_BNZD"/>
        <filter val="CELL22"/>
        <filter val="CELL22_BNZD"/>
        <filter val="CELL23"/>
        <filter val="CELL23_BNZD"/>
        <filter val="CELL24"/>
        <filter val="CELL24_BNZD"/>
        <filter val="CELL25"/>
        <filter val="CELL25_BNZD"/>
        <filter val="CELL26"/>
        <filter val="CELL26_BNZD"/>
        <filter val="CELL27"/>
        <filter val="CELL27_BNZD"/>
        <filter val="CELL28"/>
        <filter val="CELL28_BNZD"/>
        <filter val="CELL29"/>
        <filter val="CELL29_BNZD"/>
        <filter val="CELL30"/>
        <filter val="CELL30_BNZD"/>
      </filters>
    </filterColumn>
  </autoFilter>
  <conditionalFormatting sqref="A8:A22 A24:A25">
    <cfRule type="containsText" dxfId="17" priority="18" operator="containsText" text="CELL NOT FOUND">
      <formula>NOT(ISERROR(SEARCH("CELL NOT FOUND",A8)))</formula>
    </cfRule>
  </conditionalFormatting>
  <conditionalFormatting sqref="A8:A22 A24:A25">
    <cfRule type="containsText" dxfId="16" priority="17" operator="containsText" text="MISSING">
      <formula>NOT(ISERROR(SEARCH("MISSING",A8)))</formula>
    </cfRule>
  </conditionalFormatting>
  <conditionalFormatting sqref="A2:A7">
    <cfRule type="containsText" dxfId="15" priority="16" operator="containsText" text="CELL NOT FOUND">
      <formula>NOT(ISERROR(SEARCH("CELL NOT FOUND",A2)))</formula>
    </cfRule>
  </conditionalFormatting>
  <conditionalFormatting sqref="A2:A7">
    <cfRule type="containsText" dxfId="14" priority="15" operator="containsText" text="MISSING">
      <formula>NOT(ISERROR(SEARCH("MISSING",A2)))</formula>
    </cfRule>
  </conditionalFormatting>
  <conditionalFormatting sqref="A23">
    <cfRule type="containsText" dxfId="13" priority="14" operator="containsText" text="CELL NOT FOUND">
      <formula>NOT(ISERROR(SEARCH("CELL NOT FOUND",A23)))</formula>
    </cfRule>
  </conditionalFormatting>
  <conditionalFormatting sqref="A23">
    <cfRule type="containsText" dxfId="12" priority="13" operator="containsText" text="MISSING">
      <formula>NOT(ISERROR(SEARCH("MISSING",A23)))</formula>
    </cfRule>
  </conditionalFormatting>
  <conditionalFormatting sqref="A28">
    <cfRule type="containsText" dxfId="11" priority="12" operator="containsText" text="CELL NOT FOUND">
      <formula>NOT(ISERROR(SEARCH("CELL NOT FOUND",A28)))</formula>
    </cfRule>
  </conditionalFormatting>
  <conditionalFormatting sqref="A28">
    <cfRule type="containsText" dxfId="10" priority="11" operator="containsText" text="MISSING">
      <formula>NOT(ISERROR(SEARCH("MISSING",A28)))</formula>
    </cfRule>
  </conditionalFormatting>
  <conditionalFormatting sqref="A28">
    <cfRule type="containsText" dxfId="9" priority="10" operator="containsText" text="CELL NOT FOUND">
      <formula>NOT(ISERROR(SEARCH("CELL NOT FOUND",A28)))</formula>
    </cfRule>
  </conditionalFormatting>
  <conditionalFormatting sqref="A28">
    <cfRule type="containsText" dxfId="8" priority="9" operator="containsText" text="MISSING">
      <formula>NOT(ISERROR(SEARCH("MISSING",A28)))</formula>
    </cfRule>
  </conditionalFormatting>
  <conditionalFormatting sqref="A29:A30">
    <cfRule type="containsText" dxfId="7" priority="8" operator="containsText" text="CELL NOT FOUND">
      <formula>NOT(ISERROR(SEARCH("CELL NOT FOUND",A29)))</formula>
    </cfRule>
  </conditionalFormatting>
  <conditionalFormatting sqref="A29:A30">
    <cfRule type="containsText" dxfId="6" priority="7" operator="containsText" text="MISSING">
      <formula>NOT(ISERROR(SEARCH("MISSING",A29)))</formula>
    </cfRule>
  </conditionalFormatting>
  <conditionalFormatting sqref="A29:A30">
    <cfRule type="containsText" dxfId="5" priority="6" operator="containsText" text="CELL NOT FOUND">
      <formula>NOT(ISERROR(SEARCH("CELL NOT FOUND",A29)))</formula>
    </cfRule>
  </conditionalFormatting>
  <conditionalFormatting sqref="A29:A30">
    <cfRule type="containsText" dxfId="4" priority="5" operator="containsText" text="MISSING">
      <formula>NOT(ISERROR(SEARCH("MISSING",A29)))</formula>
    </cfRule>
  </conditionalFormatting>
  <conditionalFormatting sqref="A31:A45">
    <cfRule type="containsText" dxfId="3" priority="4" operator="containsText" text="CELL NOT FOUND">
      <formula>NOT(ISERROR(SEARCH("CELL NOT FOUND",A31)))</formula>
    </cfRule>
  </conditionalFormatting>
  <conditionalFormatting sqref="A31:A45">
    <cfRule type="containsText" dxfId="2" priority="3" operator="containsText" text="MISSING">
      <formula>NOT(ISERROR(SEARCH("MISSING",A31)))</formula>
    </cfRule>
  </conditionalFormatting>
  <conditionalFormatting sqref="A46:A64">
    <cfRule type="containsText" dxfId="1" priority="2" operator="containsText" text="CELL NOT FOUND">
      <formula>NOT(ISERROR(SEARCH("CELL NOT FOUND",A46)))</formula>
    </cfRule>
  </conditionalFormatting>
  <conditionalFormatting sqref="A46:A64">
    <cfRule type="containsText" dxfId="0" priority="1" operator="containsText" text="MISSING">
      <formula>NOT(ISERROR(SEARCH("MISSING",A46)))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E470-3DFB-43BC-B136-B06CED184508}">
  <dimension ref="B1:Q58"/>
  <sheetViews>
    <sheetView topLeftCell="A6" workbookViewId="0">
      <selection activeCell="B15" sqref="B15"/>
    </sheetView>
  </sheetViews>
  <sheetFormatPr defaultRowHeight="14.5" x14ac:dyDescent="0.35"/>
  <cols>
    <col min="2" max="4" width="20.453125" customWidth="1"/>
    <col min="8" max="8" width="10.1796875" customWidth="1"/>
    <col min="14" max="14" width="19.1796875" bestFit="1" customWidth="1"/>
    <col min="15" max="15" width="11.81640625" bestFit="1" customWidth="1"/>
    <col min="18" max="18" width="11.81640625" bestFit="1" customWidth="1"/>
    <col min="25" max="25" width="11.7265625" bestFit="1" customWidth="1"/>
    <col min="26" max="26" width="13.26953125" bestFit="1" customWidth="1"/>
  </cols>
  <sheetData>
    <row r="1" spans="2:17" x14ac:dyDescent="0.35">
      <c r="B1" t="s">
        <v>505</v>
      </c>
      <c r="E1" t="s">
        <v>633</v>
      </c>
      <c r="F1" t="s">
        <v>634</v>
      </c>
      <c r="G1" t="s">
        <v>635</v>
      </c>
      <c r="H1" t="s">
        <v>636</v>
      </c>
      <c r="I1" t="s">
        <v>637</v>
      </c>
      <c r="J1" t="s">
        <v>638</v>
      </c>
      <c r="L1" t="s">
        <v>639</v>
      </c>
      <c r="M1" t="s">
        <v>640</v>
      </c>
      <c r="P1" t="s">
        <v>641</v>
      </c>
      <c r="Q1" t="s">
        <v>642</v>
      </c>
    </row>
    <row r="2" spans="2:17" x14ac:dyDescent="0.35">
      <c r="B2" t="s">
        <v>565</v>
      </c>
      <c r="E2">
        <v>456091</v>
      </c>
      <c r="H2">
        <f>VLOOKUP(B2,CMT!$A:$S,14,FALSE)</f>
        <v>1</v>
      </c>
      <c r="L2" t="s">
        <v>592</v>
      </c>
      <c r="M2" s="120">
        <v>52110</v>
      </c>
      <c r="N2" t="s">
        <v>279</v>
      </c>
      <c r="P2" s="120">
        <v>51232</v>
      </c>
      <c r="Q2" s="171">
        <f t="shared" ref="Q2:Q18" si="0">P2/M2-1</f>
        <v>-1.6848973325657268E-2</v>
      </c>
    </row>
    <row r="3" spans="2:17" x14ac:dyDescent="0.35">
      <c r="B3" t="s">
        <v>471</v>
      </c>
      <c r="E3">
        <v>456535</v>
      </c>
      <c r="H3">
        <f>VLOOKUP(B3,CMT!$A:$S,14,FALSE)</f>
        <v>3</v>
      </c>
      <c r="L3" t="s">
        <v>594</v>
      </c>
      <c r="M3" s="120">
        <v>41904</v>
      </c>
      <c r="N3" t="s">
        <v>284</v>
      </c>
      <c r="P3" s="120">
        <v>40765</v>
      </c>
      <c r="Q3" s="171">
        <f t="shared" si="0"/>
        <v>-2.7181176021382258E-2</v>
      </c>
    </row>
    <row r="4" spans="2:17" x14ac:dyDescent="0.35">
      <c r="B4" t="s">
        <v>575</v>
      </c>
      <c r="E4">
        <v>77685</v>
      </c>
      <c r="H4">
        <f>VLOOKUP(B4,CMT!$A:$S,14,FALSE)</f>
        <v>11</v>
      </c>
      <c r="L4" t="s">
        <v>596</v>
      </c>
      <c r="M4" s="120">
        <v>42847</v>
      </c>
      <c r="N4" t="s">
        <v>288</v>
      </c>
      <c r="P4" s="120">
        <v>41908</v>
      </c>
      <c r="Q4" s="171">
        <f t="shared" si="0"/>
        <v>-2.1915186594160585E-2</v>
      </c>
    </row>
    <row r="5" spans="2:17" x14ac:dyDescent="0.35">
      <c r="B5" t="s">
        <v>581</v>
      </c>
      <c r="C5" t="s">
        <v>581</v>
      </c>
      <c r="E5">
        <v>9170</v>
      </c>
      <c r="F5">
        <v>9170</v>
      </c>
      <c r="H5">
        <f>VLOOKUP(B5,CMT!$A:$S,14,FALSE)</f>
        <v>18</v>
      </c>
      <c r="I5">
        <v>19</v>
      </c>
      <c r="L5" t="s">
        <v>598</v>
      </c>
      <c r="M5" s="120">
        <v>41004</v>
      </c>
      <c r="N5" t="s">
        <v>291</v>
      </c>
      <c r="P5" s="120">
        <v>40445</v>
      </c>
      <c r="Q5" s="171">
        <f t="shared" si="0"/>
        <v>-1.3632816310603868E-2</v>
      </c>
    </row>
    <row r="6" spans="2:17" x14ac:dyDescent="0.35">
      <c r="B6" t="s">
        <v>580</v>
      </c>
      <c r="C6" t="s">
        <v>580</v>
      </c>
      <c r="E6">
        <v>175921</v>
      </c>
      <c r="F6">
        <v>175921</v>
      </c>
      <c r="H6">
        <f>VLOOKUP(B6,CMT!$A:$S,14,FALSE)</f>
        <v>15</v>
      </c>
      <c r="I6">
        <v>17</v>
      </c>
      <c r="L6" t="s">
        <v>600</v>
      </c>
      <c r="M6" s="120">
        <v>58942</v>
      </c>
      <c r="N6" t="s">
        <v>294</v>
      </c>
      <c r="P6" s="120">
        <v>60108</v>
      </c>
      <c r="Q6" s="171">
        <f t="shared" si="0"/>
        <v>1.9782158732313038E-2</v>
      </c>
    </row>
    <row r="7" spans="2:17" x14ac:dyDescent="0.35">
      <c r="B7" t="s">
        <v>584</v>
      </c>
      <c r="E7">
        <v>129830</v>
      </c>
      <c r="H7">
        <f>VLOOKUP(B7,CMT!$A:$S,14,FALSE)</f>
        <v>24</v>
      </c>
      <c r="L7" t="s">
        <v>602</v>
      </c>
      <c r="M7" s="120">
        <v>71134</v>
      </c>
      <c r="N7" t="s">
        <v>299</v>
      </c>
      <c r="P7" s="120">
        <v>67369</v>
      </c>
      <c r="Q7" s="171">
        <f t="shared" si="0"/>
        <v>-5.2928276211094527E-2</v>
      </c>
    </row>
    <row r="8" spans="2:17" x14ac:dyDescent="0.35">
      <c r="B8" t="s">
        <v>571</v>
      </c>
      <c r="E8">
        <v>814971</v>
      </c>
      <c r="H8">
        <f>VLOOKUP(B8,CMT!$A:$S,14,FALSE)</f>
        <v>7</v>
      </c>
      <c r="L8" t="s">
        <v>604</v>
      </c>
      <c r="M8" s="120">
        <v>67500</v>
      </c>
      <c r="N8" t="s">
        <v>307</v>
      </c>
      <c r="P8" s="120">
        <v>51003</v>
      </c>
      <c r="Q8" s="171">
        <f t="shared" si="0"/>
        <v>-0.24439999999999995</v>
      </c>
    </row>
    <row r="9" spans="2:17" x14ac:dyDescent="0.35">
      <c r="B9" t="s">
        <v>573</v>
      </c>
      <c r="E9">
        <v>201922</v>
      </c>
      <c r="H9">
        <f>VLOOKUP(B9,CMT!$A:$S,14,FALSE)</f>
        <v>9</v>
      </c>
      <c r="L9" t="s">
        <v>606</v>
      </c>
      <c r="M9" s="120">
        <v>67500</v>
      </c>
      <c r="N9" t="s">
        <v>307</v>
      </c>
      <c r="P9" s="120">
        <v>51003</v>
      </c>
      <c r="Q9" s="171">
        <f t="shared" si="0"/>
        <v>-0.24439999999999995</v>
      </c>
    </row>
    <row r="10" spans="2:17" x14ac:dyDescent="0.35">
      <c r="B10" t="s">
        <v>568</v>
      </c>
      <c r="E10">
        <v>101995</v>
      </c>
      <c r="H10">
        <f>VLOOKUP(B10,CMT!$A:$S,14,FALSE)</f>
        <v>4</v>
      </c>
      <c r="L10" t="s">
        <v>608</v>
      </c>
      <c r="M10" s="120">
        <v>69000</v>
      </c>
      <c r="N10" t="s">
        <v>318</v>
      </c>
      <c r="P10" s="120">
        <v>63909</v>
      </c>
      <c r="Q10" s="171">
        <f t="shared" si="0"/>
        <v>-7.3782608695652119E-2</v>
      </c>
    </row>
    <row r="11" spans="2:17" x14ac:dyDescent="0.35">
      <c r="B11" t="s">
        <v>570</v>
      </c>
      <c r="E11">
        <v>101883</v>
      </c>
      <c r="H11">
        <f>VLOOKUP(B11,CMT!$A:$S,14,FALSE)</f>
        <v>6</v>
      </c>
      <c r="L11" t="s">
        <v>610</v>
      </c>
      <c r="M11" s="120">
        <v>50647</v>
      </c>
      <c r="N11" t="s">
        <v>323</v>
      </c>
      <c r="P11" s="120">
        <v>47975</v>
      </c>
      <c r="Q11" s="171">
        <f t="shared" si="0"/>
        <v>-5.275732027563329E-2</v>
      </c>
    </row>
    <row r="12" spans="2:17" x14ac:dyDescent="0.35">
      <c r="B12" t="s">
        <v>585</v>
      </c>
      <c r="C12" t="s">
        <v>586</v>
      </c>
      <c r="E12">
        <v>220142</v>
      </c>
      <c r="F12">
        <v>220142</v>
      </c>
      <c r="H12">
        <f>VLOOKUP(B12,CMT!$A:$S,14,FALSE)</f>
        <v>25</v>
      </c>
      <c r="I12">
        <v>26</v>
      </c>
      <c r="L12" t="s">
        <v>612</v>
      </c>
      <c r="M12" s="120">
        <v>109209</v>
      </c>
      <c r="N12" t="s">
        <v>327</v>
      </c>
      <c r="P12" s="120">
        <v>106417</v>
      </c>
      <c r="Q12" s="171">
        <f t="shared" si="0"/>
        <v>-2.5565658507998412E-2</v>
      </c>
    </row>
    <row r="13" spans="2:17" x14ac:dyDescent="0.35">
      <c r="B13" t="s">
        <v>590</v>
      </c>
      <c r="E13">
        <v>35567</v>
      </c>
      <c r="H13">
        <f>VLOOKUP(B13,CMT!$A:$S,14,FALSE)</f>
        <v>30</v>
      </c>
      <c r="L13" t="s">
        <v>614</v>
      </c>
      <c r="M13" s="120">
        <v>70000</v>
      </c>
      <c r="N13" t="s">
        <v>327</v>
      </c>
      <c r="P13" s="120">
        <v>60938</v>
      </c>
      <c r="Q13" s="171">
        <f t="shared" si="0"/>
        <v>-0.12945714285714283</v>
      </c>
    </row>
    <row r="14" spans="2:17" x14ac:dyDescent="0.35">
      <c r="B14" t="s">
        <v>591</v>
      </c>
      <c r="E14">
        <v>341</v>
      </c>
      <c r="H14">
        <f>VLOOKUP(B14,CMT!$A:$S,14,FALSE)</f>
        <v>31</v>
      </c>
      <c r="L14" t="s">
        <v>616</v>
      </c>
      <c r="M14" s="120">
        <v>68730</v>
      </c>
      <c r="N14" t="s">
        <v>336</v>
      </c>
      <c r="P14" s="120">
        <v>54332</v>
      </c>
      <c r="Q14" s="171">
        <f t="shared" si="0"/>
        <v>-0.20948639604248509</v>
      </c>
    </row>
    <row r="15" spans="2:17" x14ac:dyDescent="0.35">
      <c r="B15" t="s">
        <v>588</v>
      </c>
      <c r="E15">
        <v>276767</v>
      </c>
      <c r="H15">
        <f>VLOOKUP(B15,CMT!$A:$S,14,FALSE)</f>
        <v>28</v>
      </c>
      <c r="L15" t="s">
        <v>618</v>
      </c>
      <c r="M15" s="120">
        <v>155645</v>
      </c>
      <c r="N15" t="s">
        <v>340</v>
      </c>
      <c r="P15" s="120">
        <v>153435</v>
      </c>
      <c r="Q15" s="171">
        <f t="shared" si="0"/>
        <v>-1.4198978444537214E-2</v>
      </c>
    </row>
    <row r="16" spans="2:17" x14ac:dyDescent="0.35">
      <c r="B16" t="s">
        <v>588</v>
      </c>
      <c r="C16" t="s">
        <v>589</v>
      </c>
      <c r="E16">
        <v>253216</v>
      </c>
      <c r="F16">
        <v>253216</v>
      </c>
      <c r="H16">
        <f>VLOOKUP(B16,CMT!$A:$S,14,FALSE)</f>
        <v>28</v>
      </c>
      <c r="L16" t="s">
        <v>620</v>
      </c>
      <c r="M16" s="120">
        <v>183100</v>
      </c>
      <c r="N16" t="s">
        <v>344</v>
      </c>
      <c r="P16" s="120">
        <v>172370</v>
      </c>
      <c r="Q16" s="171">
        <f t="shared" si="0"/>
        <v>-5.8601856908793049E-2</v>
      </c>
    </row>
    <row r="17" spans="2:17" x14ac:dyDescent="0.35">
      <c r="B17" t="s">
        <v>587</v>
      </c>
      <c r="E17">
        <v>5930</v>
      </c>
      <c r="H17">
        <f>VLOOKUP(B17,CMT!$A:$S,14,FALSE)</f>
        <v>27</v>
      </c>
      <c r="L17" t="s">
        <v>622</v>
      </c>
      <c r="M17" s="120">
        <v>125073</v>
      </c>
      <c r="N17" t="s">
        <v>344</v>
      </c>
      <c r="P17" s="120">
        <v>120000</v>
      </c>
      <c r="Q17" s="171">
        <f t="shared" si="0"/>
        <v>-4.056031277733807E-2</v>
      </c>
    </row>
    <row r="18" spans="2:17" x14ac:dyDescent="0.35">
      <c r="B18" t="s">
        <v>587</v>
      </c>
      <c r="C18" t="s">
        <v>589</v>
      </c>
      <c r="E18">
        <v>11169</v>
      </c>
      <c r="F18">
        <v>11169</v>
      </c>
      <c r="H18">
        <f>VLOOKUP(B18,CMT!$A:$S,14,FALSE)</f>
        <v>27</v>
      </c>
      <c r="I18">
        <v>29</v>
      </c>
      <c r="L18" t="s">
        <v>624</v>
      </c>
      <c r="M18" s="120">
        <v>125073</v>
      </c>
      <c r="N18" t="s">
        <v>344</v>
      </c>
      <c r="P18" s="120">
        <v>120000</v>
      </c>
      <c r="Q18" s="171">
        <f t="shared" si="0"/>
        <v>-4.056031277733807E-2</v>
      </c>
    </row>
    <row r="19" spans="2:17" x14ac:dyDescent="0.35">
      <c r="B19" t="s">
        <v>582</v>
      </c>
      <c r="C19" t="s">
        <v>582</v>
      </c>
      <c r="E19">
        <v>2261</v>
      </c>
      <c r="F19">
        <v>2261</v>
      </c>
      <c r="H19">
        <f>VLOOKUP(B19,CMT!$A:$S,14,FALSE)</f>
        <v>20</v>
      </c>
      <c r="I19">
        <v>21</v>
      </c>
    </row>
    <row r="20" spans="2:17" x14ac:dyDescent="0.35">
      <c r="B20" t="s">
        <v>583</v>
      </c>
      <c r="C20" t="s">
        <v>583</v>
      </c>
      <c r="E20">
        <v>22326</v>
      </c>
      <c r="F20">
        <v>22326</v>
      </c>
      <c r="H20">
        <f>VLOOKUP(B20,CMT!$A:$S,14,FALSE)</f>
        <v>22</v>
      </c>
      <c r="I20">
        <v>23</v>
      </c>
    </row>
    <row r="21" spans="2:17" x14ac:dyDescent="0.35">
      <c r="B21" t="s">
        <v>577</v>
      </c>
      <c r="E21">
        <v>12873</v>
      </c>
      <c r="H21">
        <f>VLOOKUP(B21,CMT!$A:$S,14,FALSE)</f>
        <v>13</v>
      </c>
    </row>
    <row r="22" spans="2:17" x14ac:dyDescent="0.35">
      <c r="B22" t="s">
        <v>576</v>
      </c>
      <c r="E22">
        <v>46806</v>
      </c>
      <c r="H22">
        <f>VLOOKUP(B22,CMT!$A:$S,14,FALSE)</f>
        <v>12</v>
      </c>
      <c r="L22" s="308" t="s">
        <v>643</v>
      </c>
      <c r="M22" s="309" t="s">
        <v>644</v>
      </c>
      <c r="N22" s="309" t="s">
        <v>645</v>
      </c>
      <c r="O22" s="309" t="s">
        <v>646</v>
      </c>
    </row>
    <row r="23" spans="2:17" x14ac:dyDescent="0.35">
      <c r="B23" t="s">
        <v>592</v>
      </c>
      <c r="E23">
        <v>45689</v>
      </c>
      <c r="H23">
        <f>VLOOKUP(B23,CMT!$A:$S,14,FALSE)</f>
        <v>32</v>
      </c>
      <c r="L23" s="310">
        <f>SUM(E2:G22)</f>
        <v>4107606</v>
      </c>
      <c r="M23" s="311">
        <f>CMT!L67+CMT!L69+'FY23 Dec'!D18</f>
        <v>7783137</v>
      </c>
      <c r="N23" s="311">
        <f>M23-L23</f>
        <v>3675531</v>
      </c>
      <c r="O23" s="312">
        <f>N23*0.25</f>
        <v>918882.75</v>
      </c>
    </row>
    <row r="24" spans="2:17" x14ac:dyDescent="0.35">
      <c r="B24" t="s">
        <v>593</v>
      </c>
      <c r="E24">
        <v>5543</v>
      </c>
      <c r="H24">
        <f>VLOOKUP(B24,CMT!$A:$S,14,FALSE)</f>
        <v>33</v>
      </c>
    </row>
    <row r="25" spans="2:17" x14ac:dyDescent="0.35">
      <c r="B25" t="s">
        <v>594</v>
      </c>
      <c r="E25">
        <v>37592</v>
      </c>
      <c r="H25">
        <f>VLOOKUP(B25,CMT!$A:$S,14,FALSE)</f>
        <v>34</v>
      </c>
    </row>
    <row r="26" spans="2:17" x14ac:dyDescent="0.35">
      <c r="B26" t="s">
        <v>595</v>
      </c>
      <c r="E26">
        <v>3173</v>
      </c>
      <c r="H26">
        <f>VLOOKUP(B26,CMT!$A:$S,14,FALSE)</f>
        <v>35</v>
      </c>
    </row>
    <row r="27" spans="2:17" x14ac:dyDescent="0.35">
      <c r="B27" t="s">
        <v>596</v>
      </c>
      <c r="E27">
        <v>38013</v>
      </c>
      <c r="H27">
        <f>VLOOKUP(B27,CMT!$A:$S,14,FALSE)</f>
        <v>36</v>
      </c>
    </row>
    <row r="28" spans="2:17" x14ac:dyDescent="0.35">
      <c r="B28" t="s">
        <v>597</v>
      </c>
      <c r="E28">
        <v>3895</v>
      </c>
      <c r="H28">
        <f>VLOOKUP(B28,CMT!$A:$S,14,FALSE)</f>
        <v>37</v>
      </c>
    </row>
    <row r="29" spans="2:17" x14ac:dyDescent="0.35">
      <c r="B29" t="s">
        <v>598</v>
      </c>
      <c r="E29">
        <v>38417</v>
      </c>
      <c r="H29">
        <f>VLOOKUP(B29,CMT!$A:$S,14,FALSE)</f>
        <v>38</v>
      </c>
    </row>
    <row r="30" spans="2:17" x14ac:dyDescent="0.35">
      <c r="B30" t="s">
        <v>599</v>
      </c>
      <c r="E30">
        <v>2028</v>
      </c>
      <c r="H30">
        <f>VLOOKUP(B30,CMT!$A:$S,14,FALSE)</f>
        <v>39</v>
      </c>
    </row>
    <row r="31" spans="2:17" x14ac:dyDescent="0.35">
      <c r="B31" t="s">
        <v>600</v>
      </c>
      <c r="E31">
        <v>55390</v>
      </c>
      <c r="H31">
        <f>VLOOKUP(B31,CMT!$A:$S,14,FALSE)</f>
        <v>40</v>
      </c>
    </row>
    <row r="32" spans="2:17" x14ac:dyDescent="0.35">
      <c r="B32" t="s">
        <v>601</v>
      </c>
      <c r="E32">
        <v>4718</v>
      </c>
      <c r="H32">
        <f>VLOOKUP(B32,CMT!$A:$S,14,FALSE)</f>
        <v>41</v>
      </c>
    </row>
    <row r="33" spans="2:9" x14ac:dyDescent="0.35">
      <c r="B33" t="s">
        <v>602</v>
      </c>
      <c r="E33">
        <v>62272</v>
      </c>
      <c r="H33">
        <f>VLOOKUP(B33,CMT!$A:$S,14,FALSE)</f>
        <v>42</v>
      </c>
    </row>
    <row r="34" spans="2:9" x14ac:dyDescent="0.35">
      <c r="B34" t="s">
        <v>603</v>
      </c>
      <c r="E34">
        <v>5097</v>
      </c>
      <c r="H34">
        <f>VLOOKUP(B34,CMT!$A:$S,14,FALSE)</f>
        <v>43</v>
      </c>
    </row>
    <row r="35" spans="2:9" x14ac:dyDescent="0.35">
      <c r="B35" t="s">
        <v>604</v>
      </c>
      <c r="C35" t="s">
        <v>606</v>
      </c>
      <c r="E35">
        <v>45664</v>
      </c>
      <c r="F35">
        <v>45664</v>
      </c>
      <c r="H35">
        <f>VLOOKUP(B35,CMT!$A:$S,14,FALSE)</f>
        <v>44</v>
      </c>
      <c r="I35">
        <v>46</v>
      </c>
    </row>
    <row r="36" spans="2:9" x14ac:dyDescent="0.35">
      <c r="B36" t="s">
        <v>605</v>
      </c>
      <c r="C36" t="s">
        <v>607</v>
      </c>
      <c r="E36">
        <v>5339</v>
      </c>
      <c r="F36">
        <v>5339</v>
      </c>
      <c r="H36">
        <f>VLOOKUP(B36,CMT!$A:$S,14,FALSE)</f>
        <v>45</v>
      </c>
      <c r="I36">
        <v>47</v>
      </c>
    </row>
    <row r="37" spans="2:9" x14ac:dyDescent="0.35">
      <c r="B37" t="s">
        <v>608</v>
      </c>
      <c r="E37">
        <v>59241</v>
      </c>
      <c r="H37">
        <f>VLOOKUP(B37,CMT!$A:$S,14,FALSE)</f>
        <v>48</v>
      </c>
    </row>
    <row r="38" spans="2:9" x14ac:dyDescent="0.35">
      <c r="B38" t="s">
        <v>609</v>
      </c>
      <c r="E38">
        <v>4668</v>
      </c>
      <c r="H38">
        <f>VLOOKUP(B38,CMT!$A:$S,14,FALSE)</f>
        <v>49</v>
      </c>
    </row>
    <row r="39" spans="2:9" x14ac:dyDescent="0.35">
      <c r="B39" t="s">
        <v>610</v>
      </c>
      <c r="E39">
        <v>43560</v>
      </c>
      <c r="H39">
        <f>VLOOKUP(B39,CMT!$A:$S,14,FALSE)</f>
        <v>50</v>
      </c>
    </row>
    <row r="40" spans="2:9" x14ac:dyDescent="0.35">
      <c r="B40" t="s">
        <v>611</v>
      </c>
      <c r="E40">
        <v>4415</v>
      </c>
      <c r="H40">
        <f>VLOOKUP(B40,CMT!$A:$S,14,FALSE)</f>
        <v>51</v>
      </c>
    </row>
    <row r="41" spans="2:9" x14ac:dyDescent="0.35">
      <c r="B41" t="s">
        <v>612</v>
      </c>
      <c r="E41">
        <v>40055</v>
      </c>
      <c r="H41">
        <f>VLOOKUP(B41,CMT!$A:$S,14,FALSE)</f>
        <v>52</v>
      </c>
    </row>
    <row r="42" spans="2:9" x14ac:dyDescent="0.35">
      <c r="B42" t="s">
        <v>612</v>
      </c>
      <c r="C42" t="s">
        <v>614</v>
      </c>
      <c r="E42">
        <v>57107</v>
      </c>
      <c r="F42">
        <v>57107</v>
      </c>
      <c r="H42">
        <f>VLOOKUP(B42,CMT!$A:$S,14,FALSE)</f>
        <v>52</v>
      </c>
      <c r="I42">
        <v>54</v>
      </c>
    </row>
    <row r="43" spans="2:9" x14ac:dyDescent="0.35">
      <c r="B43" t="s">
        <v>613</v>
      </c>
      <c r="E43">
        <v>5424</v>
      </c>
      <c r="H43">
        <f>VLOOKUP(B43,CMT!$A:$S,14,FALSE)</f>
        <v>53</v>
      </c>
    </row>
    <row r="44" spans="2:9" x14ac:dyDescent="0.35">
      <c r="B44" t="s">
        <v>613</v>
      </c>
      <c r="C44" t="s">
        <v>615</v>
      </c>
      <c r="E44">
        <v>3831</v>
      </c>
      <c r="F44">
        <v>3831</v>
      </c>
      <c r="H44">
        <f>VLOOKUP(B44,CMT!$A:$S,14,FALSE)</f>
        <v>53</v>
      </c>
      <c r="I44">
        <v>55</v>
      </c>
    </row>
    <row r="45" spans="2:9" x14ac:dyDescent="0.35">
      <c r="B45" t="s">
        <v>616</v>
      </c>
      <c r="E45">
        <v>49292</v>
      </c>
      <c r="H45">
        <f>VLOOKUP(B45,CMT!$A:$S,14,FALSE)</f>
        <v>56</v>
      </c>
    </row>
    <row r="46" spans="2:9" x14ac:dyDescent="0.35">
      <c r="B46" t="s">
        <v>617</v>
      </c>
      <c r="E46">
        <v>5040</v>
      </c>
      <c r="H46">
        <f>VLOOKUP(B46,CMT!$A:$S,14,FALSE)</f>
        <v>57</v>
      </c>
    </row>
    <row r="47" spans="2:9" x14ac:dyDescent="0.35">
      <c r="B47" t="s">
        <v>618</v>
      </c>
      <c r="E47">
        <v>132508</v>
      </c>
      <c r="H47">
        <f>VLOOKUP(B47,CMT!$A:$S,14,FALSE)</f>
        <v>58</v>
      </c>
    </row>
    <row r="48" spans="2:9" x14ac:dyDescent="0.35">
      <c r="B48" t="s">
        <v>619</v>
      </c>
      <c r="E48">
        <v>20927</v>
      </c>
      <c r="H48">
        <f>VLOOKUP(B48,CMT!$A:$S,14,FALSE)</f>
        <v>59</v>
      </c>
    </row>
    <row r="49" spans="2:10" x14ac:dyDescent="0.35">
      <c r="B49" t="s">
        <v>620</v>
      </c>
      <c r="E49">
        <v>47021</v>
      </c>
      <c r="H49">
        <f>VLOOKUP(B49,CMT!$A:$S,14,FALSE)</f>
        <v>60</v>
      </c>
    </row>
    <row r="50" spans="2:10" x14ac:dyDescent="0.35">
      <c r="B50" t="s">
        <v>620</v>
      </c>
      <c r="C50" t="s">
        <v>622</v>
      </c>
      <c r="D50" t="s">
        <v>624</v>
      </c>
      <c r="E50">
        <v>106761</v>
      </c>
      <c r="F50">
        <v>106761</v>
      </c>
      <c r="G50">
        <v>106761</v>
      </c>
      <c r="H50">
        <f>VLOOKUP(B50,CMT!$A:$S,14,FALSE)</f>
        <v>60</v>
      </c>
      <c r="I50">
        <v>62</v>
      </c>
      <c r="J50">
        <v>63</v>
      </c>
    </row>
    <row r="51" spans="2:10" x14ac:dyDescent="0.35">
      <c r="B51" t="s">
        <v>621</v>
      </c>
      <c r="E51">
        <v>5349</v>
      </c>
      <c r="H51">
        <f>VLOOKUP(B51,CMT!$A:$S,14,FALSE)</f>
        <v>61</v>
      </c>
    </row>
    <row r="52" spans="2:10" x14ac:dyDescent="0.35">
      <c r="B52" t="s">
        <v>621</v>
      </c>
      <c r="C52" t="s">
        <v>623</v>
      </c>
      <c r="D52" t="s">
        <v>625</v>
      </c>
      <c r="E52">
        <v>13239</v>
      </c>
      <c r="F52">
        <v>13239</v>
      </c>
      <c r="G52">
        <v>13239</v>
      </c>
      <c r="H52">
        <f>VLOOKUP(B52,CMT!$A:$S,14,FALSE)</f>
        <v>61</v>
      </c>
      <c r="I52">
        <v>64</v>
      </c>
      <c r="J52">
        <v>65</v>
      </c>
    </row>
    <row r="53" spans="2:10" x14ac:dyDescent="0.35">
      <c r="B53" t="s">
        <v>567</v>
      </c>
      <c r="E53">
        <v>182771</v>
      </c>
      <c r="H53">
        <f>VLOOKUP(B53,CMT!$A:$S,14,FALSE)</f>
        <v>2</v>
      </c>
    </row>
    <row r="54" spans="2:10" x14ac:dyDescent="0.35">
      <c r="B54" t="s">
        <v>578</v>
      </c>
      <c r="C54" t="s">
        <v>578</v>
      </c>
      <c r="E54">
        <v>40000</v>
      </c>
      <c r="H54">
        <f>VLOOKUP(B54,CMT!$A:$S,14,FALSE)</f>
        <v>14</v>
      </c>
      <c r="I54">
        <v>16</v>
      </c>
    </row>
    <row r="55" spans="2:10" x14ac:dyDescent="0.35">
      <c r="B55" t="s">
        <v>574</v>
      </c>
      <c r="E55">
        <v>54650</v>
      </c>
      <c r="H55">
        <f>VLOOKUP(B55,CMT!$A:$S,14,FALSE)</f>
        <v>10</v>
      </c>
    </row>
    <row r="56" spans="2:10" x14ac:dyDescent="0.35">
      <c r="B56" t="s">
        <v>572</v>
      </c>
      <c r="E56">
        <v>219258</v>
      </c>
      <c r="H56">
        <f>VLOOKUP(B56,CMT!$A:$S,14,FALSE)</f>
        <v>8</v>
      </c>
    </row>
    <row r="57" spans="2:10" x14ac:dyDescent="0.35">
      <c r="B57" t="s">
        <v>569</v>
      </c>
      <c r="E57">
        <v>45947</v>
      </c>
      <c r="H57">
        <f>VLOOKUP(B57,CMT!$A:$S,14,FALSE)</f>
        <v>5</v>
      </c>
    </row>
    <row r="58" spans="2:10" x14ac:dyDescent="0.35">
      <c r="B58" t="s">
        <v>484</v>
      </c>
      <c r="E58">
        <v>16311287</v>
      </c>
    </row>
  </sheetData>
  <autoFilter ref="B1:J58" xr:uid="{A5DCE470-3DFB-43BC-B136-B06CED184508}">
    <sortState xmlns:xlrd2="http://schemas.microsoft.com/office/spreadsheetml/2017/richdata2" ref="B2:J58">
      <sortCondition ref="B1:B58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49aad8-4e11-4299-8dd2-4f7e028ab08f">
      <Terms xmlns="http://schemas.microsoft.com/office/infopath/2007/PartnerControls"/>
    </lcf76f155ced4ddcb4097134ff3c332f>
    <TaxCatchAll xmlns="aee6c09f-4350-4e35-b395-25d076c8eb8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9F27331C68ED49ADBC00FFCA084D3E" ma:contentTypeVersion="11" ma:contentTypeDescription="Create a new document." ma:contentTypeScope="" ma:versionID="394080c18a5abe05cc2c630aa264960e">
  <xsd:schema xmlns:xsd="http://www.w3.org/2001/XMLSchema" xmlns:xs="http://www.w3.org/2001/XMLSchema" xmlns:p="http://schemas.microsoft.com/office/2006/metadata/properties" xmlns:ns2="ad49aad8-4e11-4299-8dd2-4f7e028ab08f" xmlns:ns3="aee6c09f-4350-4e35-b395-25d076c8eb87" targetNamespace="http://schemas.microsoft.com/office/2006/metadata/properties" ma:root="true" ma:fieldsID="a9f4da621375fd918a2ef3999fa1b70d" ns2:_="" ns3:_="">
    <xsd:import namespace="ad49aad8-4e11-4299-8dd2-4f7e028ab08f"/>
    <xsd:import namespace="aee6c09f-4350-4e35-b395-25d076c8eb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9aad8-4e11-4299-8dd2-4f7e028ab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6fdcc86c-2a90-4158-bda7-2c0898bf56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6c09f-4350-4e35-b395-25d076c8eb8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e4671417-4484-4bde-8508-19983f27a642}" ma:internalName="TaxCatchAll" ma:showField="CatchAllData" ma:web="aee6c09f-4350-4e35-b395-25d076c8eb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1CF6D3-B2B9-4A1B-9026-75149F475B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C0DC14-F717-49A5-9787-FAED6FEA3B45}">
  <ds:schemaRefs>
    <ds:schemaRef ds:uri="http://schemas.microsoft.com/office/2006/metadata/properties"/>
    <ds:schemaRef ds:uri="http://schemas.microsoft.com/office/infopath/2007/PartnerControls"/>
    <ds:schemaRef ds:uri="ad49aad8-4e11-4299-8dd2-4f7e028ab08f"/>
    <ds:schemaRef ds:uri="aee6c09f-4350-4e35-b395-25d076c8eb87"/>
  </ds:schemaRefs>
</ds:datastoreItem>
</file>

<file path=customXml/itemProps3.xml><?xml version="1.0" encoding="utf-8"?>
<ds:datastoreItem xmlns:ds="http://schemas.openxmlformats.org/officeDocument/2006/customXml" ds:itemID="{C73A1EA3-F5D9-437E-9AAB-F88596765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49aad8-4e11-4299-8dd2-4f7e028ab08f"/>
    <ds:schemaRef ds:uri="aee6c09f-4350-4e35-b395-25d076c8eb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W14 January</vt:lpstr>
      <vt:lpstr>estimate</vt:lpstr>
      <vt:lpstr>FY23 Dec</vt:lpstr>
      <vt:lpstr>Sheet1</vt:lpstr>
      <vt:lpstr>CMTs format map</vt:lpstr>
      <vt:lpstr>CMT-inter</vt:lpstr>
      <vt:lpstr>cell parameters</vt:lpstr>
      <vt:lpstr>CMT</vt:lpstr>
      <vt:lpstr>force cell counts</vt:lpstr>
      <vt:lpstr>'W14 January'!Print_Area</vt:lpstr>
      <vt:lpstr>'W14 January'!Print_Titles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Ge, Bingxin</dc:creator>
  <cp:keywords/>
  <dc:description/>
  <cp:lastModifiedBy>Kumar Aryan</cp:lastModifiedBy>
  <cp:revision/>
  <dcterms:created xsi:type="dcterms:W3CDTF">2021-11-19T13:43:06Z</dcterms:created>
  <dcterms:modified xsi:type="dcterms:W3CDTF">2023-01-19T11:20:37Z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0x010100659F27331C68ED49ADBC00FFCA084D3E</vt:lpwstr>
  </property>
  <property fmtid="{D5CDD505-2E9C-101B-9397-08002B2CF9AE}" pid="3" name="MediaServiceImageTags">
    <vt:lpwstr/>
  </property>
  <property fmtid="{D5CDD505-2E9C-101B-9397-08002B2CF9AE}" pid="4" name="MSIP_Label_8083ca2a-fa5f-423f-8f80-7e27cbcfb750_Enabled">
    <vt:lpwstr>true</vt:lpwstr>
  </property>
  <property fmtid="{D5CDD505-2E9C-101B-9397-08002B2CF9AE}" pid="5" name="MSIP_Label_8083ca2a-fa5f-423f-8f80-7e27cbcfb750_SetDate">
    <vt:lpwstr>2023-01-19T11:20:37Z</vt:lpwstr>
  </property>
  <property fmtid="{D5CDD505-2E9C-101B-9397-08002B2CF9AE}" pid="6" name="MSIP_Label_8083ca2a-fa5f-423f-8f80-7e27cbcfb750_Method">
    <vt:lpwstr>Privileged</vt:lpwstr>
  </property>
  <property fmtid="{D5CDD505-2E9C-101B-9397-08002B2CF9AE}" pid="7" name="MSIP_Label_8083ca2a-fa5f-423f-8f80-7e27cbcfb750_Name">
    <vt:lpwstr>Internal</vt:lpwstr>
  </property>
  <property fmtid="{D5CDD505-2E9C-101B-9397-08002B2CF9AE}" pid="8" name="MSIP_Label_8083ca2a-fa5f-423f-8f80-7e27cbcfb750_SiteId">
    <vt:lpwstr>927e65b8-7ad7-48db-a3c6-c42a67c100d6</vt:lpwstr>
  </property>
  <property fmtid="{D5CDD505-2E9C-101B-9397-08002B2CF9AE}" pid="9" name="MSIP_Label_8083ca2a-fa5f-423f-8f80-7e27cbcfb750_ActionId">
    <vt:lpwstr>7313ef12-f4db-4b73-b86c-9b5b88600273</vt:lpwstr>
  </property>
  <property fmtid="{D5CDD505-2E9C-101B-9397-08002B2CF9AE}" pid="10" name="MSIP_Label_8083ca2a-fa5f-423f-8f80-7e27cbcfb750_ContentBits">
    <vt:lpwstr>0</vt:lpwstr>
  </property>
</Properties>
</file>