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D:\Finance\Financial Modelling\HUL\"/>
    </mc:Choice>
  </mc:AlternateContent>
  <xr:revisionPtr revIDLastSave="0" documentId="13_ncr:1_{7D8094C5-6718-48FE-B3E6-F314CD3B7E37}" xr6:coauthVersionLast="47" xr6:coauthVersionMax="47" xr10:uidLastSave="{00000000-0000-0000-0000-000000000000}"/>
  <bookViews>
    <workbookView xWindow="-108" yWindow="-108" windowWidth="30936" windowHeight="16776" xr2:uid="{00000000-000D-0000-FFFF-FFFF00000000}"/>
  </bookViews>
  <sheets>
    <sheet name="FSM" sheetId="2" r:id="rId1"/>
    <sheet name="DCF" sheetId="6" r:id="rId2"/>
    <sheet name="Data Sheet" sheetId="4" r:id="rId3"/>
  </sheets>
  <externalReferences>
    <externalReference r:id="rId4"/>
  </externalReferences>
  <definedNames>
    <definedName name="_xlnm._FilterDatabase" localSheetId="0" hidden="1">FSM!$G$141:$G$141</definedName>
  </definedNames>
  <calcPr calcId="181029" calcMode="autoNoTable"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2" i="6" l="1"/>
  <c r="C123" i="6"/>
  <c r="E122" i="6" s="1"/>
  <c r="E123" i="6" s="1"/>
  <c r="C111" i="6"/>
  <c r="D123" i="6"/>
  <c r="C117" i="6"/>
  <c r="C112" i="6"/>
  <c r="B107" i="6"/>
  <c r="E125" i="6" l="1"/>
  <c r="I4" i="6" s="1"/>
  <c r="I39" i="6" l="1"/>
  <c r="H39" i="6"/>
  <c r="G39" i="6"/>
  <c r="F39" i="6"/>
  <c r="L102" i="6" l="1"/>
  <c r="L103" i="6" s="1"/>
  <c r="D102" i="6"/>
  <c r="D103" i="6" s="1"/>
  <c r="L100" i="6"/>
  <c r="L99" i="6" s="1"/>
  <c r="D100" i="6"/>
  <c r="D99" i="6" s="1"/>
  <c r="P98" i="6"/>
  <c r="Q98" i="6" s="1"/>
  <c r="N98" i="6"/>
  <c r="M98" i="6" s="1"/>
  <c r="H98" i="6"/>
  <c r="I98" i="6" s="1"/>
  <c r="F98" i="6"/>
  <c r="E98" i="6" s="1"/>
  <c r="L93" i="6"/>
  <c r="L94" i="6" s="1"/>
  <c r="D93" i="6"/>
  <c r="D94" i="6" s="1"/>
  <c r="L91" i="6"/>
  <c r="L90" i="6" s="1"/>
  <c r="D91" i="6"/>
  <c r="D90" i="6" s="1"/>
  <c r="Q89" i="6"/>
  <c r="P89" i="6"/>
  <c r="N89" i="6"/>
  <c r="M89" i="6" s="1"/>
  <c r="H89" i="6"/>
  <c r="I89" i="6" s="1"/>
  <c r="F89" i="6"/>
  <c r="E89" i="6"/>
  <c r="I60" i="6"/>
  <c r="C66" i="6"/>
  <c r="C61" i="6"/>
  <c r="C64" i="6"/>
  <c r="I64" i="6"/>
  <c r="I63" i="6"/>
  <c r="I62" i="6"/>
  <c r="D28" i="6"/>
  <c r="D26" i="6"/>
  <c r="F23" i="6"/>
  <c r="G23" i="6"/>
  <c r="H23" i="6"/>
  <c r="I23" i="6"/>
  <c r="E23" i="6"/>
  <c r="F18" i="6"/>
  <c r="G18" i="6"/>
  <c r="H18" i="6"/>
  <c r="I18" i="6"/>
  <c r="E18" i="6"/>
  <c r="D23" i="6"/>
  <c r="D19" i="6"/>
  <c r="D17" i="6"/>
  <c r="D15" i="6"/>
  <c r="C33" i="6"/>
  <c r="D33" i="6"/>
  <c r="C69" i="6" l="1"/>
  <c r="C74" i="6" s="1"/>
  <c r="D27" i="6"/>
  <c r="I65" i="6"/>
  <c r="C76" i="6" s="1"/>
  <c r="D76" i="6" s="1"/>
  <c r="D29" i="6"/>
  <c r="D34" i="6"/>
  <c r="D74" i="6" l="1"/>
  <c r="D20" i="6" l="1"/>
  <c r="D18" i="6"/>
  <c r="D22" i="6"/>
  <c r="D24" i="6" s="1"/>
  <c r="D13" i="6"/>
  <c r="D12" i="6" s="1"/>
  <c r="D7" i="6"/>
  <c r="D39" i="6" s="1"/>
  <c r="B3" i="6"/>
  <c r="D8" i="6" l="1"/>
  <c r="B36" i="6"/>
  <c r="E13" i="6"/>
  <c r="E39" i="6" s="1"/>
  <c r="C40" i="6" l="1"/>
  <c r="E12" i="6"/>
  <c r="F13" i="6"/>
  <c r="G13" i="6" l="1"/>
  <c r="F12" i="6"/>
  <c r="H13" i="6" l="1"/>
  <c r="G12" i="6"/>
  <c r="I13" i="6" l="1"/>
  <c r="H12" i="6"/>
  <c r="E47" i="6" l="1"/>
  <c r="B47" i="6"/>
  <c r="B46" i="6"/>
  <c r="I12" i="6"/>
  <c r="F173" i="2"/>
  <c r="G172" i="2"/>
  <c r="H172" i="2"/>
  <c r="I172" i="2"/>
  <c r="J172" i="2"/>
  <c r="K172" i="2"/>
  <c r="H171" i="2"/>
  <c r="I171" i="2"/>
  <c r="J171" i="2"/>
  <c r="K171" i="2"/>
  <c r="G171" i="2"/>
  <c r="H188" i="2"/>
  <c r="I188" i="2"/>
  <c r="J188" i="2"/>
  <c r="K188" i="2"/>
  <c r="G188" i="2"/>
  <c r="H186" i="2"/>
  <c r="I186" i="2"/>
  <c r="J186" i="2"/>
  <c r="K186" i="2"/>
  <c r="G186" i="2"/>
  <c r="H182" i="2"/>
  <c r="I182" i="2"/>
  <c r="J182" i="2"/>
  <c r="K182" i="2"/>
  <c r="H184" i="2"/>
  <c r="I184" i="2"/>
  <c r="J184" i="2"/>
  <c r="K184" i="2"/>
  <c r="G184" i="2"/>
  <c r="G182" i="2"/>
  <c r="H180" i="2"/>
  <c r="I180" i="2"/>
  <c r="J180" i="2"/>
  <c r="K180" i="2"/>
  <c r="G180" i="2"/>
  <c r="H178" i="2"/>
  <c r="I178" i="2"/>
  <c r="J178" i="2"/>
  <c r="K178" i="2"/>
  <c r="G178" i="2"/>
  <c r="D171" i="2"/>
  <c r="H174" i="2" s="1"/>
  <c r="H33" i="2" s="1"/>
  <c r="D144" i="2"/>
  <c r="G123" i="2"/>
  <c r="H123" i="2" s="1"/>
  <c r="I123" i="2" s="1"/>
  <c r="J123" i="2" s="1"/>
  <c r="K123" i="2" s="1"/>
  <c r="G120" i="2"/>
  <c r="H120" i="2" s="1"/>
  <c r="I120" i="2" s="1"/>
  <c r="J120" i="2" s="1"/>
  <c r="K120" i="2" s="1"/>
  <c r="E113" i="2"/>
  <c r="F113" i="2"/>
  <c r="G110" i="2" s="1"/>
  <c r="D113" i="2"/>
  <c r="G60" i="2"/>
  <c r="H60" i="2" s="1"/>
  <c r="I60" i="2" s="1"/>
  <c r="J60" i="2" s="1"/>
  <c r="K60" i="2" s="1"/>
  <c r="E106" i="2"/>
  <c r="F106" i="2"/>
  <c r="G103" i="2" s="1"/>
  <c r="D106" i="2"/>
  <c r="E93" i="2"/>
  <c r="F93" i="2"/>
  <c r="G93" i="2" s="1"/>
  <c r="D93" i="2"/>
  <c r="E91" i="2"/>
  <c r="F88" i="2" s="1"/>
  <c r="F91" i="2"/>
  <c r="G88" i="2" s="1"/>
  <c r="D91" i="2"/>
  <c r="E88" i="2" s="1"/>
  <c r="F175" i="2" l="1"/>
  <c r="H173" i="2"/>
  <c r="H32" i="2" s="1"/>
  <c r="J175" i="2"/>
  <c r="J35" i="2" s="1"/>
  <c r="J173" i="2"/>
  <c r="J32" i="2" s="1"/>
  <c r="K174" i="2"/>
  <c r="K33" i="2" s="1"/>
  <c r="G174" i="2"/>
  <c r="G33" i="2" s="1"/>
  <c r="I175" i="2"/>
  <c r="I35" i="2" s="1"/>
  <c r="G173" i="2"/>
  <c r="H175" i="2"/>
  <c r="H35" i="2" s="1"/>
  <c r="K173" i="2"/>
  <c r="K32" i="2" s="1"/>
  <c r="G175" i="2"/>
  <c r="G35" i="2" s="1"/>
  <c r="I173" i="2"/>
  <c r="I32" i="2" s="1"/>
  <c r="J174" i="2"/>
  <c r="J33" i="2" s="1"/>
  <c r="I174" i="2"/>
  <c r="I33" i="2" s="1"/>
  <c r="F174" i="2"/>
  <c r="K175" i="2"/>
  <c r="K35" i="2" s="1"/>
  <c r="H93" i="2"/>
  <c r="I93" i="2" s="1"/>
  <c r="J93" i="2" s="1"/>
  <c r="K93" i="2" s="1"/>
  <c r="J143" i="2" l="1"/>
  <c r="H16" i="6"/>
  <c r="I143" i="2"/>
  <c r="G16" i="6"/>
  <c r="K143" i="2"/>
  <c r="I16" i="6"/>
  <c r="H143" i="2"/>
  <c r="F16" i="6"/>
  <c r="G32" i="2"/>
  <c r="E16" i="6" s="1"/>
  <c r="E15" i="6" l="1"/>
  <c r="E17" i="6" s="1"/>
  <c r="G89" i="2"/>
  <c r="G54" i="2"/>
  <c r="H54" i="2" s="1"/>
  <c r="I54" i="2" s="1"/>
  <c r="J54" i="2" s="1"/>
  <c r="K54" i="2" s="1"/>
  <c r="G53" i="2"/>
  <c r="G52" i="2"/>
  <c r="H52" i="2" s="1"/>
  <c r="I52" i="2" s="1"/>
  <c r="J52" i="2" s="1"/>
  <c r="K52" i="2" s="1"/>
  <c r="G51" i="2"/>
  <c r="H51" i="2" s="1"/>
  <c r="I51" i="2" s="1"/>
  <c r="J51" i="2" s="1"/>
  <c r="K51" i="2" s="1"/>
  <c r="G143" i="2"/>
  <c r="G47" i="2"/>
  <c r="G44" i="2"/>
  <c r="H44" i="2" s="1"/>
  <c r="I44" i="2" s="1"/>
  <c r="J44" i="2" s="1"/>
  <c r="K44" i="2" s="1"/>
  <c r="G43" i="2"/>
  <c r="H43" i="2" s="1"/>
  <c r="I43" i="2" s="1"/>
  <c r="J43" i="2" s="1"/>
  <c r="K43" i="2" s="1"/>
  <c r="G14" i="2"/>
  <c r="H14" i="2" s="1"/>
  <c r="I14" i="2" s="1"/>
  <c r="J14" i="2" s="1"/>
  <c r="K14" i="2" s="1"/>
  <c r="F15" i="6" l="1"/>
  <c r="F33" i="6" s="1"/>
  <c r="E33" i="6"/>
  <c r="H47" i="2"/>
  <c r="G106" i="2"/>
  <c r="H103" i="2" s="1"/>
  <c r="H53" i="2"/>
  <c r="G79" i="2"/>
  <c r="G73" i="2"/>
  <c r="H89" i="2"/>
  <c r="G76" i="2"/>
  <c r="G77" i="2" s="1"/>
  <c r="G90" i="2"/>
  <c r="G91" i="2" s="1"/>
  <c r="F17" i="6" l="1"/>
  <c r="G15" i="6"/>
  <c r="G33" i="6" s="1"/>
  <c r="H88" i="2"/>
  <c r="G45" i="2"/>
  <c r="H76" i="2"/>
  <c r="H77" i="2" s="1"/>
  <c r="I89" i="2"/>
  <c r="H90" i="2"/>
  <c r="H79" i="2"/>
  <c r="I53" i="2"/>
  <c r="H73" i="2"/>
  <c r="I47" i="2"/>
  <c r="H106" i="2"/>
  <c r="I103" i="2" s="1"/>
  <c r="G17" i="6" l="1"/>
  <c r="H15" i="6"/>
  <c r="H33" i="6" s="1"/>
  <c r="E28" i="6"/>
  <c r="E29" i="6" s="1"/>
  <c r="H91" i="2"/>
  <c r="I88" i="2" s="1"/>
  <c r="J47" i="2"/>
  <c r="I106" i="2"/>
  <c r="J103" i="2" s="1"/>
  <c r="I79" i="2"/>
  <c r="J53" i="2"/>
  <c r="I73" i="2"/>
  <c r="J89" i="2"/>
  <c r="I76" i="2"/>
  <c r="I77" i="2" s="1"/>
  <c r="I90" i="2"/>
  <c r="F25" i="2"/>
  <c r="G28" i="2"/>
  <c r="I15" i="6" l="1"/>
  <c r="I17" i="6" s="1"/>
  <c r="I45" i="6" s="1"/>
  <c r="I47" i="6" s="1"/>
  <c r="I48" i="6" s="1"/>
  <c r="H17" i="6"/>
  <c r="I91" i="2"/>
  <c r="I45" i="2" s="1"/>
  <c r="H45" i="2"/>
  <c r="K47" i="2"/>
  <c r="K106" i="2" s="1"/>
  <c r="J106" i="2"/>
  <c r="K103" i="2" s="1"/>
  <c r="J79" i="2"/>
  <c r="J73" i="2"/>
  <c r="K53" i="2"/>
  <c r="J76" i="2"/>
  <c r="J77" i="2" s="1"/>
  <c r="J90" i="2"/>
  <c r="K89" i="2"/>
  <c r="H28" i="2"/>
  <c r="G69" i="2"/>
  <c r="I33" i="6" l="1"/>
  <c r="F28" i="6"/>
  <c r="F29" i="6" s="1"/>
  <c r="G28" i="6"/>
  <c r="G29" i="6" s="1"/>
  <c r="J88" i="2"/>
  <c r="J91" i="2" s="1"/>
  <c r="K73" i="2"/>
  <c r="K79" i="2"/>
  <c r="K90" i="2"/>
  <c r="K76" i="2"/>
  <c r="K77" i="2" s="1"/>
  <c r="I28" i="2"/>
  <c r="H69" i="2"/>
  <c r="K88" i="2" l="1"/>
  <c r="K91" i="2" s="1"/>
  <c r="K45" i="2" s="1"/>
  <c r="J45" i="2"/>
  <c r="J28" i="2"/>
  <c r="I69" i="2"/>
  <c r="B2" i="2"/>
  <c r="F11" i="2"/>
  <c r="E11" i="2" s="1"/>
  <c r="F10" i="2"/>
  <c r="E10" i="2" s="1"/>
  <c r="D10" i="2" s="1"/>
  <c r="D14" i="2"/>
  <c r="E14" i="2"/>
  <c r="F14" i="2"/>
  <c r="D15" i="2"/>
  <c r="E15" i="2"/>
  <c r="F15" i="2"/>
  <c r="D18" i="2"/>
  <c r="E18" i="2"/>
  <c r="F18" i="2"/>
  <c r="D20" i="2"/>
  <c r="E20" i="2"/>
  <c r="F20" i="2"/>
  <c r="D22" i="2"/>
  <c r="E22" i="2"/>
  <c r="F22" i="2"/>
  <c r="D23" i="2"/>
  <c r="E23" i="2"/>
  <c r="F23" i="2"/>
  <c r="G23" i="2" s="1"/>
  <c r="H23" i="2" s="1"/>
  <c r="I23" i="2" s="1"/>
  <c r="J23" i="2" s="1"/>
  <c r="K23" i="2" s="1"/>
  <c r="D25" i="2"/>
  <c r="E25" i="2"/>
  <c r="D41" i="2"/>
  <c r="D137" i="2" s="1"/>
  <c r="E41" i="2"/>
  <c r="E137" i="2" s="1"/>
  <c r="F41" i="2"/>
  <c r="F137" i="2" s="1"/>
  <c r="D42" i="2"/>
  <c r="D150" i="2" s="1"/>
  <c r="E154" i="2" s="1"/>
  <c r="E42" i="2"/>
  <c r="E150" i="2" s="1"/>
  <c r="F42" i="2"/>
  <c r="F150" i="2" s="1"/>
  <c r="G148" i="2" s="1"/>
  <c r="D40" i="2"/>
  <c r="E40" i="2"/>
  <c r="F40" i="2"/>
  <c r="D46" i="2"/>
  <c r="E46" i="2"/>
  <c r="F46" i="2"/>
  <c r="D57" i="2"/>
  <c r="E57" i="2"/>
  <c r="F57" i="2"/>
  <c r="G57" i="2" s="1"/>
  <c r="H28" i="6" l="1"/>
  <c r="H29" i="6" s="1"/>
  <c r="I28" i="6"/>
  <c r="I29" i="6" s="1"/>
  <c r="F159" i="2"/>
  <c r="F160" i="2"/>
  <c r="F163" i="2"/>
  <c r="F166" i="2"/>
  <c r="F167" i="2"/>
  <c r="E160" i="2"/>
  <c r="E163" i="2"/>
  <c r="E159" i="2"/>
  <c r="E166" i="2"/>
  <c r="E167" i="2"/>
  <c r="F154" i="2"/>
  <c r="F155" i="2"/>
  <c r="E155" i="2"/>
  <c r="E139" i="2"/>
  <c r="E144" i="2" s="1"/>
  <c r="G135" i="2"/>
  <c r="F139" i="2"/>
  <c r="F144" i="2" s="1"/>
  <c r="G22" i="2"/>
  <c r="H22" i="2" s="1"/>
  <c r="E99" i="2"/>
  <c r="E97" i="2"/>
  <c r="E98" i="2" s="1"/>
  <c r="D99" i="2"/>
  <c r="D97" i="2"/>
  <c r="D98" i="2" s="1"/>
  <c r="F97" i="2"/>
  <c r="F98" i="2" s="1"/>
  <c r="G98" i="2" s="1"/>
  <c r="F99" i="2"/>
  <c r="F35" i="2"/>
  <c r="E35" i="2"/>
  <c r="D35" i="2"/>
  <c r="H57" i="2"/>
  <c r="K28" i="2"/>
  <c r="K69" i="2" s="1"/>
  <c r="J69" i="2"/>
  <c r="F32" i="2"/>
  <c r="F143" i="2" s="1"/>
  <c r="G137" i="2"/>
  <c r="E32" i="2"/>
  <c r="E143" i="2" s="1"/>
  <c r="D16" i="2"/>
  <c r="D33" i="2" s="1"/>
  <c r="E55" i="2"/>
  <c r="E48" i="2"/>
  <c r="D48" i="2"/>
  <c r="F48" i="2"/>
  <c r="G11" i="2"/>
  <c r="H11" i="2" s="1"/>
  <c r="I11" i="2" s="1"/>
  <c r="J11" i="2" s="1"/>
  <c r="K11" i="2" s="1"/>
  <c r="G10" i="2"/>
  <c r="H10" i="2" s="1"/>
  <c r="I10" i="2" s="1"/>
  <c r="J10" i="2" s="1"/>
  <c r="K10" i="2" s="1"/>
  <c r="D55" i="2"/>
  <c r="F61" i="2"/>
  <c r="D11" i="2"/>
  <c r="E61" i="2"/>
  <c r="F55" i="2"/>
  <c r="D61" i="2"/>
  <c r="F16" i="2"/>
  <c r="F33" i="2" s="1"/>
  <c r="E16" i="2"/>
  <c r="E33" i="2" s="1"/>
  <c r="E161" i="2" l="1"/>
  <c r="E164" i="2" s="1"/>
  <c r="F161" i="2"/>
  <c r="F164" i="2" s="1"/>
  <c r="H135" i="2"/>
  <c r="G41" i="2"/>
  <c r="G136" i="2"/>
  <c r="G139" i="2"/>
  <c r="I22" i="2"/>
  <c r="J22" i="2" s="1"/>
  <c r="G97" i="2"/>
  <c r="H98" i="2"/>
  <c r="I57" i="2"/>
  <c r="D19" i="2"/>
  <c r="D29" i="2" s="1"/>
  <c r="G16" i="2"/>
  <c r="G15" i="2" s="1"/>
  <c r="G19" i="2"/>
  <c r="D63" i="2"/>
  <c r="F63" i="2"/>
  <c r="E63" i="2"/>
  <c r="F19" i="2"/>
  <c r="E19" i="2"/>
  <c r="G150" i="2" l="1"/>
  <c r="G149" i="2" s="1"/>
  <c r="G159" i="2"/>
  <c r="H137" i="2"/>
  <c r="K22" i="2"/>
  <c r="G99" i="2"/>
  <c r="G104" i="2"/>
  <c r="G105" i="2" s="1"/>
  <c r="G72" i="2" s="1"/>
  <c r="I98" i="2"/>
  <c r="H97" i="2"/>
  <c r="G50" i="2"/>
  <c r="G163" i="2" s="1"/>
  <c r="J57" i="2"/>
  <c r="D36" i="2"/>
  <c r="D21" i="2"/>
  <c r="D24" i="2" s="1"/>
  <c r="D37" i="2" s="1"/>
  <c r="G29" i="2"/>
  <c r="H19" i="2"/>
  <c r="H16" i="2"/>
  <c r="G18" i="2"/>
  <c r="E29" i="2"/>
  <c r="E36" i="2"/>
  <c r="F29" i="2"/>
  <c r="F36" i="2"/>
  <c r="F21" i="2"/>
  <c r="E21" i="2"/>
  <c r="H148" i="2" l="1"/>
  <c r="G42" i="2"/>
  <c r="E27" i="6" s="1"/>
  <c r="H41" i="2"/>
  <c r="H136" i="2"/>
  <c r="I135" i="2"/>
  <c r="I137" i="2" s="1"/>
  <c r="I139" i="2" s="1"/>
  <c r="H139" i="2"/>
  <c r="G20" i="2"/>
  <c r="G21" i="2" s="1"/>
  <c r="G68" i="2"/>
  <c r="H99" i="2"/>
  <c r="H104" i="2"/>
  <c r="H105" i="2" s="1"/>
  <c r="H72" i="2" s="1"/>
  <c r="J98" i="2"/>
  <c r="I97" i="2"/>
  <c r="H18" i="2"/>
  <c r="G71" i="2"/>
  <c r="G55" i="2"/>
  <c r="H15" i="2"/>
  <c r="K57" i="2"/>
  <c r="H29" i="2"/>
  <c r="I19" i="2"/>
  <c r="I16" i="2"/>
  <c r="F24" i="2"/>
  <c r="F37" i="2" s="1"/>
  <c r="D26" i="2"/>
  <c r="E24" i="2"/>
  <c r="E37" i="2" s="1"/>
  <c r="G24" i="2" l="1"/>
  <c r="G25" i="2" s="1"/>
  <c r="E20" i="6"/>
  <c r="E19" i="6" s="1"/>
  <c r="E26" i="6" s="1"/>
  <c r="G160" i="2"/>
  <c r="G161" i="2" s="1"/>
  <c r="G164" i="2" s="1"/>
  <c r="G70" i="2"/>
  <c r="H150" i="2"/>
  <c r="I148" i="2" s="1"/>
  <c r="H159" i="2"/>
  <c r="J135" i="2"/>
  <c r="J137" i="2" s="1"/>
  <c r="J139" i="2" s="1"/>
  <c r="I41" i="2"/>
  <c r="I136" i="2"/>
  <c r="D111" i="2"/>
  <c r="D115" i="2" s="1"/>
  <c r="D119" i="2"/>
  <c r="H20" i="2"/>
  <c r="H21" i="2" s="1"/>
  <c r="H68" i="2"/>
  <c r="I99" i="2"/>
  <c r="I104" i="2"/>
  <c r="I105" i="2" s="1"/>
  <c r="I72" i="2" s="1"/>
  <c r="K98" i="2"/>
  <c r="J97" i="2"/>
  <c r="I18" i="2"/>
  <c r="H50" i="2"/>
  <c r="H163" i="2" s="1"/>
  <c r="I15" i="2"/>
  <c r="I29" i="2"/>
  <c r="J19" i="2"/>
  <c r="J16" i="2"/>
  <c r="J15" i="2" s="1"/>
  <c r="F26" i="2"/>
  <c r="E26" i="2"/>
  <c r="E22" i="6" l="1"/>
  <c r="E24" i="6" s="1"/>
  <c r="E31" i="6" s="1"/>
  <c r="E40" i="6" s="1"/>
  <c r="E41" i="6" s="1"/>
  <c r="H24" i="2"/>
  <c r="F20" i="6"/>
  <c r="F19" i="6" s="1"/>
  <c r="F26" i="6" s="1"/>
  <c r="H149" i="2"/>
  <c r="H42" i="2"/>
  <c r="I159" i="2"/>
  <c r="I150" i="2"/>
  <c r="K135" i="2"/>
  <c r="K137" i="2" s="1"/>
  <c r="K139" i="2" s="1"/>
  <c r="J41" i="2"/>
  <c r="J136" i="2"/>
  <c r="E111" i="2"/>
  <c r="E115" i="2" s="1"/>
  <c r="E119" i="2"/>
  <c r="F111" i="2"/>
  <c r="F115" i="2" s="1"/>
  <c r="F119" i="2"/>
  <c r="D124" i="2"/>
  <c r="D121" i="2"/>
  <c r="I20" i="2"/>
  <c r="I21" i="2" s="1"/>
  <c r="I68" i="2"/>
  <c r="J99" i="2"/>
  <c r="J104" i="2"/>
  <c r="J105" i="2" s="1"/>
  <c r="J72" i="2" s="1"/>
  <c r="K97" i="2"/>
  <c r="I50" i="2"/>
  <c r="I163" i="2" s="1"/>
  <c r="H71" i="2"/>
  <c r="H55" i="2"/>
  <c r="J18" i="2"/>
  <c r="J29" i="2"/>
  <c r="K16" i="2"/>
  <c r="K15" i="2" s="1"/>
  <c r="K19" i="2"/>
  <c r="H70" i="2" l="1"/>
  <c r="F27" i="6"/>
  <c r="J159" i="2"/>
  <c r="F22" i="6"/>
  <c r="F24" i="6" s="1"/>
  <c r="I24" i="2"/>
  <c r="I25" i="2" s="1"/>
  <c r="I26" i="2" s="1"/>
  <c r="I119" i="2" s="1"/>
  <c r="G20" i="6"/>
  <c r="G19" i="6" s="1"/>
  <c r="G26" i="6" s="1"/>
  <c r="H160" i="2"/>
  <c r="H161" i="2" s="1"/>
  <c r="H164" i="2" s="1"/>
  <c r="I149" i="2"/>
  <c r="I42" i="2"/>
  <c r="J148" i="2"/>
  <c r="J150" i="2" s="1"/>
  <c r="K136" i="2"/>
  <c r="K41" i="2"/>
  <c r="F124" i="2"/>
  <c r="F121" i="2"/>
  <c r="G115" i="2"/>
  <c r="E124" i="2"/>
  <c r="E121" i="2"/>
  <c r="J20" i="2"/>
  <c r="J21" i="2" s="1"/>
  <c r="J68" i="2"/>
  <c r="K99" i="2"/>
  <c r="K104" i="2"/>
  <c r="K105" i="2" s="1"/>
  <c r="K72" i="2" s="1"/>
  <c r="J50" i="2"/>
  <c r="J163" i="2" s="1"/>
  <c r="I71" i="2"/>
  <c r="I55" i="2"/>
  <c r="K18" i="2"/>
  <c r="K29" i="2"/>
  <c r="G26" i="2"/>
  <c r="G119" i="2" s="1"/>
  <c r="H25" i="2"/>
  <c r="H26" i="2" s="1"/>
  <c r="H119" i="2" s="1"/>
  <c r="F31" i="6" l="1"/>
  <c r="F40" i="6" s="1"/>
  <c r="F41" i="6" s="1"/>
  <c r="G27" i="6"/>
  <c r="K159" i="2"/>
  <c r="G22" i="6"/>
  <c r="G24" i="6" s="1"/>
  <c r="J24" i="2"/>
  <c r="J25" i="2" s="1"/>
  <c r="J26" i="2" s="1"/>
  <c r="J119" i="2" s="1"/>
  <c r="J121" i="2" s="1"/>
  <c r="H20" i="6"/>
  <c r="H19" i="6" s="1"/>
  <c r="H26" i="6" s="1"/>
  <c r="I70" i="2"/>
  <c r="I160" i="2"/>
  <c r="I161" i="2" s="1"/>
  <c r="I164" i="2" s="1"/>
  <c r="J149" i="2"/>
  <c r="J42" i="2"/>
  <c r="H27" i="6" s="1"/>
  <c r="K148" i="2"/>
  <c r="K150" i="2" s="1"/>
  <c r="H129" i="2"/>
  <c r="H124" i="2"/>
  <c r="H121" i="2"/>
  <c r="G124" i="2"/>
  <c r="G121" i="2"/>
  <c r="G129" i="2"/>
  <c r="G128" i="2" s="1"/>
  <c r="I129" i="2"/>
  <c r="I124" i="2"/>
  <c r="I121" i="2"/>
  <c r="H115" i="2"/>
  <c r="I115" i="2" s="1"/>
  <c r="G67" i="2"/>
  <c r="G74" i="2" s="1"/>
  <c r="G111" i="2"/>
  <c r="I67" i="2"/>
  <c r="I111" i="2"/>
  <c r="H67" i="2"/>
  <c r="H74" i="2" s="1"/>
  <c r="H111" i="2"/>
  <c r="K20" i="2"/>
  <c r="K21" i="2" s="1"/>
  <c r="K68" i="2"/>
  <c r="K50" i="2"/>
  <c r="K163" i="2" s="1"/>
  <c r="J71" i="2"/>
  <c r="J55" i="2"/>
  <c r="G31" i="6" l="1"/>
  <c r="G40" i="6" s="1"/>
  <c r="G41" i="6" s="1"/>
  <c r="H22" i="6"/>
  <c r="H24" i="6" s="1"/>
  <c r="H31" i="6" s="1"/>
  <c r="H40" i="6" s="1"/>
  <c r="H41" i="6" s="1"/>
  <c r="J111" i="2"/>
  <c r="J67" i="2"/>
  <c r="J124" i="2"/>
  <c r="J129" i="2"/>
  <c r="K24" i="2"/>
  <c r="K25" i="2" s="1"/>
  <c r="K26" i="2" s="1"/>
  <c r="K119" i="2" s="1"/>
  <c r="K129" i="2" s="1"/>
  <c r="I20" i="6"/>
  <c r="I19" i="6" s="1"/>
  <c r="I26" i="6" s="1"/>
  <c r="I74" i="2"/>
  <c r="J70" i="2"/>
  <c r="J160" i="2"/>
  <c r="J161" i="2" s="1"/>
  <c r="J164" i="2" s="1"/>
  <c r="K149" i="2"/>
  <c r="K42" i="2"/>
  <c r="H112" i="2"/>
  <c r="H80" i="2" s="1"/>
  <c r="H81" i="2" s="1"/>
  <c r="H83" i="2" s="1"/>
  <c r="J115" i="2"/>
  <c r="K115" i="2" s="1"/>
  <c r="H128" i="2"/>
  <c r="I128" i="2" s="1"/>
  <c r="I112" i="2"/>
  <c r="I80" i="2" s="1"/>
  <c r="I81" i="2" s="1"/>
  <c r="G112" i="2"/>
  <c r="K71" i="2"/>
  <c r="K55" i="2"/>
  <c r="J128" i="2" l="1"/>
  <c r="K128" i="2" s="1"/>
  <c r="K70" i="2"/>
  <c r="I27" i="6"/>
  <c r="J74" i="2"/>
  <c r="I22" i="6"/>
  <c r="I24" i="6" s="1"/>
  <c r="K67" i="2"/>
  <c r="K124" i="2"/>
  <c r="K121" i="2"/>
  <c r="K111" i="2"/>
  <c r="K112" i="2" s="1"/>
  <c r="K80" i="2" s="1"/>
  <c r="K81" i="2" s="1"/>
  <c r="I83" i="2"/>
  <c r="K160" i="2"/>
  <c r="K161" i="2" s="1"/>
  <c r="K164" i="2" s="1"/>
  <c r="G113" i="2"/>
  <c r="H110" i="2" s="1"/>
  <c r="H113" i="2" s="1"/>
  <c r="G80" i="2"/>
  <c r="G81" i="2" s="1"/>
  <c r="G83" i="2" s="1"/>
  <c r="G40" i="2" s="1"/>
  <c r="J112" i="2"/>
  <c r="J80" i="2" s="1"/>
  <c r="J81" i="2" s="1"/>
  <c r="I31" i="6" l="1"/>
  <c r="K74" i="2"/>
  <c r="K83" i="2" s="1"/>
  <c r="J83" i="2"/>
  <c r="G59" i="2"/>
  <c r="G61" i="2" s="1"/>
  <c r="G167" i="2"/>
  <c r="G166" i="2"/>
  <c r="G48" i="2"/>
  <c r="H40" i="2"/>
  <c r="I110" i="2"/>
  <c r="I113" i="2" s="1"/>
  <c r="H59" i="2"/>
  <c r="H61" i="2" s="1"/>
  <c r="I40" i="6" l="1"/>
  <c r="C46" i="6"/>
  <c r="C47" i="6" s="1"/>
  <c r="C54" i="6" s="1"/>
  <c r="G63" i="2"/>
  <c r="H167" i="2"/>
  <c r="H166" i="2"/>
  <c r="H48" i="2"/>
  <c r="H63" i="2" s="1"/>
  <c r="I40" i="2"/>
  <c r="J110" i="2"/>
  <c r="J113" i="2" s="1"/>
  <c r="I59" i="2"/>
  <c r="I61" i="2" s="1"/>
  <c r="I41" i="6" l="1"/>
  <c r="C49" i="6" s="1"/>
  <c r="I54" i="6"/>
  <c r="C48" i="6"/>
  <c r="I166" i="2"/>
  <c r="I167" i="2"/>
  <c r="I48" i="2"/>
  <c r="I63" i="2" s="1"/>
  <c r="J40" i="2"/>
  <c r="K110" i="2"/>
  <c r="K113" i="2" s="1"/>
  <c r="K59" i="2" s="1"/>
  <c r="K61" i="2" s="1"/>
  <c r="J59" i="2"/>
  <c r="J61" i="2" s="1"/>
  <c r="I49" i="6" l="1"/>
  <c r="I50" i="6" s="1"/>
  <c r="D83" i="6" s="1"/>
  <c r="C50" i="6"/>
  <c r="J166" i="2"/>
  <c r="J167" i="2"/>
  <c r="J48" i="2"/>
  <c r="J63" i="2" s="1"/>
  <c r="K40" i="2"/>
  <c r="C82" i="6" l="1"/>
  <c r="L89" i="6" s="1"/>
  <c r="C83" i="6"/>
  <c r="D82" i="6"/>
  <c r="L98" i="6" s="1"/>
  <c r="D81" i="6"/>
  <c r="C73" i="6"/>
  <c r="C75" i="6" s="1"/>
  <c r="C81" i="6"/>
  <c r="I52" i="6"/>
  <c r="D73" i="6"/>
  <c r="I53" i="6"/>
  <c r="C52" i="6"/>
  <c r="C53" i="6"/>
  <c r="K48" i="2"/>
  <c r="K63" i="2" s="1"/>
  <c r="K167" i="2"/>
  <c r="K166" i="2"/>
  <c r="C77" i="6" l="1"/>
  <c r="D89" i="6" s="1"/>
  <c r="D75" i="6"/>
  <c r="D77" i="6" l="1"/>
  <c r="D98"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M93" authorId="0" shapeId="0" xr:uid="{D0F728BD-9F78-4DC8-9FA2-8B4089F621FC}">
      <text>
        <r>
          <rPr>
            <sz val="9"/>
            <color indexed="81"/>
            <rFont val="Tahoma"/>
            <family val="2"/>
          </rPr>
          <t>WSP estimate</t>
        </r>
      </text>
    </comment>
    <comment ref="B112" authorId="0" shapeId="0" xr:uid="{BF13D980-E19D-4409-95BC-29BA5FE1E697}">
      <text>
        <r>
          <rPr>
            <sz val="9"/>
            <color indexed="81"/>
            <rFont val="Tahoma"/>
            <family val="2"/>
          </rPr>
          <t>Statement of shareholders equity schedule, p.41 Apple 2018 10K</t>
        </r>
      </text>
    </comment>
    <comment ref="B123" authorId="0" shapeId="0" xr:uid="{EFD30663-E80D-4C1F-B7EC-41D03F571081}">
      <text>
        <r>
          <rPr>
            <sz val="9"/>
            <color indexed="81"/>
            <rFont val="Tahoma"/>
            <family val="2"/>
          </rPr>
          <t>We straight line last actual year's dilutive securities (calculated as diluted - basic shares) and add this number to the basic share count to arrive at diluted shares</t>
        </r>
      </text>
    </comment>
    <comment ref="B127" authorId="0" shapeId="0" xr:uid="{56F708FE-45C1-42BD-8F75-822A5B67F103}">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B154" authorId="0" shapeId="0" xr:uid="{E6406CF5-D312-44C6-B12E-FBA55A19CFAD}">
      <text>
        <r>
          <rPr>
            <b/>
            <sz val="9"/>
            <color indexed="81"/>
            <rFont val="Tahoma"/>
            <family val="2"/>
          </rPr>
          <t>Matan Feldman:</t>
        </r>
        <r>
          <rPr>
            <sz val="9"/>
            <color indexed="81"/>
            <rFont val="Tahoma"/>
            <family val="2"/>
          </rPr>
          <t xml:space="preserve">
This ties the growth in inventory to the growth in cost of sales expenses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B24" authorId="0" shapeId="0" xr:uid="{EA14015D-C0A8-4E37-863A-E5F8560045AD}">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40" authorId="0" shapeId="0" xr:uid="{B0EF78BD-279B-46B2-9D01-D3799958033F}">
      <text>
        <r>
          <rPr>
            <b/>
            <sz val="9"/>
            <color indexed="81"/>
            <rFont val="Tahoma"/>
            <family val="2"/>
          </rPr>
          <t>Matan Feldman:</t>
        </r>
        <r>
          <rPr>
            <sz val="9"/>
            <color indexed="81"/>
            <rFont val="Tahoma"/>
            <family val="2"/>
          </rPr>
          <t xml:space="preserve">
Stub year adjusted</t>
        </r>
      </text>
    </comment>
    <comment ref="I54" authorId="1" shapeId="0" xr:uid="{FB732645-7E0B-49EE-A0DE-B657148F673A}">
      <text>
        <r>
          <rPr>
            <b/>
            <sz val="9"/>
            <color indexed="81"/>
            <rFont val="Tahoma"/>
            <family val="2"/>
          </rPr>
          <t>Wall Street Prep:</t>
        </r>
        <r>
          <rPr>
            <sz val="9"/>
            <color indexed="81"/>
            <rFont val="Tahoma"/>
            <family val="2"/>
          </rPr>
          <t xml:space="preserve">
Implied g = [r -FCF(t)/TV]/(1+FCF(t)/TV)
</t>
        </r>
      </text>
    </comment>
    <comment ref="I61" authorId="0" shapeId="0" xr:uid="{A3819B45-B0C5-4A2F-ACFC-963825826CE8}">
      <text>
        <r>
          <rPr>
            <b/>
            <sz val="9"/>
            <color indexed="81"/>
            <rFont val="Tahoma"/>
            <family val="2"/>
          </rPr>
          <t>Matan Feldman:</t>
        </r>
        <r>
          <rPr>
            <sz val="9"/>
            <color indexed="81"/>
            <rFont val="Tahoma"/>
            <family val="2"/>
          </rPr>
          <t xml:space="preserve">
Source: Q1 2020 10Q p.19 </t>
        </r>
      </text>
    </comment>
    <comment ref="B66" authorId="0" shapeId="0" xr:uid="{08E16AE5-8A7B-45A3-AECB-1DD835449093}">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 ref="C122" authorId="0" shapeId="0" xr:uid="{F3AFFCC0-5E26-4ABD-B601-12AB58ACDF23}">
      <text>
        <r>
          <rPr>
            <b/>
            <sz val="9"/>
            <color indexed="81"/>
            <rFont val="Tahoma"/>
            <family val="2"/>
          </rPr>
          <t>Matan Feldman:</t>
        </r>
        <r>
          <rPr>
            <sz val="9"/>
            <color indexed="81"/>
            <rFont val="Tahoma"/>
            <family val="2"/>
          </rPr>
          <t xml:space="preserve">
Equity was $1,223,044.7 in the video because we ignored the illusrative converts and options (in case you're wondering why your numbers aren't footing with the video)</t>
        </r>
      </text>
    </comment>
  </commentList>
</comments>
</file>

<file path=xl/sharedStrings.xml><?xml version="1.0" encoding="utf-8"?>
<sst xmlns="http://schemas.openxmlformats.org/spreadsheetml/2006/main" count="440" uniqueCount="315">
  <si>
    <t>COMPANY NAME</t>
  </si>
  <si>
    <t>HINDUSTAN UNILEVER LTD</t>
  </si>
  <si>
    <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</si>
  <si>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</si>
  <si>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</si>
  <si>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</si>
  <si>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</si>
  <si>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</si>
  <si>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</si>
  <si>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</si>
  <si>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</si>
  <si>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</si>
  <si>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</si>
  <si>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</si>
  <si>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</si>
  <si>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</si>
  <si>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</si>
  <si>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</si>
  <si>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</si>
  <si>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</si>
  <si>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</si>
  <si>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</si>
  <si>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</si>
  <si>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</si>
  <si>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</si>
  <si>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</si>
  <si>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</si>
  <si>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</si>
  <si>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</si>
  <si>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</si>
  <si>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</si>
  <si>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</si>
  <si>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</si>
  <si>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</si>
  <si>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</si>
  <si>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</si>
  <si>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</si>
  <si>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</si>
  <si>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</si>
  <si>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</si>
  <si>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</si>
  <si>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</si>
  <si>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</si>
  <si>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</si>
  <si>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</si>
  <si>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</si>
  <si>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</si>
  <si>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</si>
  <si>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</si>
  <si>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</si>
  <si>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</si>
  <si>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</si>
  <si>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</si>
  <si>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</si>
  <si>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</si>
  <si>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t>
  </si>
  <si>
    <t>Income Statement</t>
  </si>
  <si>
    <t>COGS</t>
  </si>
  <si>
    <t>Gross Profit</t>
  </si>
  <si>
    <t>SG&amp;A Expenses</t>
  </si>
  <si>
    <t>EBITDA</t>
  </si>
  <si>
    <t>EBIT</t>
  </si>
  <si>
    <t>Net Profit</t>
  </si>
  <si>
    <t>Earnigns Before Tax</t>
  </si>
  <si>
    <t>Balance Sheet</t>
  </si>
  <si>
    <t>Total Assets</t>
  </si>
  <si>
    <t xml:space="preserve"> Total Liabilities</t>
  </si>
  <si>
    <t xml:space="preserve"> Total Equity</t>
  </si>
  <si>
    <t>Balance Check</t>
  </si>
  <si>
    <t>Cash Flow Statement</t>
  </si>
  <si>
    <t>$ in crores except per share</t>
  </si>
  <si>
    <t>Company Name</t>
  </si>
  <si>
    <t>Ticker</t>
  </si>
  <si>
    <t xml:space="preserve"> HINDUNILVR</t>
  </si>
  <si>
    <t>Circ break 1=off, 0=on</t>
  </si>
  <si>
    <t>Latest closing share price</t>
  </si>
  <si>
    <t>Latest closing share price date</t>
  </si>
  <si>
    <t>Latest fiscal year end date</t>
  </si>
  <si>
    <t>Fiscal year</t>
  </si>
  <si>
    <t>Fiscal year end date</t>
  </si>
  <si>
    <t>Net income</t>
  </si>
  <si>
    <t>Depreciation and amortization</t>
  </si>
  <si>
    <t>Stock based compensation</t>
  </si>
  <si>
    <t>Decreases / (Increases) in working capital assets</t>
  </si>
  <si>
    <t>Increases / (Decreases) in working capital liabilities</t>
  </si>
  <si>
    <t>Other non current assets</t>
  </si>
  <si>
    <t>Other non current liabilities</t>
  </si>
  <si>
    <t>Cash from operating activities</t>
  </si>
  <si>
    <t>Capital expenditures</t>
  </si>
  <si>
    <t>Cash from investing activities</t>
  </si>
  <si>
    <t>Long term debt</t>
  </si>
  <si>
    <t>Common dividends</t>
  </si>
  <si>
    <t>Cash from financing activities</t>
  </si>
  <si>
    <t>Net change in cash during period</t>
  </si>
  <si>
    <t>Depriciation &amp; Amortization</t>
  </si>
  <si>
    <t>Adjusted EBITDA</t>
  </si>
  <si>
    <t>Growth rates &amp; margins</t>
  </si>
  <si>
    <t>Revenue growth</t>
  </si>
  <si>
    <t>Gross profit margin</t>
  </si>
  <si>
    <t>SG&amp;A % of sales</t>
  </si>
  <si>
    <t>Tax rate</t>
  </si>
  <si>
    <t>R&amp;D% of sales</t>
  </si>
  <si>
    <t>-</t>
  </si>
  <si>
    <t>R&amp;D Expenses</t>
  </si>
  <si>
    <t>Cash &amp; equipments, ST &amp; LT marketable securities</t>
  </si>
  <si>
    <t>Accounts Receivables</t>
  </si>
  <si>
    <t>Inventories</t>
  </si>
  <si>
    <t>EBITDA % of sales</t>
  </si>
  <si>
    <t>Select an operating scenario</t>
  </si>
  <si>
    <t>Grow in-line with cost of sales growth</t>
  </si>
  <si>
    <t>Grow in-line with revenue growth</t>
  </si>
  <si>
    <t>Straight line last historical year</t>
  </si>
  <si>
    <t>Consensus estimates through 2024; straight-line growth rate thereafter</t>
  </si>
  <si>
    <t>Previous year's revenues x (1+revenue growth rate)</t>
  </si>
  <si>
    <t>Plug = Revenue - Gross Profit</t>
  </si>
  <si>
    <t>Revenue x Gross Profit Margin forecast</t>
  </si>
  <si>
    <t>Revenue x R&amp;D % of sales forecast</t>
  </si>
  <si>
    <t>Revenue x SG&amp;A % of sales forecast</t>
  </si>
  <si>
    <t>Gross Profit - R&amp;D - SG&amp;A</t>
  </si>
  <si>
    <t>Pre-tax Profit x Tax Rate forecast</t>
  </si>
  <si>
    <t>EBITDA - Depreciation</t>
  </si>
  <si>
    <t>EBIT + Other Income - Interest</t>
  </si>
  <si>
    <t>EBT - Tax</t>
  </si>
  <si>
    <t>grow SBC in-line with revenue growth</t>
  </si>
  <si>
    <t>EBITDA + Stock-based compensation</t>
  </si>
  <si>
    <t>Shares outstanding (crores)</t>
  </si>
  <si>
    <t>Increase by stock-based compensation forecasted in the I/S section</t>
  </si>
  <si>
    <t>Other Current Assets</t>
  </si>
  <si>
    <t>Other Non-current Assets</t>
  </si>
  <si>
    <t>Non-controlling interests</t>
  </si>
  <si>
    <t>Current Financial Liabilities</t>
  </si>
  <si>
    <t>Other Current Liabilities</t>
  </si>
  <si>
    <t>Non-current Financial Liabilities</t>
  </si>
  <si>
    <t>Other Non-current Liabilities</t>
  </si>
  <si>
    <t>Accounts Payable</t>
  </si>
  <si>
    <t>Beginning of period</t>
  </si>
  <si>
    <t>Plus: Capital expenditures</t>
  </si>
  <si>
    <t>Less: Depreciation</t>
  </si>
  <si>
    <t>End of period</t>
  </si>
  <si>
    <t>D&amp;A related to PP&amp;E as a % of capex</t>
  </si>
  <si>
    <t>IMPUTING TOTAL DEPRECIATION &amp; AMORTIZATION</t>
  </si>
  <si>
    <r>
      <t xml:space="preserve">D&amp;A </t>
    </r>
    <r>
      <rPr>
        <u/>
        <sz val="11"/>
        <color theme="1"/>
        <rFont val="Calibri"/>
        <family val="2"/>
        <scheme val="minor"/>
      </rPr>
      <t>not</t>
    </r>
    <r>
      <rPr>
        <sz val="11"/>
        <color theme="1"/>
        <rFont val="Calibri"/>
        <family val="2"/>
        <scheme val="minor"/>
      </rPr>
      <t xml:space="preserve"> related to PP&amp;E</t>
    </r>
  </si>
  <si>
    <t>as % of revenue</t>
  </si>
  <si>
    <t xml:space="preserve">Depreciation &amp; Amortization - Total </t>
  </si>
  <si>
    <t>OTHER NON-CURRENT ASSETS</t>
  </si>
  <si>
    <t>Less: Amortization of intangible assets</t>
  </si>
  <si>
    <t xml:space="preserve">Plus: Additions </t>
  </si>
  <si>
    <t>Property Plant &amp; Equipment</t>
  </si>
  <si>
    <t xml:space="preserve">BOP = Previous year EOP </t>
  </si>
  <si>
    <t>Capex x 'D&amp;A related to PP&amp;E as a % of capex' ratio (below)</t>
  </si>
  <si>
    <t>BOP + Capex - Depreciation</t>
  </si>
  <si>
    <t>Step</t>
  </si>
  <si>
    <t>Property, Plant &amp; Equipment</t>
  </si>
  <si>
    <t>Reference from PP&amp;E schedule</t>
  </si>
  <si>
    <t>Revenue x 'as % of revenue' assumption</t>
  </si>
  <si>
    <t>D&amp;A from PP&amp;E + D&amp;A not from PP&amp;E</t>
  </si>
  <si>
    <t>Straight line last historical % of revenue</t>
  </si>
  <si>
    <t xml:space="preserve">Assume all D&amp;A not from PP&amp;E is in non-current assets </t>
  </si>
  <si>
    <t>Because we already know the EOP balance, this is a plug: EOP - D&amp;A not from PP&amp;E - BOP</t>
  </si>
  <si>
    <t>Referenced from balance sheet</t>
  </si>
  <si>
    <t>RETAINED EARNINGS</t>
  </si>
  <si>
    <t>Plus: Net income</t>
  </si>
  <si>
    <t>Less: Dividends</t>
  </si>
  <si>
    <t>Reference from income statement</t>
  </si>
  <si>
    <t>BOP + net income - dividends - repurchases</t>
  </si>
  <si>
    <t>Other Equity</t>
  </si>
  <si>
    <t>Retained Earnings</t>
  </si>
  <si>
    <t>Dividend Payout Ratio</t>
  </si>
  <si>
    <t>Last 3 years Trailing Average of Dividend Rayout Ratio</t>
  </si>
  <si>
    <t>Reference from Dividend Payout Ratio</t>
  </si>
  <si>
    <t>Interest Expense</t>
  </si>
  <si>
    <t>Referenced from Retained Earnings schedule</t>
  </si>
  <si>
    <t>Reference from 'net change in cash' line on the cash flow statement</t>
  </si>
  <si>
    <t>Last 3 years Trailing Average of Other Income</t>
  </si>
  <si>
    <t>EARNINGS PER SHARE</t>
  </si>
  <si>
    <t xml:space="preserve">Basic shares </t>
  </si>
  <si>
    <t>Basic EPS</t>
  </si>
  <si>
    <t>Diluted Shares</t>
  </si>
  <si>
    <t>Diluted EPS</t>
  </si>
  <si>
    <t>$ amount of shares repurchased</t>
  </si>
  <si>
    <t>$ amount of new shares issued</t>
  </si>
  <si>
    <t>Average share price</t>
  </si>
  <si>
    <t>Share price increase</t>
  </si>
  <si>
    <t>Last period share price x (1+growth rate)</t>
  </si>
  <si>
    <t>grow with net income growth rate (calculated below)</t>
  </si>
  <si>
    <t>WORKING CAPITAL</t>
  </si>
  <si>
    <t>ACCOUNTS RECEIVABLE</t>
  </si>
  <si>
    <t>Increases / (decreases)</t>
  </si>
  <si>
    <t>Average AR as % of sales</t>
  </si>
  <si>
    <t>Select an A/R forecasting approach (1=grow w rev, 2=explicit DSO)</t>
  </si>
  <si>
    <t>Approach 1: Grow A/R with revenue growth rate</t>
  </si>
  <si>
    <t>Approach 2: Days sales outstanding (DSO) Assumption</t>
  </si>
  <si>
    <t>INVENTORIES</t>
  </si>
  <si>
    <t>Select an inventory forecasting approach:</t>
  </si>
  <si>
    <t>Approach 1: Keep avg. inventory / COGS ratio constant</t>
  </si>
  <si>
    <t>Approach 2: Inventory turnover (using 365 day year)</t>
  </si>
  <si>
    <t>Working capital ratios / Liquidity</t>
  </si>
  <si>
    <t>Trade A/R Days sales outstanding (average)</t>
  </si>
  <si>
    <t>Days inventory outstanding</t>
  </si>
  <si>
    <t>Operating cycle (inc vendor non-trade A/R)</t>
  </si>
  <si>
    <t>Days payable outstanding</t>
  </si>
  <si>
    <t>Net operating cycle (Cash conversion cycle)</t>
  </si>
  <si>
    <t>Current ratio (CA/CL)</t>
  </si>
  <si>
    <t>Quick ratio (Cash + A/R / CL)</t>
  </si>
  <si>
    <t>SCENARIO ANALYSIS</t>
  </si>
  <si>
    <t>Active case:</t>
  </si>
  <si>
    <t>Best case</t>
  </si>
  <si>
    <t>Base case</t>
  </si>
  <si>
    <t>Weak case</t>
  </si>
  <si>
    <t xml:space="preserve">Variance from </t>
  </si>
  <si>
    <t>base case</t>
  </si>
  <si>
    <t>NM</t>
  </si>
  <si>
    <t>Weak Case</t>
  </si>
  <si>
    <t>Discounted Cashflow Valuation</t>
  </si>
  <si>
    <t>Most recent fiscal year end</t>
  </si>
  <si>
    <t>End of first fiscal year</t>
  </si>
  <si>
    <t>Most recent quarter end date</t>
  </si>
  <si>
    <t xml:space="preserve">Valuation date </t>
  </si>
  <si>
    <t>Portion of year 1 cash flows in forecast</t>
  </si>
  <si>
    <t>Discount rate (WACC)</t>
  </si>
  <si>
    <t>Share price (Public Co)</t>
  </si>
  <si>
    <t>Share price date</t>
  </si>
  <si>
    <t>Midyear adjustment?</t>
  </si>
  <si>
    <t>Unlevered Free Cash Flows</t>
  </si>
  <si>
    <t>Revenue</t>
  </si>
  <si>
    <t>% growth</t>
  </si>
  <si>
    <t>% margin</t>
  </si>
  <si>
    <t>Tax on EBIT</t>
  </si>
  <si>
    <t>NOPAT (aka EBIAT)</t>
  </si>
  <si>
    <t>Depreciation &amp; amortization</t>
  </si>
  <si>
    <t>Changes in net working capital</t>
  </si>
  <si>
    <t>Unlevered free cash flows (UFCF)</t>
  </si>
  <si>
    <t>Net working capital (WC Assets - WC liabilities)</t>
  </si>
  <si>
    <t>Date for discounting cash flows</t>
  </si>
  <si>
    <t>Unlevered free cash flows (UFCF) stub adjusted</t>
  </si>
  <si>
    <t>Present value of of unlevered free cash flows</t>
  </si>
  <si>
    <t>Val date</t>
  </si>
  <si>
    <t xml:space="preserve">Yr 1 - Stub </t>
  </si>
  <si>
    <t>Year 2</t>
  </si>
  <si>
    <t>Year 3</t>
  </si>
  <si>
    <t>Year 4</t>
  </si>
  <si>
    <t>Year 5</t>
  </si>
  <si>
    <t>&lt;-Stub year counts first year cash flows starting at the valuation date</t>
  </si>
  <si>
    <t>Terminal value - growth in perpetuity approach</t>
  </si>
  <si>
    <t>Terminal value - EBITDA multiple approach</t>
  </si>
  <si>
    <t>Long term growth rate</t>
  </si>
  <si>
    <t>Terminal year EBITDA</t>
  </si>
  <si>
    <t>EBITDA multiple</t>
  </si>
  <si>
    <t>Present value of terminal value</t>
  </si>
  <si>
    <t>Present value of stage 1 cash flows</t>
  </si>
  <si>
    <t>Total enterprise value (TEV)</t>
  </si>
  <si>
    <t>Enterprise value (stage 1 + 2)</t>
  </si>
  <si>
    <t>Terminal value as % of TEV</t>
  </si>
  <si>
    <t>Stage 1 cash flows as % of TEV</t>
  </si>
  <si>
    <t>Implied TV exit EBITDA multiple</t>
  </si>
  <si>
    <t>Implied terminal growth rate</t>
  </si>
  <si>
    <t>Net debt</t>
  </si>
  <si>
    <t>Source doc</t>
  </si>
  <si>
    <t>Source date</t>
  </si>
  <si>
    <t>Gross debt and equivalents</t>
  </si>
  <si>
    <t>Debt</t>
  </si>
  <si>
    <t>Convertible debt</t>
  </si>
  <si>
    <t>Preferred stock</t>
  </si>
  <si>
    <t>Noncontrolling (minority) interests</t>
  </si>
  <si>
    <t>Nonoperating assets</t>
  </si>
  <si>
    <t xml:space="preserve">Cash </t>
  </si>
  <si>
    <t xml:space="preserve">Equity investments </t>
  </si>
  <si>
    <t>Shares outstanding</t>
  </si>
  <si>
    <t>Date</t>
  </si>
  <si>
    <t>Shares</t>
  </si>
  <si>
    <t>Basic shares</t>
  </si>
  <si>
    <t>Restricted stock / RSUs</t>
  </si>
  <si>
    <t>Options / warrants</t>
  </si>
  <si>
    <t>Convertible preferred stock</t>
  </si>
  <si>
    <t>Net diluted shares outstanding</t>
  </si>
  <si>
    <t>Valuation</t>
  </si>
  <si>
    <t>Perpetuity</t>
  </si>
  <si>
    <t>Enterprise value</t>
  </si>
  <si>
    <t xml:space="preserve">Equity value </t>
  </si>
  <si>
    <t>Equity value per share</t>
  </si>
  <si>
    <t>EV / Revenue</t>
  </si>
  <si>
    <t xml:space="preserve">EV / EBITDA </t>
  </si>
  <si>
    <t>EV / EBIT</t>
  </si>
  <si>
    <t>Year 1</t>
  </si>
  <si>
    <t>2024 10K</t>
  </si>
  <si>
    <t>Long term growth rate (g):</t>
  </si>
  <si>
    <t>WACC:</t>
  </si>
  <si>
    <t xml:space="preserve">Data </t>
  </si>
  <si>
    <t>Tables</t>
  </si>
  <si>
    <t>Exit EBITDA Multiple</t>
  </si>
  <si>
    <t>Outputs</t>
  </si>
  <si>
    <t>Year 1 EBITDA multiple</t>
  </si>
  <si>
    <t>WACC Buildup</t>
  </si>
  <si>
    <t>Cost of capital assumptions</t>
  </si>
  <si>
    <t>Source</t>
  </si>
  <si>
    <t>Cost of debt</t>
  </si>
  <si>
    <t>Bloomberg - YTM on 2.2% 9/29 Bond</t>
  </si>
  <si>
    <t>From terminal year of UFCF forecast</t>
  </si>
  <si>
    <t>Cost of debt (after tax)</t>
  </si>
  <si>
    <t>Cost of debt x (1 - tax rate)</t>
  </si>
  <si>
    <t xml:space="preserve">Risk free rate </t>
  </si>
  <si>
    <t>WSJ: 10 Year US Treasury Yield</t>
  </si>
  <si>
    <t xml:space="preserve">Beta </t>
  </si>
  <si>
    <t>Bloomberg 2 year weekly adjusted beta</t>
  </si>
  <si>
    <t>Market risk premium</t>
  </si>
  <si>
    <t>Market risk premium from D&amp;P May 1, 2019</t>
  </si>
  <si>
    <t>Cost of equity</t>
  </si>
  <si>
    <t>RfR + Beta x MRP</t>
  </si>
  <si>
    <t>Capital weights (capital structure)</t>
  </si>
  <si>
    <t xml:space="preserve">Target </t>
  </si>
  <si>
    <t xml:space="preserve">Current </t>
  </si>
  <si>
    <t>(override)</t>
  </si>
  <si>
    <t>% of total</t>
  </si>
  <si>
    <t>Equity</t>
  </si>
  <si>
    <t>Cost of capital (WACC)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</si>
</sst>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43" formatCode="_ * #,##0.00_ ;_ * \-#,##0.00_ ;_ * &quot;-&quot;??_ ;_ @_ "/>
    <numFmt numFmtId="164" formatCode="[$-409]mmm\-yy;@"/>
    <numFmt numFmtId="165" formatCode="&quot;₹&quot;\ #,##0.0;\(&quot;₹&quot;\ #,##0.0\);\-"/>
    <numFmt numFmtId="166" formatCode="&quot;₹&quot;\ &quot; in crores except per share&quot;"/>
    <numFmt numFmtId="167" formatCode="####&quot;A&quot;"/>
    <numFmt numFmtId="168" formatCode="####&quot;E&quot;"/>
    <numFmt numFmtId="169" formatCode="0.0%"/>
    <numFmt numFmtId="170" formatCode="&quot;₹&quot;\ #,##0.0"/>
    <numFmt numFmtId="171" formatCode="_(#,##0.0%_);\(#,##0.0%\);_(&quot;–&quot;_)_%;_(@_)_%"/>
    <numFmt numFmtId="172" formatCode="#,##0.0"/>
    <numFmt numFmtId="173" formatCode="0\ &quot;days&quot;"/>
    <numFmt numFmtId="174" formatCode="0&quot;x&quot;"/>
    <numFmt numFmtId="175" formatCode="&quot;₹&quot;\ #,##0.00;\(&quot;₹&quot;\ #,##0.00\);\-"/>
    <numFmt numFmtId="176" formatCode="yyyy\ &quot;A&quot;"/>
    <numFmt numFmtId="177" formatCode="yyyy\ &quot;E&quot;"/>
    <numFmt numFmtId="178" formatCode="#,##0_);\(#,##0\);@_)"/>
    <numFmt numFmtId="179" formatCode="0000\P"/>
    <numFmt numFmtId="180" formatCode="0.0\x_);\(0.0\x\);@_)"/>
    <numFmt numFmtId="181" formatCode="0.000%_);\(0.000%\);@_)"/>
    <numFmt numFmtId="182" formatCode="0.0%_);\(0.0%\);@_)"/>
    <numFmt numFmtId="183" formatCode="&quot;$&quot;#,##0.00_);\(&quot;$&quot;#,##0.00\);@_)"/>
    <numFmt numFmtId="184" formatCode="_(0.0\x_)_';_(\(0.0\x\)_';_(&quot;–&quot;_)_%;_(@_)_%"/>
    <numFmt numFmtId="185" formatCode="#,##0.00_);\(#,##0.000\);@_)"/>
    <numFmt numFmtId="186" formatCode="#,##0.00_);\(#,##0.00\);\-_);@_)"/>
    <numFmt numFmtId="187" formatCode="#,##0.0_);\(#,##0.0\);\-_);@_)"/>
    <numFmt numFmtId="188" formatCode="_(#,##0.00%_);\(#,##0.00%\);_(&quot;–&quot;_)_%;_(@_)_%"/>
    <numFmt numFmtId="189" formatCode="#,##0.000_);\(#,##0.000\)"/>
    <numFmt numFmtId="190" formatCode="#,##0.0_);\(#,##0.0\);@_)"/>
  </numFmts>
  <fonts count="28" x14ac:knownFonts="1">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i/>
      <sz val="11"/>
      <color theme="1"/>
      <name val="Calibri"/>
      <family val="2"/>
      <scheme val="minor"/>
    </font>
    <font>
      <u/>
      <sz val="11"/>
      <color theme="10"/>
      <name val="Calibri"/>
      <family val="2"/>
    </font>
    <font>
      <sz val="11"/>
      <color rgb="FF000000"/>
      <name val="Calibri"/>
      <family val="2"/>
      <scheme val="minor"/>
    </font>
    <font>
      <i/>
      <sz val="10"/>
      <name val="Calibri"/>
      <family val="2"/>
      <scheme val="minor"/>
    </font>
    <font>
      <sz val="11"/>
      <color rgb="FF3333FF"/>
      <name val="Calibri"/>
      <family val="2"/>
      <scheme val="minor"/>
    </font>
    <font>
      <b/>
      <u/>
      <sz val="11"/>
      <color theme="1"/>
      <name val="Calibri"/>
      <family val="2"/>
      <scheme val="minor"/>
    </font>
    <font>
      <sz val="11"/>
      <name val="Calibri"/>
      <family val="2"/>
      <scheme val="minor"/>
    </font>
    <font>
      <u/>
      <sz val="11"/>
      <color theme="1"/>
      <name val="Calibri"/>
      <family val="2"/>
      <scheme val="minor"/>
    </font>
    <font>
      <sz val="11"/>
      <color rgb="FF0000FF"/>
      <name val="Calibri"/>
      <family val="2"/>
      <scheme val="minor"/>
    </font>
    <font>
      <sz val="9"/>
      <color indexed="81"/>
      <name val="Tahoma"/>
      <family val="2"/>
    </font>
    <font>
      <b/>
      <sz val="9"/>
      <color indexed="81"/>
      <name val="Tahoma"/>
      <family val="2"/>
    </font>
    <font>
      <b/>
      <sz val="9"/>
      <color theme="1"/>
      <name val="Calibri"/>
      <family val="2"/>
      <scheme val="minor"/>
    </font>
    <font>
      <sz val="11"/>
      <color rgb="FF1D36C8"/>
      <name val="Calibri"/>
      <family val="2"/>
      <scheme val="minor"/>
    </font>
    <font>
      <b/>
      <sz val="11"/>
      <name val="Calibri"/>
      <family val="2"/>
      <scheme val="minor"/>
    </font>
    <font>
      <i/>
      <sz val="9"/>
      <color rgb="FF000000"/>
      <name val="Calibri"/>
      <family val="2"/>
      <scheme val="minor"/>
    </font>
    <font>
      <b/>
      <sz val="11"/>
      <color rgb="FF1D36C8"/>
      <name val="Calibri"/>
      <family val="2"/>
      <scheme val="minor"/>
    </font>
    <font>
      <sz val="11"/>
      <color rgb="FF008000"/>
      <name val="Calibri"/>
      <family val="2"/>
      <scheme val="minor"/>
    </font>
    <font>
      <b/>
      <u/>
      <sz val="11"/>
      <color rgb="FF0070C0"/>
      <name val="Calibri"/>
      <family val="2"/>
      <scheme val="minor"/>
    </font>
    <font>
      <b/>
      <sz val="11"/>
      <color rgb="FF000000"/>
      <name val="Calibri"/>
      <family val="2"/>
      <scheme val="minor"/>
    </font>
    <font>
      <u/>
      <sz val="11"/>
      <name val="Calibri"/>
      <family val="2"/>
      <scheme val="minor"/>
    </font>
    <font>
      <u val="singleAccounting"/>
      <sz val="11"/>
      <name val="Calibri"/>
      <family val="2"/>
      <scheme val="minor"/>
    </font>
    <font>
      <b/>
      <u val="singleAccounting"/>
      <sz val="11"/>
      <name val="Calibri"/>
      <family val="2"/>
      <scheme val="minor"/>
    </font>
  </fonts>
  <fills count="14">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rgb="FF0275D8"/>
        <bgColor indexed="64"/>
      </patternFill>
    </fill>
    <fill>
      <patternFill patternType="solid">
        <fgColor rgb="FFD4DBF1"/>
        <bgColor indexed="64"/>
      </patternFill>
    </fill>
    <fill>
      <patternFill patternType="solid">
        <fgColor rgb="FF002060"/>
        <bgColor indexed="64"/>
      </patternFill>
    </fill>
    <fill>
      <patternFill patternType="solid">
        <fgColor rgb="FFFFC000"/>
        <bgColor indexed="64"/>
      </patternFill>
    </fill>
    <fill>
      <patternFill patternType="solid">
        <fgColor theme="6" tint="0.79998168889431442"/>
        <bgColor indexed="64"/>
      </patternFill>
    </fill>
    <fill>
      <patternFill patternType="solid">
        <fgColor theme="0"/>
        <bgColor indexed="64"/>
      </patternFill>
    </fill>
    <fill>
      <patternFill patternType="solid">
        <fgColor theme="0"/>
        <bgColor rgb="FF000000"/>
      </patternFill>
    </fill>
    <fill>
      <patternFill patternType="solid">
        <fgColor rgb="FFD4DBF1"/>
        <bgColor rgb="FF000000"/>
      </patternFill>
    </fill>
    <fill>
      <patternFill patternType="solid">
        <fgColor rgb="FFC9DAF8"/>
        <bgColor indexed="64"/>
      </patternFill>
    </fill>
  </fills>
  <borders count="26">
    <border>
      <left/>
      <right/>
      <top/>
      <bottom/>
      <diagonal/>
    </border>
    <border>
      <left/>
      <right/>
      <top style="thin">
        <color indexed="64"/>
      </top>
      <bottom/>
      <diagonal/>
    </border>
    <border>
      <left/>
      <right/>
      <top style="thin">
        <color indexed="64"/>
      </top>
      <bottom style="double">
        <color indexed="64"/>
      </bottom>
      <diagonal/>
    </border>
    <border>
      <left/>
      <right/>
      <top/>
      <bottom style="thin">
        <color indexed="64"/>
      </bottom>
      <diagonal/>
    </border>
    <border>
      <left/>
      <right/>
      <top style="thin">
        <color auto="1"/>
      </top>
      <bottom style="thin">
        <color auto="1"/>
      </bottom>
      <diagonal/>
    </border>
    <border>
      <left/>
      <right/>
      <top/>
      <bottom style="hair">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thin">
        <color indexed="64"/>
      </bottom>
      <diagonal/>
    </border>
    <border>
      <left style="medium">
        <color rgb="FF000000"/>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medium">
        <color auto="1"/>
      </top>
      <bottom style="medium">
        <color auto="1"/>
      </bottom>
      <diagonal/>
    </border>
    <border>
      <left style="thin">
        <color indexed="64"/>
      </left>
      <right style="thin">
        <color indexed="64"/>
      </right>
      <top style="thin">
        <color indexed="64"/>
      </top>
      <bottom/>
      <diagonal/>
    </border>
    <border>
      <left/>
      <right/>
      <top style="hair">
        <color rgb="FF000000"/>
      </top>
      <bottom style="thin">
        <color indexed="64"/>
      </bottom>
      <diagonal/>
    </border>
    <border>
      <left style="hair">
        <color rgb="FF000000"/>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dotted">
        <color indexed="64"/>
      </bottom>
      <diagonal/>
    </border>
  </borders>
  <cellStyleXfs count="7">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7" fillId="0" borderId="0" applyNumberFormat="0" applyFill="0" applyBorder="0" applyAlignment="0" applyProtection="0">
      <alignment vertical="top"/>
      <protection locked="0"/>
    </xf>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234">
    <xf numFmtId="0" fontId="0" fillId="0" borderId="0" xfId="0"/>
    <xf numFmtId="0" fontId="0" fillId="0" borderId="0" xfId="0" applyAlignment="1">
      <alignment horizontal="right"/>
    </xf>
    <xf numFmtId="165" fontId="0" fillId="0" borderId="0" xfId="0" applyNumberFormat="1" applyAlignment="1">
      <alignment horizontal="right"/>
    </xf>
    <xf numFmtId="0" fontId="0" fillId="6" borderId="0" xfId="0" applyFill="1" applyAlignment="1">
      <alignment horizontal="right"/>
    </xf>
    <xf numFmtId="0" fontId="3" fillId="6" borderId="0" xfId="0" applyFont="1" applyFill="1" applyAlignment="1">
      <alignment horizontal="left"/>
    </xf>
    <xf numFmtId="0" fontId="0" fillId="0" borderId="0" xfId="0" applyAlignment="1">
      <alignment horizontal="left"/>
    </xf>
    <xf numFmtId="43" fontId="1" fillId="0" borderId="0" xfId="1" applyFont="1" applyBorder="1" applyAlignment="1">
      <alignment horizontal="left"/>
    </xf>
    <xf numFmtId="43" fontId="0" fillId="0" borderId="0" xfId="1" applyFont="1" applyBorder="1" applyAlignment="1">
      <alignment horizontal="left"/>
    </xf>
    <xf numFmtId="43" fontId="3" fillId="0" borderId="0" xfId="1" applyFont="1" applyBorder="1"/>
    <xf numFmtId="0" fontId="3" fillId="0" borderId="0" xfId="0" applyFont="1"/>
    <xf numFmtId="43" fontId="0" fillId="0" borderId="0" xfId="1" applyFont="1" applyBorder="1"/>
    <xf numFmtId="43" fontId="1" fillId="0" borderId="0" xfId="1" applyFont="1" applyBorder="1"/>
    <xf numFmtId="164" fontId="5" fillId="5" borderId="0" xfId="0" applyNumberFormat="1" applyFont="1" applyFill="1" applyAlignment="1">
      <alignment horizontal="center"/>
    </xf>
    <xf numFmtId="164" fontId="5" fillId="5" borderId="0" xfId="1" applyNumberFormat="1" applyFont="1" applyFill="1" applyBorder="1"/>
    <xf numFmtId="0" fontId="8" fillId="0" borderId="0" xfId="0" applyFont="1"/>
    <xf numFmtId="43" fontId="10" fillId="0" borderId="0" xfId="1" applyFont="1" applyBorder="1" applyAlignment="1">
      <alignment horizontal="right"/>
    </xf>
    <xf numFmtId="0" fontId="10" fillId="0" borderId="0" xfId="2" applyFont="1" applyAlignment="1">
      <alignment horizontal="right"/>
    </xf>
    <xf numFmtId="0" fontId="10" fillId="0" borderId="0" xfId="0" applyFont="1" applyAlignment="1">
      <alignment horizontal="right"/>
    </xf>
    <xf numFmtId="14" fontId="10" fillId="0" borderId="0" xfId="0" applyNumberFormat="1" applyFont="1" applyAlignment="1">
      <alignment horizontal="right"/>
    </xf>
    <xf numFmtId="4" fontId="10" fillId="0" borderId="0" xfId="0" applyNumberFormat="1" applyFont="1" applyAlignment="1">
      <alignment horizontal="right"/>
    </xf>
    <xf numFmtId="0" fontId="3" fillId="0" borderId="0" xfId="0" applyFont="1" applyAlignment="1">
      <alignment horizontal="left"/>
    </xf>
    <xf numFmtId="165" fontId="3" fillId="0" borderId="0" xfId="0" applyNumberFormat="1" applyFont="1" applyAlignment="1">
      <alignment horizontal="right"/>
    </xf>
    <xf numFmtId="165" fontId="10" fillId="0" borderId="0" xfId="0" applyNumberFormat="1" applyFont="1" applyAlignment="1">
      <alignment horizontal="right"/>
    </xf>
    <xf numFmtId="0" fontId="5" fillId="7" borderId="0" xfId="0" applyFont="1" applyFill="1" applyAlignment="1">
      <alignment horizontal="left"/>
    </xf>
    <xf numFmtId="167" fontId="5" fillId="7" borderId="0" xfId="0" applyNumberFormat="1" applyFont="1" applyFill="1" applyAlignment="1">
      <alignment horizontal="right"/>
    </xf>
    <xf numFmtId="168" fontId="5" fillId="7" borderId="0" xfId="0" applyNumberFormat="1" applyFont="1" applyFill="1" applyAlignment="1">
      <alignment horizontal="right"/>
    </xf>
    <xf numFmtId="14" fontId="5" fillId="7" borderId="0" xfId="0" applyNumberFormat="1" applyFont="1" applyFill="1" applyAlignment="1">
      <alignment horizontal="right"/>
    </xf>
    <xf numFmtId="0" fontId="11" fillId="0" borderId="0" xfId="0" applyFont="1" applyAlignment="1">
      <alignment horizontal="left"/>
    </xf>
    <xf numFmtId="169" fontId="0" fillId="0" borderId="0" xfId="0" applyNumberFormat="1" applyAlignment="1">
      <alignment horizontal="right"/>
    </xf>
    <xf numFmtId="165" fontId="0" fillId="8" borderId="0" xfId="0" applyNumberFormat="1" applyFill="1" applyAlignment="1">
      <alignment horizontal="right"/>
    </xf>
    <xf numFmtId="165" fontId="12" fillId="8" borderId="0" xfId="0" applyNumberFormat="1" applyFont="1" applyFill="1" applyAlignment="1">
      <alignment horizontal="right"/>
    </xf>
    <xf numFmtId="0" fontId="0" fillId="0" borderId="0" xfId="0" quotePrefix="1"/>
    <xf numFmtId="165" fontId="12" fillId="9" borderId="0" xfId="0" applyNumberFormat="1" applyFont="1" applyFill="1" applyAlignment="1">
      <alignment horizontal="right"/>
    </xf>
    <xf numFmtId="165" fontId="0" fillId="9" borderId="0" xfId="0" applyNumberFormat="1" applyFill="1" applyAlignment="1">
      <alignment horizontal="right"/>
    </xf>
    <xf numFmtId="165" fontId="3" fillId="9" borderId="0" xfId="0" applyNumberFormat="1" applyFont="1" applyFill="1" applyAlignment="1">
      <alignment horizontal="right"/>
    </xf>
    <xf numFmtId="169" fontId="0" fillId="9" borderId="0" xfId="0" applyNumberFormat="1" applyFill="1" applyAlignment="1">
      <alignment horizontal="right"/>
    </xf>
    <xf numFmtId="43" fontId="1" fillId="0" borderId="1" xfId="1" applyFont="1" applyBorder="1"/>
    <xf numFmtId="43" fontId="1" fillId="0" borderId="1" xfId="1" applyFont="1" applyBorder="1" applyAlignment="1">
      <alignment horizontal="left"/>
    </xf>
    <xf numFmtId="165" fontId="10" fillId="0" borderId="1" xfId="0" applyNumberFormat="1" applyFont="1" applyBorder="1" applyAlignment="1">
      <alignment horizontal="right"/>
    </xf>
    <xf numFmtId="43" fontId="3" fillId="0" borderId="2" xfId="1" applyFont="1" applyBorder="1" applyAlignment="1">
      <alignment horizontal="left"/>
    </xf>
    <xf numFmtId="165" fontId="3" fillId="0" borderId="2" xfId="0" applyNumberFormat="1" applyFont="1" applyBorder="1" applyAlignment="1">
      <alignment horizontal="right"/>
    </xf>
    <xf numFmtId="165" fontId="3" fillId="9" borderId="2" xfId="0" applyNumberFormat="1" applyFont="1" applyFill="1" applyBorder="1" applyAlignment="1">
      <alignment horizontal="right"/>
    </xf>
    <xf numFmtId="165" fontId="12" fillId="8" borderId="1" xfId="0" applyNumberFormat="1" applyFont="1" applyFill="1" applyBorder="1" applyAlignment="1">
      <alignment horizontal="right"/>
    </xf>
    <xf numFmtId="0" fontId="0" fillId="0" borderId="3" xfId="0" applyBorder="1" applyAlignment="1">
      <alignment horizontal="left"/>
    </xf>
    <xf numFmtId="165" fontId="10" fillId="0" borderId="3" xfId="0" applyNumberFormat="1" applyFont="1" applyBorder="1" applyAlignment="1">
      <alignment horizontal="right"/>
    </xf>
    <xf numFmtId="165" fontId="12" fillId="9" borderId="3" xfId="0" applyNumberFormat="1" applyFont="1" applyFill="1" applyBorder="1" applyAlignment="1">
      <alignment horizontal="right"/>
    </xf>
    <xf numFmtId="0" fontId="3" fillId="0" borderId="2" xfId="0" applyFont="1" applyBorder="1" applyAlignment="1">
      <alignment horizontal="left"/>
    </xf>
    <xf numFmtId="0" fontId="6" fillId="0" borderId="4" xfId="0" applyFont="1" applyBorder="1" applyAlignment="1">
      <alignment horizontal="left"/>
    </xf>
    <xf numFmtId="1" fontId="6" fillId="0" borderId="4" xfId="0" applyNumberFormat="1" applyFont="1" applyBorder="1" applyAlignment="1">
      <alignment horizontal="right"/>
    </xf>
    <xf numFmtId="0" fontId="3" fillId="0" borderId="2" xfId="0" applyFont="1" applyBorder="1"/>
    <xf numFmtId="0" fontId="0" fillId="0" borderId="2" xfId="0" applyBorder="1" applyAlignment="1">
      <alignment horizontal="left"/>
    </xf>
    <xf numFmtId="0" fontId="0" fillId="0" borderId="2" xfId="0" applyBorder="1" applyAlignment="1">
      <alignment horizontal="right"/>
    </xf>
    <xf numFmtId="165" fontId="0" fillId="9" borderId="3" xfId="0" applyNumberFormat="1" applyFill="1" applyBorder="1" applyAlignment="1">
      <alignment horizontal="right"/>
    </xf>
    <xf numFmtId="0" fontId="3" fillId="0" borderId="4" xfId="0" applyFont="1" applyBorder="1" applyAlignment="1">
      <alignment horizontal="left"/>
    </xf>
    <xf numFmtId="165" fontId="3" fillId="0" borderId="4" xfId="0" applyNumberFormat="1" applyFont="1" applyBorder="1" applyAlignment="1">
      <alignment horizontal="right"/>
    </xf>
    <xf numFmtId="165" fontId="3" fillId="9" borderId="4" xfId="0" applyNumberFormat="1" applyFont="1" applyFill="1" applyBorder="1" applyAlignment="1">
      <alignment horizontal="right"/>
    </xf>
    <xf numFmtId="0" fontId="0" fillId="6" borderId="0" xfId="0" applyFill="1" applyAlignment="1">
      <alignment horizontal="left"/>
    </xf>
    <xf numFmtId="0" fontId="3" fillId="6" borderId="0" xfId="0" applyFont="1" applyFill="1"/>
    <xf numFmtId="0" fontId="0" fillId="0" borderId="0" xfId="0" quotePrefix="1" applyAlignment="1">
      <alignment horizontal="left" indent="1"/>
    </xf>
    <xf numFmtId="0" fontId="3" fillId="0" borderId="0" xfId="0" applyFont="1" applyAlignment="1">
      <alignment horizontal="left" indent="1"/>
    </xf>
    <xf numFmtId="0" fontId="0" fillId="0" borderId="3" xfId="0" quotePrefix="1" applyBorder="1" applyAlignment="1">
      <alignment horizontal="left" indent="1"/>
    </xf>
    <xf numFmtId="0" fontId="0" fillId="0" borderId="3" xfId="0" applyBorder="1" applyAlignment="1">
      <alignment horizontal="right"/>
    </xf>
    <xf numFmtId="165" fontId="3" fillId="10" borderId="0" xfId="0" applyNumberFormat="1" applyFont="1" applyFill="1" applyAlignment="1">
      <alignment horizontal="right"/>
    </xf>
    <xf numFmtId="165" fontId="0" fillId="10" borderId="0" xfId="0" applyNumberFormat="1" applyFill="1" applyAlignment="1">
      <alignment horizontal="right"/>
    </xf>
    <xf numFmtId="165" fontId="3" fillId="10" borderId="1" xfId="0" applyNumberFormat="1" applyFont="1" applyFill="1" applyBorder="1" applyAlignment="1">
      <alignment horizontal="right"/>
    </xf>
    <xf numFmtId="0" fontId="0" fillId="0" borderId="0" xfId="0" applyAlignment="1">
      <alignment horizontal="left" indent="1"/>
    </xf>
    <xf numFmtId="0" fontId="13" fillId="0" borderId="0" xfId="0" applyFont="1"/>
    <xf numFmtId="171" fontId="14" fillId="0" borderId="0" xfId="0" applyNumberFormat="1" applyFont="1"/>
    <xf numFmtId="0" fontId="0" fillId="0" borderId="3" xfId="0" applyBorder="1" applyAlignment="1">
      <alignment horizontal="left" indent="1"/>
    </xf>
    <xf numFmtId="10" fontId="0" fillId="0" borderId="3" xfId="0" applyNumberFormat="1" applyBorder="1" applyAlignment="1">
      <alignment horizontal="right"/>
    </xf>
    <xf numFmtId="37" fontId="3" fillId="6" borderId="0" xfId="0" applyNumberFormat="1" applyFont="1" applyFill="1"/>
    <xf numFmtId="0" fontId="3" fillId="10" borderId="0" xfId="0" applyFont="1" applyFill="1"/>
    <xf numFmtId="0" fontId="0" fillId="10" borderId="0" xfId="0" applyFill="1" applyAlignment="1">
      <alignment horizontal="left"/>
    </xf>
    <xf numFmtId="0" fontId="0" fillId="10" borderId="0" xfId="0" applyFill="1" applyAlignment="1">
      <alignment horizontal="right"/>
    </xf>
    <xf numFmtId="37" fontId="3" fillId="10" borderId="0" xfId="0" applyNumberFormat="1" applyFont="1" applyFill="1"/>
    <xf numFmtId="37" fontId="3" fillId="0" borderId="0" xfId="0" applyNumberFormat="1" applyFont="1" applyAlignment="1">
      <alignment horizontal="left"/>
    </xf>
    <xf numFmtId="0" fontId="3" fillId="0" borderId="1" xfId="0" applyFont="1" applyBorder="1" applyAlignment="1">
      <alignment horizontal="left" indent="1"/>
    </xf>
    <xf numFmtId="0" fontId="3" fillId="0" borderId="1" xfId="0" applyFont="1" applyBorder="1" applyAlignment="1">
      <alignment horizontal="left"/>
    </xf>
    <xf numFmtId="172" fontId="10" fillId="0" borderId="0" xfId="0" applyNumberFormat="1" applyFont="1" applyAlignment="1">
      <alignment horizontal="right"/>
    </xf>
    <xf numFmtId="2" fontId="3" fillId="10" borderId="0" xfId="0" applyNumberFormat="1" applyFont="1" applyFill="1" applyAlignment="1">
      <alignment horizontal="right"/>
    </xf>
    <xf numFmtId="2" fontId="3" fillId="0" borderId="0" xfId="0" applyNumberFormat="1" applyFont="1" applyAlignment="1">
      <alignment horizontal="right"/>
    </xf>
    <xf numFmtId="0" fontId="3" fillId="6" borderId="0" xfId="0" applyFont="1" applyFill="1" applyAlignment="1">
      <alignment horizontal="center" vertical="center"/>
    </xf>
    <xf numFmtId="2" fontId="0" fillId="0" borderId="0" xfId="0" applyNumberFormat="1" applyAlignment="1">
      <alignment horizontal="right"/>
    </xf>
    <xf numFmtId="173" fontId="0" fillId="0" borderId="0" xfId="0" applyNumberFormat="1" applyAlignment="1">
      <alignment horizontal="right"/>
    </xf>
    <xf numFmtId="173" fontId="0" fillId="0" borderId="0" xfId="0" applyNumberFormat="1" applyAlignment="1">
      <alignment horizontal="right" vertical="top"/>
    </xf>
    <xf numFmtId="174" fontId="0" fillId="0" borderId="0" xfId="0" applyNumberFormat="1" applyAlignment="1">
      <alignment horizontal="right"/>
    </xf>
    <xf numFmtId="165" fontId="3" fillId="9" borderId="1" xfId="0" applyNumberFormat="1" applyFont="1" applyFill="1" applyBorder="1" applyAlignment="1">
      <alignment horizontal="right"/>
    </xf>
    <xf numFmtId="170" fontId="0" fillId="9" borderId="0" xfId="0" applyNumberFormat="1" applyFill="1" applyAlignment="1">
      <alignment horizontal="right"/>
    </xf>
    <xf numFmtId="10" fontId="0" fillId="9" borderId="3" xfId="0" applyNumberFormat="1" applyFill="1" applyBorder="1" applyAlignment="1">
      <alignment horizontal="right"/>
    </xf>
    <xf numFmtId="2" fontId="0" fillId="9" borderId="0" xfId="0" applyNumberFormat="1" applyFill="1" applyAlignment="1">
      <alignment horizontal="right"/>
    </xf>
    <xf numFmtId="2" fontId="3" fillId="9" borderId="0" xfId="0" applyNumberFormat="1" applyFont="1" applyFill="1" applyAlignment="1">
      <alignment horizontal="right"/>
    </xf>
    <xf numFmtId="173" fontId="10" fillId="9" borderId="0" xfId="0" applyNumberFormat="1" applyFont="1" applyFill="1" applyAlignment="1">
      <alignment horizontal="right"/>
    </xf>
    <xf numFmtId="174" fontId="10" fillId="9" borderId="0" xfId="0" applyNumberFormat="1" applyFont="1" applyFill="1" applyAlignment="1">
      <alignment horizontal="right"/>
    </xf>
    <xf numFmtId="0" fontId="3" fillId="6" borderId="5" xfId="0" applyFont="1" applyFill="1" applyBorder="1"/>
    <xf numFmtId="173" fontId="3" fillId="0" borderId="0" xfId="0" applyNumberFormat="1" applyFont="1" applyAlignment="1">
      <alignment horizontal="right"/>
    </xf>
    <xf numFmtId="173" fontId="0" fillId="9" borderId="0" xfId="0" applyNumberFormat="1" applyFill="1" applyAlignment="1">
      <alignment horizontal="right"/>
    </xf>
    <xf numFmtId="173" fontId="3" fillId="9" borderId="0" xfId="0" applyNumberFormat="1" applyFont="1" applyFill="1" applyAlignment="1">
      <alignment horizontal="right"/>
    </xf>
    <xf numFmtId="0" fontId="0" fillId="0" borderId="0" xfId="0" applyAlignment="1">
      <alignment horizontal="left" indent="2"/>
    </xf>
    <xf numFmtId="0" fontId="17" fillId="0" borderId="6" xfId="0" applyFont="1" applyBorder="1" applyAlignment="1">
      <alignment horizontal="center"/>
    </xf>
    <xf numFmtId="0" fontId="17" fillId="0" borderId="7" xfId="0" applyFont="1" applyBorder="1" applyAlignment="1">
      <alignment horizontal="center"/>
    </xf>
    <xf numFmtId="0" fontId="0" fillId="0" borderId="8" xfId="0" applyBorder="1" applyAlignment="1">
      <alignment horizontal="center"/>
    </xf>
    <xf numFmtId="171" fontId="14" fillId="0" borderId="8" xfId="0" applyNumberFormat="1" applyFont="1" applyBorder="1" applyAlignment="1">
      <alignment horizontal="center"/>
    </xf>
    <xf numFmtId="0" fontId="3" fillId="6" borderId="0" xfId="0" applyFont="1" applyFill="1" applyAlignment="1">
      <alignment horizontal="right"/>
    </xf>
    <xf numFmtId="171" fontId="14" fillId="0" borderId="9" xfId="0" applyNumberFormat="1" applyFont="1" applyBorder="1" applyAlignment="1">
      <alignment horizontal="center"/>
    </xf>
    <xf numFmtId="169" fontId="18" fillId="9" borderId="0" xfId="0" applyNumberFormat="1" applyFont="1" applyFill="1" applyAlignment="1">
      <alignment horizontal="right"/>
    </xf>
    <xf numFmtId="169" fontId="12" fillId="9" borderId="0" xfId="0" applyNumberFormat="1" applyFont="1" applyFill="1" applyAlignment="1">
      <alignment horizontal="right"/>
    </xf>
    <xf numFmtId="14" fontId="12" fillId="6" borderId="10" xfId="0" applyNumberFormat="1" applyFont="1" applyFill="1" applyBorder="1" applyAlignment="1">
      <alignment horizontal="right"/>
    </xf>
    <xf numFmtId="14" fontId="12" fillId="6" borderId="3" xfId="0" applyNumberFormat="1" applyFont="1" applyFill="1" applyBorder="1" applyAlignment="1">
      <alignment horizontal="right"/>
    </xf>
    <xf numFmtId="0" fontId="3" fillId="6" borderId="0" xfId="0" applyFont="1" applyFill="1" applyAlignment="1">
      <alignment horizontal="center"/>
    </xf>
    <xf numFmtId="171" fontId="12" fillId="0" borderId="8" xfId="0" applyNumberFormat="1" applyFont="1" applyBorder="1" applyAlignment="1">
      <alignment horizontal="center"/>
    </xf>
    <xf numFmtId="168" fontId="19" fillId="6" borderId="11" xfId="0" applyNumberFormat="1" applyFont="1" applyFill="1" applyBorder="1" applyAlignment="1">
      <alignment horizontal="right"/>
    </xf>
    <xf numFmtId="168" fontId="19" fillId="6" borderId="1" xfId="0" applyNumberFormat="1" applyFont="1" applyFill="1" applyBorder="1" applyAlignment="1">
      <alignment horizontal="right"/>
    </xf>
    <xf numFmtId="168" fontId="19" fillId="6" borderId="12" xfId="0" applyNumberFormat="1" applyFont="1" applyFill="1" applyBorder="1" applyAlignment="1">
      <alignment horizontal="right"/>
    </xf>
    <xf numFmtId="14" fontId="12" fillId="6" borderId="13" xfId="0" applyNumberFormat="1" applyFont="1" applyFill="1" applyBorder="1" applyAlignment="1">
      <alignment horizontal="right"/>
    </xf>
    <xf numFmtId="0" fontId="0" fillId="7" borderId="0" xfId="0" applyFill="1"/>
    <xf numFmtId="0" fontId="0" fillId="10" borderId="0" xfId="0" applyFill="1"/>
    <xf numFmtId="0" fontId="20" fillId="0" borderId="0" xfId="0" applyFont="1"/>
    <xf numFmtId="0" fontId="5" fillId="7" borderId="0" xfId="0" applyFont="1" applyFill="1"/>
    <xf numFmtId="0" fontId="19" fillId="6" borderId="0" xfId="0" applyFont="1" applyFill="1"/>
    <xf numFmtId="0" fontId="12" fillId="6" borderId="0" xfId="0" applyFont="1" applyFill="1"/>
    <xf numFmtId="14" fontId="18" fillId="9" borderId="0" xfId="0" applyNumberFormat="1" applyFont="1" applyFill="1"/>
    <xf numFmtId="10" fontId="18" fillId="9" borderId="0" xfId="0" applyNumberFormat="1" applyFont="1" applyFill="1"/>
    <xf numFmtId="175" fontId="18" fillId="9" borderId="0" xfId="0" applyNumberFormat="1" applyFont="1" applyFill="1"/>
    <xf numFmtId="0" fontId="21" fillId="9" borderId="0" xfId="0" applyFont="1" applyFill="1" applyAlignment="1">
      <alignment horizontal="center"/>
    </xf>
    <xf numFmtId="14" fontId="19" fillId="6" borderId="0" xfId="0" applyNumberFormat="1" applyFont="1" applyFill="1"/>
    <xf numFmtId="176" fontId="19" fillId="6" borderId="0" xfId="0" applyNumberFormat="1" applyFont="1" applyFill="1"/>
    <xf numFmtId="177" fontId="19" fillId="6" borderId="0" xfId="0" applyNumberFormat="1" applyFont="1" applyFill="1"/>
    <xf numFmtId="175" fontId="18" fillId="10" borderId="0" xfId="0" applyNumberFormat="1" applyFont="1" applyFill="1"/>
    <xf numFmtId="175" fontId="12" fillId="10" borderId="0" xfId="0" applyNumberFormat="1" applyFont="1" applyFill="1"/>
    <xf numFmtId="169" fontId="0" fillId="9" borderId="0" xfId="0" applyNumberFormat="1" applyFill="1"/>
    <xf numFmtId="175" fontId="12" fillId="9" borderId="0" xfId="0" applyNumberFormat="1" applyFont="1" applyFill="1"/>
    <xf numFmtId="169" fontId="0" fillId="0" borderId="0" xfId="0" applyNumberFormat="1"/>
    <xf numFmtId="169" fontId="18" fillId="0" borderId="0" xfId="0" applyNumberFormat="1" applyFont="1"/>
    <xf numFmtId="178" fontId="22" fillId="0" borderId="0" xfId="0" applyNumberFormat="1" applyFont="1"/>
    <xf numFmtId="0" fontId="23" fillId="0" borderId="0" xfId="0" applyFont="1" applyAlignment="1">
      <alignment horizontal="center"/>
    </xf>
    <xf numFmtId="14" fontId="0" fillId="0" borderId="0" xfId="0" applyNumberFormat="1"/>
    <xf numFmtId="178" fontId="0" fillId="0" borderId="0" xfId="0" applyNumberFormat="1"/>
    <xf numFmtId="178" fontId="8" fillId="0" borderId="0" xfId="0" applyNumberFormat="1" applyFont="1"/>
    <xf numFmtId="178" fontId="24" fillId="6" borderId="0" xfId="0" applyNumberFormat="1" applyFont="1" applyFill="1" applyAlignment="1">
      <alignment horizontal="right"/>
    </xf>
    <xf numFmtId="0" fontId="0" fillId="6" borderId="0" xfId="0" applyFill="1"/>
    <xf numFmtId="178" fontId="24" fillId="10" borderId="0" xfId="0" applyNumberFormat="1" applyFont="1" applyFill="1" applyAlignment="1">
      <alignment horizontal="right"/>
    </xf>
    <xf numFmtId="14" fontId="0" fillId="9" borderId="0" xfId="0" applyNumberFormat="1" applyFill="1"/>
    <xf numFmtId="0" fontId="3" fillId="0" borderId="14" xfId="0" applyFont="1" applyBorder="1"/>
    <xf numFmtId="0" fontId="0" fillId="0" borderId="14" xfId="0" applyBorder="1"/>
    <xf numFmtId="175" fontId="12" fillId="9" borderId="14" xfId="0" applyNumberFormat="1" applyFont="1" applyFill="1" applyBorder="1"/>
    <xf numFmtId="0" fontId="3" fillId="0" borderId="1" xfId="0" applyFont="1" applyBorder="1"/>
    <xf numFmtId="0" fontId="0" fillId="0" borderId="1" xfId="0" applyBorder="1"/>
    <xf numFmtId="175" fontId="19" fillId="10" borderId="1" xfId="0" applyNumberFormat="1" applyFont="1" applyFill="1" applyBorder="1"/>
    <xf numFmtId="175" fontId="19" fillId="9" borderId="1" xfId="0" applyNumberFormat="1" applyFont="1" applyFill="1" applyBorder="1"/>
    <xf numFmtId="171" fontId="0" fillId="0" borderId="15" xfId="0" applyNumberFormat="1" applyBorder="1" applyAlignment="1">
      <alignment horizontal="center"/>
    </xf>
    <xf numFmtId="0" fontId="24" fillId="0" borderId="1" xfId="0" applyFont="1" applyBorder="1"/>
    <xf numFmtId="179" fontId="0" fillId="0" borderId="0" xfId="0" applyNumberFormat="1"/>
    <xf numFmtId="180" fontId="14" fillId="0" borderId="0" xfId="0" applyNumberFormat="1" applyFont="1"/>
    <xf numFmtId="0" fontId="14" fillId="0" borderId="0" xfId="0" applyFont="1"/>
    <xf numFmtId="171" fontId="0" fillId="0" borderId="0" xfId="0" applyNumberFormat="1"/>
    <xf numFmtId="0" fontId="6" fillId="0" borderId="0" xfId="0" applyFont="1" applyAlignment="1">
      <alignment horizontal="left"/>
    </xf>
    <xf numFmtId="171" fontId="6" fillId="0" borderId="0" xfId="0" applyNumberFormat="1" applyFont="1"/>
    <xf numFmtId="181" fontId="6" fillId="0" borderId="0" xfId="0" applyNumberFormat="1" applyFont="1"/>
    <xf numFmtId="180" fontId="6" fillId="0" borderId="0" xfId="0" applyNumberFormat="1" applyFont="1"/>
    <xf numFmtId="182" fontId="0" fillId="0" borderId="0" xfId="0" quotePrefix="1" applyNumberFormat="1"/>
    <xf numFmtId="0" fontId="19" fillId="10" borderId="5" xfId="0" applyFont="1" applyFill="1" applyBorder="1"/>
    <xf numFmtId="0" fontId="12" fillId="10" borderId="0" xfId="0" applyFont="1" applyFill="1"/>
    <xf numFmtId="0" fontId="12" fillId="10" borderId="0" xfId="0" applyFont="1" applyFill="1" applyAlignment="1">
      <alignment horizontal="left"/>
    </xf>
    <xf numFmtId="0" fontId="25" fillId="10" borderId="0" xfId="0" applyFont="1" applyFill="1" applyAlignment="1">
      <alignment horizontal="left" vertical="center"/>
    </xf>
    <xf numFmtId="0" fontId="12" fillId="10" borderId="0" xfId="0" applyFont="1" applyFill="1" applyAlignment="1">
      <alignment horizontal="left" indent="1"/>
    </xf>
    <xf numFmtId="0" fontId="12" fillId="10" borderId="0" xfId="0" applyFont="1" applyFill="1" applyAlignment="1">
      <alignment horizontal="left" vertical="center" indent="1"/>
    </xf>
    <xf numFmtId="0" fontId="12" fillId="10" borderId="5" xfId="0" applyFont="1" applyFill="1" applyBorder="1"/>
    <xf numFmtId="0" fontId="25" fillId="10" borderId="0" xfId="0" applyFont="1" applyFill="1"/>
    <xf numFmtId="14" fontId="12" fillId="10" borderId="0" xfId="0" applyNumberFormat="1" applyFont="1" applyFill="1" applyAlignment="1">
      <alignment horizontal="right"/>
    </xf>
    <xf numFmtId="0" fontId="19" fillId="10" borderId="0" xfId="0" applyFont="1" applyFill="1"/>
    <xf numFmtId="183" fontId="19" fillId="10" borderId="0" xfId="0" applyNumberFormat="1" applyFont="1" applyFill="1" applyAlignment="1">
      <alignment horizontal="right"/>
    </xf>
    <xf numFmtId="0" fontId="26" fillId="10" borderId="0" xfId="0" applyFont="1" applyFill="1" applyAlignment="1">
      <alignment horizontal="centerContinuous"/>
    </xf>
    <xf numFmtId="184" fontId="12" fillId="10" borderId="0" xfId="0" applyNumberFormat="1" applyFont="1" applyFill="1" applyAlignment="1">
      <alignment horizontal="right"/>
    </xf>
    <xf numFmtId="178" fontId="12" fillId="10" borderId="0" xfId="0" applyNumberFormat="1" applyFont="1" applyFill="1"/>
    <xf numFmtId="0" fontId="19" fillId="6" borderId="5" xfId="0" applyFont="1" applyFill="1" applyBorder="1"/>
    <xf numFmtId="0" fontId="12" fillId="6" borderId="5" xfId="0" applyFont="1" applyFill="1" applyBorder="1"/>
    <xf numFmtId="0" fontId="12" fillId="10" borderId="0" xfId="0" applyFont="1" applyFill="1" applyAlignment="1">
      <alignment horizontal="right"/>
    </xf>
    <xf numFmtId="0" fontId="12" fillId="10" borderId="16" xfId="0" applyFont="1" applyFill="1" applyBorder="1" applyAlignment="1">
      <alignment horizontal="right"/>
    </xf>
    <xf numFmtId="0" fontId="12" fillId="10" borderId="1" xfId="0" applyFont="1" applyFill="1" applyBorder="1"/>
    <xf numFmtId="0" fontId="12" fillId="10" borderId="3" xfId="0" applyFont="1" applyFill="1" applyBorder="1"/>
    <xf numFmtId="0" fontId="12" fillId="10" borderId="3" xfId="0" applyFont="1" applyFill="1" applyBorder="1" applyAlignment="1">
      <alignment horizontal="right"/>
    </xf>
    <xf numFmtId="185" fontId="12" fillId="10" borderId="0" xfId="0" applyNumberFormat="1" applyFont="1" applyFill="1"/>
    <xf numFmtId="175" fontId="12" fillId="10" borderId="1" xfId="0" applyNumberFormat="1" applyFont="1" applyFill="1" applyBorder="1"/>
    <xf numFmtId="0" fontId="19" fillId="10" borderId="1" xfId="0" applyFont="1" applyFill="1" applyBorder="1" applyAlignment="1">
      <alignment horizontal="left"/>
    </xf>
    <xf numFmtId="185" fontId="19" fillId="10" borderId="1" xfId="0" applyNumberFormat="1" applyFont="1" applyFill="1" applyBorder="1"/>
    <xf numFmtId="0" fontId="19" fillId="10" borderId="1" xfId="0" applyFont="1" applyFill="1" applyBorder="1" applyAlignment="1">
      <alignment vertical="center"/>
    </xf>
    <xf numFmtId="0" fontId="27" fillId="10" borderId="0" xfId="0" applyFont="1" applyFill="1" applyAlignment="1">
      <alignment horizontal="centerContinuous"/>
    </xf>
    <xf numFmtId="0" fontId="26" fillId="10" borderId="17" xfId="0" applyFont="1" applyFill="1" applyBorder="1" applyAlignment="1">
      <alignment horizontal="centerContinuous"/>
    </xf>
    <xf numFmtId="0" fontId="12" fillId="10" borderId="0" xfId="0" applyFont="1" applyFill="1" applyAlignment="1">
      <alignment horizontal="centerContinuous"/>
    </xf>
    <xf numFmtId="0" fontId="12" fillId="10" borderId="17" xfId="0" applyFont="1" applyFill="1" applyBorder="1" applyAlignment="1">
      <alignment horizontal="centerContinuous"/>
    </xf>
    <xf numFmtId="183" fontId="12" fillId="10" borderId="18" xfId="0" applyNumberFormat="1" applyFont="1" applyFill="1" applyBorder="1" applyAlignment="1">
      <alignment horizontal="right"/>
    </xf>
    <xf numFmtId="169" fontId="12" fillId="10" borderId="17" xfId="0" applyNumberFormat="1" applyFont="1" applyFill="1" applyBorder="1"/>
    <xf numFmtId="180" fontId="12" fillId="10" borderId="21" xfId="0" applyNumberFormat="1" applyFont="1" applyFill="1" applyBorder="1" applyAlignment="1">
      <alignment horizontal="right"/>
    </xf>
    <xf numFmtId="186" fontId="12" fillId="10" borderId="0" xfId="0" applyNumberFormat="1" applyFont="1" applyFill="1"/>
    <xf numFmtId="186" fontId="12" fillId="10" borderId="17" xfId="0" applyNumberFormat="1" applyFont="1" applyFill="1" applyBorder="1"/>
    <xf numFmtId="180" fontId="12" fillId="10" borderId="0" xfId="0" applyNumberFormat="1" applyFont="1" applyFill="1" applyAlignment="1">
      <alignment horizontal="right"/>
    </xf>
    <xf numFmtId="187" fontId="12" fillId="10" borderId="0" xfId="0" applyNumberFormat="1" applyFont="1" applyFill="1"/>
    <xf numFmtId="187" fontId="12" fillId="10" borderId="17" xfId="0" applyNumberFormat="1" applyFont="1" applyFill="1" applyBorder="1"/>
    <xf numFmtId="183" fontId="12" fillId="10" borderId="21" xfId="0" applyNumberFormat="1" applyFont="1" applyFill="1" applyBorder="1"/>
    <xf numFmtId="180" fontId="12" fillId="10" borderId="17" xfId="0" applyNumberFormat="1" applyFont="1" applyFill="1" applyBorder="1"/>
    <xf numFmtId="0" fontId="19" fillId="11" borderId="0" xfId="0" applyFont="1" applyFill="1"/>
    <xf numFmtId="0" fontId="3" fillId="0" borderId="25" xfId="0" applyFont="1" applyBorder="1"/>
    <xf numFmtId="0" fontId="0" fillId="0" borderId="25" xfId="0" applyBorder="1"/>
    <xf numFmtId="0" fontId="12" fillId="12" borderId="0" xfId="0" applyFont="1" applyFill="1"/>
    <xf numFmtId="0" fontId="19" fillId="12" borderId="0" xfId="0" applyFont="1" applyFill="1" applyAlignment="1">
      <alignment horizontal="center"/>
    </xf>
    <xf numFmtId="169" fontId="12" fillId="12" borderId="23" xfId="0" applyNumberFormat="1" applyFont="1" applyFill="1" applyBorder="1" applyAlignment="1">
      <alignment horizontal="right"/>
    </xf>
    <xf numFmtId="169" fontId="12" fillId="12" borderId="24" xfId="0" applyNumberFormat="1" applyFont="1" applyFill="1" applyBorder="1" applyAlignment="1">
      <alignment horizontal="right"/>
    </xf>
    <xf numFmtId="169" fontId="12" fillId="12" borderId="19" xfId="0" applyNumberFormat="1" applyFont="1" applyFill="1" applyBorder="1"/>
    <xf numFmtId="169" fontId="12" fillId="12" borderId="20" xfId="0" applyNumberFormat="1" applyFont="1" applyFill="1" applyBorder="1"/>
    <xf numFmtId="180" fontId="12" fillId="12" borderId="20" xfId="0" applyNumberFormat="1" applyFont="1" applyFill="1" applyBorder="1"/>
    <xf numFmtId="180" fontId="12" fillId="12" borderId="22" xfId="0" applyNumberFormat="1" applyFont="1" applyFill="1" applyBorder="1"/>
    <xf numFmtId="169" fontId="12" fillId="12" borderId="22" xfId="0" applyNumberFormat="1" applyFont="1" applyFill="1" applyBorder="1"/>
    <xf numFmtId="0" fontId="24" fillId="0" borderId="5" xfId="0" applyFont="1" applyBorder="1"/>
    <xf numFmtId="0" fontId="8" fillId="0" borderId="5" xfId="0" applyFont="1" applyBorder="1"/>
    <xf numFmtId="0" fontId="24" fillId="0" borderId="5" xfId="0" applyFont="1" applyBorder="1" applyAlignment="1">
      <alignment horizontal="right"/>
    </xf>
    <xf numFmtId="0" fontId="13" fillId="0" borderId="0" xfId="0" applyFont="1" applyAlignment="1">
      <alignment horizontal="left"/>
    </xf>
    <xf numFmtId="10" fontId="14" fillId="0" borderId="0" xfId="0" applyNumberFormat="1" applyFont="1"/>
    <xf numFmtId="189" fontId="8" fillId="0" borderId="0" xfId="0" applyNumberFormat="1" applyFont="1"/>
    <xf numFmtId="0" fontId="3" fillId="0" borderId="18" xfId="0" applyFont="1" applyBorder="1"/>
    <xf numFmtId="0" fontId="0" fillId="0" borderId="18" xfId="0" applyBorder="1"/>
    <xf numFmtId="190" fontId="22" fillId="0" borderId="0" xfId="0" applyNumberFormat="1" applyFont="1"/>
    <xf numFmtId="9" fontId="14" fillId="13" borderId="0" xfId="0" applyNumberFormat="1" applyFont="1" applyFill="1"/>
    <xf numFmtId="182" fontId="0" fillId="0" borderId="0" xfId="0" applyNumberFormat="1"/>
    <xf numFmtId="9" fontId="8" fillId="0" borderId="0" xfId="0" applyNumberFormat="1" applyFont="1"/>
    <xf numFmtId="0" fontId="4" fillId="7" borderId="0" xfId="0" applyFont="1" applyFill="1"/>
    <xf numFmtId="0" fontId="0" fillId="0" borderId="2" xfId="0" applyBorder="1"/>
    <xf numFmtId="182" fontId="3" fillId="0" borderId="2" xfId="0" applyNumberFormat="1" applyFont="1" applyBorder="1"/>
    <xf numFmtId="188" fontId="22" fillId="0" borderId="0" xfId="0" applyNumberFormat="1" applyFont="1"/>
    <xf numFmtId="188" fontId="8" fillId="0" borderId="1" xfId="0" applyNumberFormat="1" applyFont="1" applyBorder="1"/>
    <xf numFmtId="169" fontId="8" fillId="0" borderId="3" xfId="0" applyNumberFormat="1" applyFont="1" applyBorder="1" applyAlignment="1">
      <alignment horizontal="right"/>
    </xf>
    <xf numFmtId="0" fontId="5" fillId="7" borderId="0" xfId="0" applyFont="1" applyFill="1" applyAlignment="1">
      <alignment horizontal="left"/>
    </xf>
    <xf numFmtId="166" fontId="9" fillId="6" borderId="0" xfId="0" applyNumberFormat="1" applyFont="1" applyFill="1" applyAlignment="1">
      <alignment horizontal="left"/>
    </xf>
    <xf numFmtId="43" fontId="7" fillId="0" borderId="0" xfId="3" applyNumberFormat="1" applyBorder="1" applyAlignment="1" applyProtection="1">
      <alignment horizontal="center"/>
    </xf>
    <xf numFmtId="43" fontId="5" fillId="4" borderId="0" xfId="6" applyNumberFormat="1" applyFont="1" applyBorder="1" applyAlignment="1">
      <alignment horizontal="center"/>
    </xf>
  </cellXfs>
  <cellStyles count="7">
    <cellStyle name="60% - Accent1 2" xfId="4" xr:uid="{BEE977B3-3BE8-4F20-A152-4B31F6BF50A0}"/>
    <cellStyle name="60% - Accent3 2" xfId="5" xr:uid="{84717CD9-0BD8-4C74-AFBD-A5833078D1C7}"/>
    <cellStyle name="Accent6 2" xfId="6" xr:uid="{3DD31C12-C671-472B-B78D-6668FA4D5A0E}"/>
    <cellStyle name="Comma 2" xfId="1" xr:uid="{645BE20E-1524-4A41-BC3F-3DA7C81FABF3}"/>
    <cellStyle name="Hyperlink" xfId="2" builtinId="8"/>
    <cellStyle name="Hyperlink 2" xfId="3" xr:uid="{2B572833-609F-46B0-8191-6FE4D128583D}"/>
    <cellStyle name="Normal" xfId="0" builtinId="0"/>
  </cellStyles>
  <dxfs count="3">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colors>
    <mruColors>
      <color rgb="FFD4DBF1"/>
      <color rgb="FF1D36C8"/>
      <color rgb="FF3333FF"/>
      <color rgb="FFCCECFF"/>
      <color rgb="FFACB9E2"/>
      <color rgb="FF96A2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WSP\DCF\DCF%20Model.xlsx" TargetMode="External"/><Relationship Id="rId1" Type="http://schemas.openxmlformats.org/officeDocument/2006/relationships/externalLinkPath" Target="/WSP/DCF/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refreshError="1"/>
      <sheetData sheetId="2"/>
      <sheetData sheetId="3" refreshError="1"/>
      <sheetData sheetId="4" refreshError="1"/>
      <sheetData sheetId="5" refreshError="1"/>
      <sheetData sheetId="6"/>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nseindia.com/get-quotes/equity?symbol=HINDUNILVR"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516D-7519-478B-BD1B-C97DECF8BFE6}">
  <dimension ref="A2:N188"/>
  <sheetViews>
    <sheetView showGridLines="0" tabSelected="1" zoomScaleNormal="100" workbookViewId="0">
      <pane ySplit="10" topLeftCell="A106" activePane="bottomLeft" state="frozen"/>
      <selection pane="bottomLeft" activeCell="O8" sqref="O8"/>
    </sheetView>
  </sheetViews>
  <sheetFormatPr defaultRowHeight="14.4" x14ac:dyDescent="0.3"/>
  <cols>
    <col min="1" max="1" width="1.88671875" style="1" customWidth="1"/>
    <col min="2" max="2" width="30.77734375" style="5" customWidth="1"/>
    <col min="3" max="3" width="23.33203125" style="5" customWidth="1"/>
    <col min="4" max="6" width="10.77734375" style="1" customWidth="1"/>
    <col min="7" max="7" width="11.88671875" style="1" bestFit="1" customWidth="1"/>
    <col min="8" max="11" width="11.109375" style="1" bestFit="1" customWidth="1"/>
    <col min="12" max="12" width="1.88671875" style="1" customWidth="1"/>
    <col min="13" max="16384" width="8.88671875" style="1"/>
  </cols>
  <sheetData>
    <row r="2" spans="1:13" x14ac:dyDescent="0.3">
      <c r="B2" s="230" t="str">
        <f>"Financial Statement Model for "&amp;C5</f>
        <v>Financial Statement Model for HINDUSTAN UNILEVER LTD</v>
      </c>
      <c r="C2" s="230"/>
      <c r="D2" s="230"/>
      <c r="E2" s="230"/>
      <c r="F2" s="230"/>
      <c r="G2" s="230"/>
      <c r="H2" s="230"/>
      <c r="I2" s="230"/>
      <c r="J2" s="230"/>
      <c r="K2" s="230"/>
    </row>
    <row r="3" spans="1:13" x14ac:dyDescent="0.3">
      <c r="B3" s="231" t="s">
        <v>70</v>
      </c>
      <c r="C3" s="231"/>
      <c r="D3" s="231"/>
      <c r="E3" s="231"/>
      <c r="F3" s="231"/>
      <c r="G3" s="231"/>
      <c r="H3" s="231"/>
      <c r="I3" s="231"/>
      <c r="J3" s="231"/>
      <c r="K3" s="231"/>
    </row>
    <row r="5" spans="1:13" x14ac:dyDescent="0.3">
      <c r="B5" s="5" t="s">
        <v>71</v>
      </c>
      <c r="C5" s="15" t="s">
        <v>1</v>
      </c>
      <c r="H5" t="s">
        <v>75</v>
      </c>
      <c r="K5" s="17">
        <v>2966.25</v>
      </c>
    </row>
    <row r="6" spans="1:13" x14ac:dyDescent="0.3">
      <c r="B6" s="5" t="s">
        <v>72</v>
      </c>
      <c r="C6" s="16" t="s">
        <v>73</v>
      </c>
      <c r="H6" t="s">
        <v>76</v>
      </c>
      <c r="K6" s="18">
        <v>45562</v>
      </c>
    </row>
    <row r="7" spans="1:13" x14ac:dyDescent="0.3">
      <c r="B7" t="s">
        <v>74</v>
      </c>
      <c r="C7" s="3">
        <v>0</v>
      </c>
      <c r="H7" s="14" t="s">
        <v>77</v>
      </c>
      <c r="K7" s="18">
        <v>45382</v>
      </c>
    </row>
    <row r="8" spans="1:13" x14ac:dyDescent="0.3">
      <c r="B8" s="5" t="s">
        <v>108</v>
      </c>
      <c r="C8" s="102" t="s">
        <v>212</v>
      </c>
      <c r="H8" t="s">
        <v>125</v>
      </c>
      <c r="K8" s="19">
        <v>234.95912619999999</v>
      </c>
    </row>
    <row r="10" spans="1:13" x14ac:dyDescent="0.3">
      <c r="B10" s="23" t="s">
        <v>78</v>
      </c>
      <c r="C10" s="23"/>
      <c r="D10" s="24">
        <f>E10-1</f>
        <v>2022</v>
      </c>
      <c r="E10" s="24">
        <f>F10-1</f>
        <v>2023</v>
      </c>
      <c r="F10" s="24">
        <f>YEAR(K7)</f>
        <v>2024</v>
      </c>
      <c r="G10" s="25">
        <f>F10+1</f>
        <v>2025</v>
      </c>
      <c r="H10" s="25">
        <f t="shared" ref="H10:K10" si="0">G10+1</f>
        <v>2026</v>
      </c>
      <c r="I10" s="25">
        <f t="shared" si="0"/>
        <v>2027</v>
      </c>
      <c r="J10" s="25">
        <f t="shared" si="0"/>
        <v>2028</v>
      </c>
      <c r="K10" s="25">
        <f t="shared" si="0"/>
        <v>2029</v>
      </c>
    </row>
    <row r="11" spans="1:13" x14ac:dyDescent="0.3">
      <c r="B11" s="23" t="s">
        <v>79</v>
      </c>
      <c r="C11" s="23"/>
      <c r="D11" s="26">
        <f>EOMONTH(E11,-12)</f>
        <v>44651</v>
      </c>
      <c r="E11" s="26">
        <f>EOMONTH(F11,-12)</f>
        <v>45016</v>
      </c>
      <c r="F11" s="26">
        <f>K7</f>
        <v>45382</v>
      </c>
      <c r="G11" s="26">
        <f>EOMONTH(F11,12)</f>
        <v>45747</v>
      </c>
      <c r="H11" s="26">
        <f t="shared" ref="H11:K11" si="1">EOMONTH(G11,12)</f>
        <v>46112</v>
      </c>
      <c r="I11" s="26">
        <f t="shared" si="1"/>
        <v>46477</v>
      </c>
      <c r="J11" s="26">
        <f t="shared" si="1"/>
        <v>46843</v>
      </c>
      <c r="K11" s="26">
        <f t="shared" si="1"/>
        <v>47208</v>
      </c>
    </row>
    <row r="12" spans="1:13" x14ac:dyDescent="0.3">
      <c r="A12" s="1" t="s">
        <v>55</v>
      </c>
      <c r="B12" s="4" t="s">
        <v>56</v>
      </c>
      <c r="C12" s="4"/>
      <c r="D12" s="3"/>
      <c r="E12" s="3"/>
      <c r="F12" s="3"/>
      <c r="G12" s="3"/>
      <c r="H12" s="3"/>
      <c r="I12" s="3"/>
      <c r="J12" s="3"/>
      <c r="K12" s="3"/>
    </row>
    <row r="14" spans="1:13" x14ac:dyDescent="0.3">
      <c r="B14" s="5" t="s">
        <v>13</v>
      </c>
      <c r="D14" s="22">
        <f>IFERROR('Data Sheet'!I17,0)</f>
        <v>52446</v>
      </c>
      <c r="E14" s="22">
        <f>IFERROR('Data Sheet'!J17,0)</f>
        <v>60580</v>
      </c>
      <c r="F14" s="22">
        <f>IFERROR('Data Sheet'!K17,0)</f>
        <v>61896</v>
      </c>
      <c r="G14" s="32">
        <f ca="1">IFERROR(F14*(1+G32),0)</f>
        <v>64743.216</v>
      </c>
      <c r="H14" s="32">
        <f t="shared" ref="H14:K14" ca="1" si="2">IFERROR(G14*(1+H32),0)</f>
        <v>70246.389360000001</v>
      </c>
      <c r="I14" s="32">
        <f t="shared" ca="1" si="2"/>
        <v>75866.100508800009</v>
      </c>
      <c r="J14" s="32">
        <f t="shared" ca="1" si="2"/>
        <v>81935.388549504016</v>
      </c>
      <c r="K14" s="32">
        <f t="shared" ca="1" si="2"/>
        <v>88490.219633464338</v>
      </c>
      <c r="M14" t="s">
        <v>113</v>
      </c>
    </row>
    <row r="15" spans="1:13" x14ac:dyDescent="0.3">
      <c r="B15" s="43" t="s">
        <v>57</v>
      </c>
      <c r="C15" s="43"/>
      <c r="D15" s="44">
        <f>IFERROR(SUM('Data Sheet'!I18:I21),0)</f>
        <v>26565</v>
      </c>
      <c r="E15" s="44">
        <f>IFERROR(SUM('Data Sheet'!J18:J21),0)</f>
        <v>32677</v>
      </c>
      <c r="F15" s="44">
        <f>IFERROR(SUM('Data Sheet'!K18:K21),0)</f>
        <v>30664</v>
      </c>
      <c r="G15" s="52">
        <f ca="1">IFERROR(G14-G16,0)</f>
        <v>31206.230111999997</v>
      </c>
      <c r="H15" s="52">
        <f t="shared" ref="H15:K15" ca="1" si="3">IFERROR(H14-H16,0)</f>
        <v>33507.527724719999</v>
      </c>
      <c r="I15" s="52">
        <f t="shared" ca="1" si="3"/>
        <v>35732.933339644806</v>
      </c>
      <c r="J15" s="52">
        <f t="shared" ca="1" si="3"/>
        <v>38591.568006816393</v>
      </c>
      <c r="K15" s="52">
        <f t="shared" ca="1" si="3"/>
        <v>41678.893447361697</v>
      </c>
      <c r="M15" t="s">
        <v>114</v>
      </c>
    </row>
    <row r="16" spans="1:13" x14ac:dyDescent="0.3">
      <c r="B16" s="20" t="s">
        <v>58</v>
      </c>
      <c r="C16" s="20"/>
      <c r="D16" s="21">
        <f>IFERROR(D14-D15,0)</f>
        <v>25881</v>
      </c>
      <c r="E16" s="21">
        <f>IFERROR(E14-E15,0)</f>
        <v>27903</v>
      </c>
      <c r="F16" s="21">
        <f>IFERROR(F14-F15,0)</f>
        <v>31232</v>
      </c>
      <c r="G16" s="34">
        <f ca="1">IFERROR(G14*G33,0)</f>
        <v>33536.985888000003</v>
      </c>
      <c r="H16" s="34">
        <f t="shared" ref="H16:K16" ca="1" si="4">IFERROR(H14*H33,0)</f>
        <v>36738.861635280002</v>
      </c>
      <c r="I16" s="34">
        <f t="shared" ca="1" si="4"/>
        <v>40133.167169155204</v>
      </c>
      <c r="J16" s="34">
        <f t="shared" ca="1" si="4"/>
        <v>43343.820542687623</v>
      </c>
      <c r="K16" s="34">
        <f t="shared" ca="1" si="4"/>
        <v>46811.32618610264</v>
      </c>
      <c r="M16" s="31" t="s">
        <v>115</v>
      </c>
    </row>
    <row r="17" spans="2:13" x14ac:dyDescent="0.3">
      <c r="B17" s="5" t="s">
        <v>103</v>
      </c>
      <c r="C17" s="20"/>
      <c r="D17" s="2" t="s">
        <v>102</v>
      </c>
      <c r="E17" s="2" t="s">
        <v>102</v>
      </c>
      <c r="F17" s="2" t="s">
        <v>102</v>
      </c>
      <c r="G17" s="33" t="s">
        <v>102</v>
      </c>
      <c r="H17" s="33" t="s">
        <v>102</v>
      </c>
      <c r="I17" s="33" t="s">
        <v>102</v>
      </c>
      <c r="J17" s="33" t="s">
        <v>102</v>
      </c>
      <c r="K17" s="33" t="s">
        <v>102</v>
      </c>
      <c r="M17" s="31" t="s">
        <v>116</v>
      </c>
    </row>
    <row r="18" spans="2:13" x14ac:dyDescent="0.3">
      <c r="B18" s="43" t="s">
        <v>59</v>
      </c>
      <c r="C18" s="43"/>
      <c r="D18" s="44">
        <f>IFERROR(SUM('Data Sheet'!I22:I24),0)</f>
        <v>13068</v>
      </c>
      <c r="E18" s="44">
        <f>IFERROR(SUM('Data Sheet'!J22:J24),0)</f>
        <v>13906</v>
      </c>
      <c r="F18" s="44">
        <f>IFERROR(SUM('Data Sheet'!K22:K24),0)</f>
        <v>16595</v>
      </c>
      <c r="G18" s="52">
        <f ca="1">IFERROR(G16-G19,0)</f>
        <v>17998.614048000003</v>
      </c>
      <c r="H18" s="52">
        <f t="shared" ref="H18:K18" ca="1" si="5">IFERROR(H16-H19,0)</f>
        <v>19598.742631440004</v>
      </c>
      <c r="I18" s="52">
        <f t="shared" ca="1" si="5"/>
        <v>21394.240343481601</v>
      </c>
      <c r="J18" s="52">
        <f t="shared" ca="1" si="5"/>
        <v>23105.779570960131</v>
      </c>
      <c r="K18" s="52">
        <f t="shared" ca="1" si="5"/>
        <v>24954.24193663695</v>
      </c>
      <c r="M18" s="31" t="s">
        <v>117</v>
      </c>
    </row>
    <row r="19" spans="2:13" x14ac:dyDescent="0.3">
      <c r="B19" s="20" t="s">
        <v>60</v>
      </c>
      <c r="C19" s="20"/>
      <c r="D19" s="21">
        <f>IFERROR(D16-D18,0)</f>
        <v>12813</v>
      </c>
      <c r="E19" s="21">
        <f>IFERROR(E16-E18,0)</f>
        <v>13997</v>
      </c>
      <c r="F19" s="21">
        <f>IFERROR(F16-F18,0)</f>
        <v>14637</v>
      </c>
      <c r="G19" s="34">
        <f ca="1">IFERROR(G14*G36,0)</f>
        <v>15538.37184</v>
      </c>
      <c r="H19" s="34">
        <f t="shared" ref="H19:K19" ca="1" si="6">IFERROR(H14*H36,0)</f>
        <v>17140.119003839998</v>
      </c>
      <c r="I19" s="34">
        <f t="shared" ca="1" si="6"/>
        <v>18738.926825673603</v>
      </c>
      <c r="J19" s="34">
        <f t="shared" ca="1" si="6"/>
        <v>20238.040971727492</v>
      </c>
      <c r="K19" s="34">
        <f t="shared" ca="1" si="6"/>
        <v>21857.08424946569</v>
      </c>
      <c r="M19" s="9" t="s">
        <v>118</v>
      </c>
    </row>
    <row r="20" spans="2:13" x14ac:dyDescent="0.3">
      <c r="B20" s="43" t="s">
        <v>94</v>
      </c>
      <c r="C20" s="43"/>
      <c r="D20" s="44">
        <f>IFERROR('Data Sheet'!I26,0)</f>
        <v>1091</v>
      </c>
      <c r="E20" s="44">
        <f>IFERROR('Data Sheet'!J26,0)</f>
        <v>1137</v>
      </c>
      <c r="F20" s="44">
        <f>IFERROR('Data Sheet'!K26,0)</f>
        <v>1216</v>
      </c>
      <c r="G20" s="52">
        <f ca="1">IFERROR(G99,0)</f>
        <v>1302.6465600000001</v>
      </c>
      <c r="H20" s="52">
        <f t="shared" ref="H20:K20" ca="1" si="7">IFERROR(H99,0)</f>
        <v>1446.6924752</v>
      </c>
      <c r="I20" s="52">
        <f t="shared" ca="1" si="7"/>
        <v>1598.4145074240002</v>
      </c>
      <c r="J20" s="52">
        <f t="shared" ca="1" si="7"/>
        <v>1765.1532329625604</v>
      </c>
      <c r="K20" s="52">
        <f t="shared" ca="1" si="7"/>
        <v>1948.3403017397766</v>
      </c>
    </row>
    <row r="21" spans="2:13" x14ac:dyDescent="0.3">
      <c r="B21" s="20" t="s">
        <v>61</v>
      </c>
      <c r="C21" s="20"/>
      <c r="D21" s="21">
        <f>IFERROR(D19-D20,0)</f>
        <v>11722</v>
      </c>
      <c r="E21" s="21">
        <f>IFERROR(E19-E20,0)</f>
        <v>12860</v>
      </c>
      <c r="F21" s="21">
        <f>IFERROR(F19-F20,0)</f>
        <v>13421</v>
      </c>
      <c r="G21" s="34">
        <f ca="1">IFERROR(G19-G20,0)</f>
        <v>14235.725279999999</v>
      </c>
      <c r="H21" s="34">
        <f t="shared" ref="H21:K21" ca="1" si="8">IFERROR(H19-H20,0)</f>
        <v>15693.426528639999</v>
      </c>
      <c r="I21" s="34">
        <f t="shared" ca="1" si="8"/>
        <v>17140.512318249603</v>
      </c>
      <c r="J21" s="34">
        <f t="shared" ca="1" si="8"/>
        <v>18472.887738764934</v>
      </c>
      <c r="K21" s="34">
        <f t="shared" ca="1" si="8"/>
        <v>19908.743947725914</v>
      </c>
      <c r="M21" s="20" t="s">
        <v>120</v>
      </c>
    </row>
    <row r="22" spans="2:13" x14ac:dyDescent="0.3">
      <c r="B22" s="5" t="s">
        <v>21</v>
      </c>
      <c r="D22" s="22">
        <f>IFERROR('Data Sheet'!I25,0)</f>
        <v>219</v>
      </c>
      <c r="E22" s="22">
        <f>IFERROR('Data Sheet'!J25,0)</f>
        <v>448</v>
      </c>
      <c r="F22" s="22">
        <f>IFERROR('Data Sheet'!K25,0)</f>
        <v>817</v>
      </c>
      <c r="G22" s="33">
        <f>IFERROR(AVERAGE(D22:F22),0)</f>
        <v>494.66666666666669</v>
      </c>
      <c r="H22" s="33">
        <f t="shared" ref="H22:K22" si="9">IFERROR(AVERAGE(E22:G22),0)</f>
        <v>586.55555555555554</v>
      </c>
      <c r="I22" s="33">
        <f t="shared" si="9"/>
        <v>632.74074074074076</v>
      </c>
      <c r="J22" s="33">
        <f t="shared" si="9"/>
        <v>571.32098765432102</v>
      </c>
      <c r="K22" s="33">
        <f t="shared" si="9"/>
        <v>596.87242798353907</v>
      </c>
      <c r="M22" s="5" t="s">
        <v>173</v>
      </c>
    </row>
    <row r="23" spans="2:13" x14ac:dyDescent="0.3">
      <c r="B23" s="43" t="s">
        <v>170</v>
      </c>
      <c r="C23" s="43"/>
      <c r="D23" s="44">
        <f>IFERROR('Data Sheet'!I27,0)</f>
        <v>106</v>
      </c>
      <c r="E23" s="44">
        <f>IFERROR('Data Sheet'!J27,0)</f>
        <v>114</v>
      </c>
      <c r="F23" s="44">
        <f>IFERROR('Data Sheet'!K27,0)</f>
        <v>334</v>
      </c>
      <c r="G23" s="52">
        <f ca="1">IFERROR(F23*(1+G32),0)</f>
        <v>349.36400000000003</v>
      </c>
      <c r="H23" s="52">
        <f t="shared" ref="H23:K23" ca="1" si="10">IFERROR(G23*(1+H32),0)</f>
        <v>379.05994000000004</v>
      </c>
      <c r="I23" s="52">
        <f t="shared" ca="1" si="10"/>
        <v>409.38473520000008</v>
      </c>
      <c r="J23" s="52">
        <f t="shared" ca="1" si="10"/>
        <v>442.13551401600012</v>
      </c>
      <c r="K23" s="52">
        <f t="shared" ca="1" si="10"/>
        <v>477.50635513728014</v>
      </c>
      <c r="M23" t="s">
        <v>110</v>
      </c>
    </row>
    <row r="24" spans="2:13" x14ac:dyDescent="0.3">
      <c r="B24" s="20" t="s">
        <v>63</v>
      </c>
      <c r="C24" s="20"/>
      <c r="D24" s="21">
        <f>IFERROR(D21+D22-D23,0)</f>
        <v>11835</v>
      </c>
      <c r="E24" s="21">
        <f>IFERROR(E21+E22-E23,0)</f>
        <v>13194</v>
      </c>
      <c r="F24" s="21">
        <f>IFERROR(F21+F22-F23,0)</f>
        <v>13904</v>
      </c>
      <c r="G24" s="34">
        <f ca="1">IFERROR(G21-G22-G23,0)</f>
        <v>13391.694613333333</v>
      </c>
      <c r="H24" s="34">
        <f t="shared" ref="H24:K24" ca="1" si="11">IFERROR(H21-H22-H23,0)</f>
        <v>14727.811033084445</v>
      </c>
      <c r="I24" s="34">
        <f t="shared" ca="1" si="11"/>
        <v>16098.386842308862</v>
      </c>
      <c r="J24" s="34">
        <f t="shared" ca="1" si="11"/>
        <v>17459.43123709461</v>
      </c>
      <c r="K24" s="34">
        <f t="shared" ca="1" si="11"/>
        <v>18834.365164605093</v>
      </c>
      <c r="M24" s="20" t="s">
        <v>121</v>
      </c>
    </row>
    <row r="25" spans="2:13" x14ac:dyDescent="0.3">
      <c r="B25" s="5" t="s">
        <v>25</v>
      </c>
      <c r="D25" s="22">
        <f>IFERROR('Data Sheet'!I29,0)</f>
        <v>2987</v>
      </c>
      <c r="E25" s="22">
        <f>IFERROR('Data Sheet'!J29,0)</f>
        <v>3201</v>
      </c>
      <c r="F25" s="22">
        <f>IFERROR('Data Sheet'!K29,0)</f>
        <v>3644</v>
      </c>
      <c r="G25" s="33">
        <f t="shared" ref="G25:K25" ca="1" si="12">IFERROR(G24*G37,0)</f>
        <v>3509.7335422171077</v>
      </c>
      <c r="H25" s="33">
        <f t="shared" ca="1" si="12"/>
        <v>3859.9067465880116</v>
      </c>
      <c r="I25" s="33">
        <f t="shared" ca="1" si="12"/>
        <v>4219.1111660941806</v>
      </c>
      <c r="J25" s="33">
        <f t="shared" ca="1" si="12"/>
        <v>4575.8175653029884</v>
      </c>
      <c r="K25" s="33">
        <f t="shared" ca="1" si="12"/>
        <v>4936.1641728870072</v>
      </c>
      <c r="M25" t="s">
        <v>119</v>
      </c>
    </row>
    <row r="26" spans="2:13" ht="15" thickBot="1" x14ac:dyDescent="0.35">
      <c r="B26" s="46" t="s">
        <v>62</v>
      </c>
      <c r="C26" s="46"/>
      <c r="D26" s="40">
        <f>IFERROR(D24-D25,0)</f>
        <v>8848</v>
      </c>
      <c r="E26" s="40">
        <f>IFERROR(E24-E25,0)</f>
        <v>9993</v>
      </c>
      <c r="F26" s="40">
        <f>IFERROR(F24-F25,0)</f>
        <v>10260</v>
      </c>
      <c r="G26" s="41">
        <f ca="1">IFERROR(G24-G25,0)</f>
        <v>9881.9610711162259</v>
      </c>
      <c r="H26" s="41">
        <f t="shared" ref="H26:K26" ca="1" si="13">IFERROR(H24-H25,0)</f>
        <v>10867.904286496432</v>
      </c>
      <c r="I26" s="41">
        <f t="shared" ca="1" si="13"/>
        <v>11879.275676214682</v>
      </c>
      <c r="J26" s="41">
        <f t="shared" ca="1" si="13"/>
        <v>12883.613671791622</v>
      </c>
      <c r="K26" s="41">
        <f t="shared" ca="1" si="13"/>
        <v>13898.200991718086</v>
      </c>
      <c r="M26" s="20" t="s">
        <v>122</v>
      </c>
    </row>
    <row r="27" spans="2:13" ht="15" thickTop="1" x14ac:dyDescent="0.3">
      <c r="B27" s="20"/>
      <c r="C27" s="20"/>
      <c r="D27" s="21"/>
      <c r="E27" s="21"/>
      <c r="F27" s="21"/>
      <c r="G27" s="21"/>
      <c r="H27" s="21"/>
      <c r="I27" s="21"/>
      <c r="J27" s="21"/>
      <c r="K27" s="21"/>
    </row>
    <row r="28" spans="2:13" x14ac:dyDescent="0.3">
      <c r="B28" s="5" t="s">
        <v>82</v>
      </c>
      <c r="C28" s="20"/>
      <c r="D28" s="22">
        <v>0</v>
      </c>
      <c r="E28" s="22">
        <v>0</v>
      </c>
      <c r="F28" s="22">
        <v>1</v>
      </c>
      <c r="G28" s="33">
        <f ca="1">IFERROR(F28*(1+G32),0)</f>
        <v>1.046</v>
      </c>
      <c r="H28" s="33">
        <f t="shared" ref="H28:K28" ca="1" si="14">IFERROR(G28*(1+H32),0)</f>
        <v>1.1349100000000001</v>
      </c>
      <c r="I28" s="33">
        <f t="shared" ca="1" si="14"/>
        <v>1.2257028000000001</v>
      </c>
      <c r="J28" s="33">
        <f t="shared" ca="1" si="14"/>
        <v>1.3237590240000001</v>
      </c>
      <c r="K28" s="33">
        <f t="shared" ca="1" si="14"/>
        <v>1.4296597459200002</v>
      </c>
      <c r="M28" t="s">
        <v>123</v>
      </c>
    </row>
    <row r="29" spans="2:13" x14ac:dyDescent="0.3">
      <c r="B29" s="53" t="s">
        <v>95</v>
      </c>
      <c r="C29" s="53"/>
      <c r="D29" s="54">
        <f>IFERROR(D19-D28,0)</f>
        <v>12813</v>
      </c>
      <c r="E29" s="54">
        <f t="shared" ref="E29:K29" si="15">IFERROR(E19-E28,0)</f>
        <v>13997</v>
      </c>
      <c r="F29" s="54">
        <f t="shared" si="15"/>
        <v>14636</v>
      </c>
      <c r="G29" s="55">
        <f t="shared" ca="1" si="15"/>
        <v>15537.32584</v>
      </c>
      <c r="H29" s="55">
        <f t="shared" ca="1" si="15"/>
        <v>17138.984093839998</v>
      </c>
      <c r="I29" s="55">
        <f t="shared" ca="1" si="15"/>
        <v>18737.701122873605</v>
      </c>
      <c r="J29" s="55">
        <f t="shared" ca="1" si="15"/>
        <v>20236.717212703494</v>
      </c>
      <c r="K29" s="55">
        <f t="shared" ca="1" si="15"/>
        <v>21855.654589719768</v>
      </c>
      <c r="M29" s="9" t="s">
        <v>124</v>
      </c>
    </row>
    <row r="30" spans="2:13" x14ac:dyDescent="0.3">
      <c r="B30" s="20"/>
      <c r="C30" s="20"/>
      <c r="D30" s="21"/>
      <c r="E30" s="21"/>
      <c r="F30" s="21"/>
      <c r="G30" s="21"/>
      <c r="H30" s="21"/>
      <c r="I30" s="21"/>
      <c r="J30" s="21"/>
      <c r="K30" s="21"/>
    </row>
    <row r="31" spans="2:13" x14ac:dyDescent="0.3">
      <c r="B31" s="27" t="s">
        <v>96</v>
      </c>
      <c r="C31" s="20"/>
      <c r="D31" s="21"/>
      <c r="E31" s="21"/>
      <c r="F31" s="21"/>
      <c r="G31" s="21"/>
      <c r="H31" s="21"/>
      <c r="I31" s="21"/>
      <c r="J31" s="21"/>
      <c r="K31" s="21"/>
    </row>
    <row r="32" spans="2:13" x14ac:dyDescent="0.3">
      <c r="B32" s="5" t="s">
        <v>97</v>
      </c>
      <c r="C32" s="20"/>
      <c r="D32" s="2"/>
      <c r="E32" s="28">
        <f>IFERROR(E14/D14-1,0)</f>
        <v>0.15509285741524614</v>
      </c>
      <c r="F32" s="28">
        <f t="shared" ref="F32" si="16">IFERROR(F14/E14-1,0)</f>
        <v>2.1723341036645749E-2</v>
      </c>
      <c r="G32" s="35">
        <f ca="1">IFERROR(G173,0)</f>
        <v>4.5999999999999999E-2</v>
      </c>
      <c r="H32" s="35">
        <f t="shared" ref="H32:K32" ca="1" si="17">IFERROR(H173,0)</f>
        <v>8.5000000000000006E-2</v>
      </c>
      <c r="I32" s="35">
        <f t="shared" ca="1" si="17"/>
        <v>0.08</v>
      </c>
      <c r="J32" s="35">
        <f t="shared" ca="1" si="17"/>
        <v>0.08</v>
      </c>
      <c r="K32" s="35">
        <f t="shared" ca="1" si="17"/>
        <v>0.08</v>
      </c>
      <c r="M32" t="s">
        <v>112</v>
      </c>
    </row>
    <row r="33" spans="1:13" x14ac:dyDescent="0.3">
      <c r="B33" s="5" t="s">
        <v>98</v>
      </c>
      <c r="C33" s="20"/>
      <c r="D33" s="28">
        <f>IFERROR(D16/D14,0)</f>
        <v>0.49347900697860658</v>
      </c>
      <c r="E33" s="28">
        <f t="shared" ref="E33:F33" si="18">IFERROR(E16/E14,0)</f>
        <v>0.46059755694948828</v>
      </c>
      <c r="F33" s="28">
        <f t="shared" si="18"/>
        <v>0.50458834173452238</v>
      </c>
      <c r="G33" s="35">
        <f ca="1">IFERROR(G174,0)</f>
        <v>0.51800000000000002</v>
      </c>
      <c r="H33" s="35">
        <f t="shared" ref="H33:K33" ca="1" si="19">IFERROR(H174,0)</f>
        <v>0.52300000000000002</v>
      </c>
      <c r="I33" s="35">
        <f t="shared" ca="1" si="19"/>
        <v>0.52900000000000003</v>
      </c>
      <c r="J33" s="35">
        <f t="shared" ca="1" si="19"/>
        <v>0.52900000000000003</v>
      </c>
      <c r="K33" s="35">
        <f t="shared" ca="1" si="19"/>
        <v>0.52900000000000003</v>
      </c>
      <c r="M33" t="s">
        <v>111</v>
      </c>
    </row>
    <row r="34" spans="1:13" x14ac:dyDescent="0.3">
      <c r="B34" s="5" t="s">
        <v>101</v>
      </c>
      <c r="C34" s="20"/>
      <c r="D34" s="28" t="s">
        <v>102</v>
      </c>
      <c r="E34" s="28" t="s">
        <v>102</v>
      </c>
      <c r="F34" s="28" t="s">
        <v>102</v>
      </c>
      <c r="G34" s="35" t="s">
        <v>102</v>
      </c>
      <c r="H34" s="35" t="s">
        <v>102</v>
      </c>
      <c r="I34" s="35" t="s">
        <v>102</v>
      </c>
      <c r="J34" s="35" t="s">
        <v>102</v>
      </c>
      <c r="K34" s="35" t="s">
        <v>102</v>
      </c>
      <c r="M34" t="s">
        <v>111</v>
      </c>
    </row>
    <row r="35" spans="1:13" x14ac:dyDescent="0.3">
      <c r="B35" s="5" t="s">
        <v>99</v>
      </c>
      <c r="C35" s="20"/>
      <c r="D35" s="28">
        <f>IFERROR(D18/D14,0)</f>
        <v>0.24917057544903329</v>
      </c>
      <c r="E35" s="28">
        <f t="shared" ref="E35:F35" si="20">IFERROR(E18/E14,0)</f>
        <v>0.22954770551337075</v>
      </c>
      <c r="F35" s="28">
        <f t="shared" si="20"/>
        <v>0.26811102494506917</v>
      </c>
      <c r="G35" s="35">
        <f ca="1">IFERROR(G175,0)</f>
        <v>0.27800000000000008</v>
      </c>
      <c r="H35" s="35">
        <f t="shared" ref="H35:K35" ca="1" si="21">IFERROR(H175,0)</f>
        <v>0.27900000000000003</v>
      </c>
      <c r="I35" s="35">
        <f t="shared" ca="1" si="21"/>
        <v>0.28200000000000003</v>
      </c>
      <c r="J35" s="35">
        <f t="shared" ca="1" si="21"/>
        <v>0.28200000000000003</v>
      </c>
      <c r="K35" s="35">
        <f t="shared" ca="1" si="21"/>
        <v>0.28200000000000003</v>
      </c>
      <c r="M35" t="s">
        <v>111</v>
      </c>
    </row>
    <row r="36" spans="1:13" x14ac:dyDescent="0.3">
      <c r="B36" s="5" t="s">
        <v>107</v>
      </c>
      <c r="C36" s="20"/>
      <c r="D36" s="28">
        <f>IFERROR(D19/D14,0)</f>
        <v>0.24430843152957327</v>
      </c>
      <c r="E36" s="28">
        <f t="shared" ref="E36:F36" si="22">IFERROR(E19/E14,0)</f>
        <v>0.23104985143611753</v>
      </c>
      <c r="F36" s="28">
        <f t="shared" si="22"/>
        <v>0.23647731678945327</v>
      </c>
      <c r="G36" s="35">
        <v>0.24</v>
      </c>
      <c r="H36" s="35">
        <v>0.24399999999999999</v>
      </c>
      <c r="I36" s="35">
        <v>0.247</v>
      </c>
      <c r="J36" s="35">
        <v>0.247</v>
      </c>
      <c r="K36" s="35">
        <v>0.247</v>
      </c>
      <c r="M36" t="s">
        <v>111</v>
      </c>
    </row>
    <row r="37" spans="1:13" x14ac:dyDescent="0.3">
      <c r="B37" s="5" t="s">
        <v>100</v>
      </c>
      <c r="C37" s="20"/>
      <c r="D37" s="28">
        <f>IFERROR(D25/D24,0)</f>
        <v>0.25238698774820451</v>
      </c>
      <c r="E37" s="28">
        <f t="shared" ref="E37:F37" si="23">IFERROR(E25/E24,0)</f>
        <v>0.24261027739881763</v>
      </c>
      <c r="F37" s="28">
        <f t="shared" si="23"/>
        <v>0.26208285385500574</v>
      </c>
      <c r="G37" s="35">
        <v>0.26208285385500574</v>
      </c>
      <c r="H37" s="35">
        <v>0.26208285385500574</v>
      </c>
      <c r="I37" s="35">
        <v>0.26208285385500574</v>
      </c>
      <c r="J37" s="35">
        <v>0.26208285385500574</v>
      </c>
      <c r="K37" s="35">
        <v>0.26208285385500574</v>
      </c>
      <c r="M37" t="s">
        <v>111</v>
      </c>
    </row>
    <row r="39" spans="1:13" x14ac:dyDescent="0.3">
      <c r="A39" s="1" t="s">
        <v>55</v>
      </c>
      <c r="B39" s="4" t="s">
        <v>64</v>
      </c>
      <c r="C39" s="4"/>
      <c r="D39" s="3"/>
      <c r="E39" s="3"/>
      <c r="F39" s="3"/>
      <c r="G39" s="3"/>
      <c r="H39" s="3"/>
      <c r="I39" s="3"/>
      <c r="J39" s="3"/>
      <c r="K39" s="3"/>
    </row>
    <row r="40" spans="1:13" x14ac:dyDescent="0.3">
      <c r="B40" s="7" t="s">
        <v>104</v>
      </c>
      <c r="C40" s="7"/>
      <c r="D40" s="22">
        <f>IFERROR('Data Sheet'!I69,0)</f>
        <v>3846</v>
      </c>
      <c r="E40" s="22">
        <f>IFERROR('Data Sheet'!J69,0)</f>
        <v>4678</v>
      </c>
      <c r="F40" s="22">
        <f>IFERROR('Data Sheet'!K69,0)</f>
        <v>7559</v>
      </c>
      <c r="G40" s="30">
        <f ca="1">IFERROR(F40+G83,0)</f>
        <v>3836.6332515316972</v>
      </c>
      <c r="H40" s="30">
        <f ca="1">IFERROR(G40+H83,0)</f>
        <v>4340.286499107071</v>
      </c>
      <c r="I40" s="30">
        <f ca="1">IFERROR(H40+I83,0)</f>
        <v>-355.68993980973391</v>
      </c>
      <c r="J40" s="30">
        <f ca="1">IFERROR(I40+J83,0)</f>
        <v>41.132612208970386</v>
      </c>
      <c r="K40" s="30">
        <f ca="1">IFERROR(J40+K83,0)</f>
        <v>-4676.3699786743236</v>
      </c>
      <c r="M40" t="s">
        <v>172</v>
      </c>
    </row>
    <row r="41" spans="1:13" x14ac:dyDescent="0.3">
      <c r="B41" s="6" t="s">
        <v>105</v>
      </c>
      <c r="C41" s="6"/>
      <c r="D41" s="22">
        <f>IFERROR('Data Sheet'!I67,0)</f>
        <v>2236</v>
      </c>
      <c r="E41" s="22">
        <f>IFERROR('Data Sheet'!J67,0)</f>
        <v>3079</v>
      </c>
      <c r="F41" s="22">
        <f>IFERROR('Data Sheet'!K67,0)</f>
        <v>2997</v>
      </c>
      <c r="G41" s="32">
        <f ca="1">IFERROR(G137,0)</f>
        <v>5871.9336986301369</v>
      </c>
      <c r="H41" s="32">
        <f t="shared" ref="H41:K41" ca="1" si="24">IFERROR(H137,0)</f>
        <v>3750.8593643835611</v>
      </c>
      <c r="I41" s="32">
        <f t="shared" ca="1" si="24"/>
        <v>6641.7571436712333</v>
      </c>
      <c r="J41" s="32">
        <f t="shared" ca="1" si="24"/>
        <v>4582.268685027946</v>
      </c>
      <c r="K41" s="32">
        <f t="shared" ca="1" si="24"/>
        <v>7539.6792099671675</v>
      </c>
      <c r="M41" t="s">
        <v>110</v>
      </c>
    </row>
    <row r="42" spans="1:13" x14ac:dyDescent="0.3">
      <c r="B42" s="6" t="s">
        <v>106</v>
      </c>
      <c r="C42" s="6"/>
      <c r="D42" s="22">
        <f>IFERROR('Data Sheet'!I68,0)</f>
        <v>4096</v>
      </c>
      <c r="E42" s="22">
        <f>IFERROR('Data Sheet'!J68,0)</f>
        <v>4251</v>
      </c>
      <c r="F42" s="22">
        <f>IFERROR('Data Sheet'!K68,0)</f>
        <v>4022</v>
      </c>
      <c r="G42" s="32">
        <f ca="1">IFERROR(G150,0)</f>
        <v>4397.2910812867212</v>
      </c>
      <c r="H42" s="32">
        <f t="shared" ref="H42:K42" ca="1" si="25">IFERROR(H150,0)</f>
        <v>4642.8790487226888</v>
      </c>
      <c r="I42" s="32">
        <f t="shared" ca="1" si="25"/>
        <v>4997.6948333175369</v>
      </c>
      <c r="J42" s="32">
        <f t="shared" ca="1" si="25"/>
        <v>5414.1249592859076</v>
      </c>
      <c r="K42" s="32">
        <f t="shared" ca="1" si="25"/>
        <v>5830.6404167258115</v>
      </c>
      <c r="M42" t="s">
        <v>109</v>
      </c>
    </row>
    <row r="43" spans="1:13" x14ac:dyDescent="0.3">
      <c r="B43" s="6" t="s">
        <v>39</v>
      </c>
      <c r="C43" s="6"/>
      <c r="D43" s="22">
        <v>3519</v>
      </c>
      <c r="E43" s="22">
        <v>2811</v>
      </c>
      <c r="F43" s="22">
        <v>4558</v>
      </c>
      <c r="G43" s="32">
        <f ca="1">IFERROR(F43*(1+G32),0)</f>
        <v>4767.6680000000006</v>
      </c>
      <c r="H43" s="32">
        <f t="shared" ref="H43:K43" ca="1" si="26">IFERROR(G43*(1+H32),0)</f>
        <v>5172.9197800000002</v>
      </c>
      <c r="I43" s="32">
        <f t="shared" ca="1" si="26"/>
        <v>5586.7533624000007</v>
      </c>
      <c r="J43" s="32">
        <f t="shared" ca="1" si="26"/>
        <v>6033.6936313920014</v>
      </c>
      <c r="K43" s="32">
        <f t="shared" ca="1" si="26"/>
        <v>6516.3891219033621</v>
      </c>
      <c r="M43" t="s">
        <v>110</v>
      </c>
    </row>
    <row r="44" spans="1:13" x14ac:dyDescent="0.3">
      <c r="B44" s="6" t="s">
        <v>127</v>
      </c>
      <c r="C44" s="6"/>
      <c r="D44" s="22">
        <v>1825</v>
      </c>
      <c r="E44" s="22">
        <v>2179</v>
      </c>
      <c r="F44" s="22">
        <v>2188</v>
      </c>
      <c r="G44" s="32">
        <f ca="1">IFERROR(F44*(1+G32),0)</f>
        <v>2288.6480000000001</v>
      </c>
      <c r="H44" s="32">
        <f t="shared" ref="H44:K44" ca="1" si="27">IFERROR(G44*(1+H32),0)</f>
        <v>2483.1830800000002</v>
      </c>
      <c r="I44" s="32">
        <f t="shared" ca="1" si="27"/>
        <v>2681.8377264000005</v>
      </c>
      <c r="J44" s="32">
        <f t="shared" ca="1" si="27"/>
        <v>2896.3847445120009</v>
      </c>
      <c r="K44" s="32">
        <f t="shared" ca="1" si="27"/>
        <v>3128.0955240729613</v>
      </c>
      <c r="M44" t="s">
        <v>110</v>
      </c>
    </row>
    <row r="45" spans="1:13" x14ac:dyDescent="0.3">
      <c r="B45" s="36" t="s">
        <v>147</v>
      </c>
      <c r="C45" s="37"/>
      <c r="D45" s="38">
        <v>6169</v>
      </c>
      <c r="E45" s="38">
        <v>6949</v>
      </c>
      <c r="F45" s="38">
        <v>8031</v>
      </c>
      <c r="G45" s="42">
        <f ca="1">IFERROR(G91,0)</f>
        <v>10843.02456</v>
      </c>
      <c r="H45" s="42">
        <f t="shared" ref="H45:K45" ca="1" si="28">IFERROR(H91,0)</f>
        <v>13927.392165199999</v>
      </c>
      <c r="I45" s="42">
        <f t="shared" ca="1" si="28"/>
        <v>17294.495813023997</v>
      </c>
      <c r="J45" s="42">
        <f t="shared" ca="1" si="28"/>
        <v>20969.833317618559</v>
      </c>
      <c r="K45" s="42">
        <f t="shared" ca="1" si="28"/>
        <v>24981.172632720896</v>
      </c>
      <c r="M45" t="s">
        <v>153</v>
      </c>
    </row>
    <row r="46" spans="1:13" x14ac:dyDescent="0.3">
      <c r="B46" s="6" t="s">
        <v>38</v>
      </c>
      <c r="C46" s="6"/>
      <c r="D46" s="22">
        <f>IFERROR('Data Sheet'!I63,0)</f>
        <v>1313</v>
      </c>
      <c r="E46" s="22">
        <f>IFERROR('Data Sheet'!J63,0)</f>
        <v>1132</v>
      </c>
      <c r="F46" s="22">
        <f>IFERROR('Data Sheet'!K63,0)</f>
        <v>1025</v>
      </c>
      <c r="G46" s="32">
        <v>1025</v>
      </c>
      <c r="H46" s="32">
        <v>1025</v>
      </c>
      <c r="I46" s="32">
        <v>1025</v>
      </c>
      <c r="J46" s="32">
        <v>1025</v>
      </c>
      <c r="K46" s="32">
        <v>1025</v>
      </c>
      <c r="M46" t="s">
        <v>111</v>
      </c>
    </row>
    <row r="47" spans="1:13" x14ac:dyDescent="0.3">
      <c r="B47" s="6" t="s">
        <v>128</v>
      </c>
      <c r="C47" s="6"/>
      <c r="D47" s="22">
        <v>47513</v>
      </c>
      <c r="E47" s="22">
        <v>48008</v>
      </c>
      <c r="F47" s="22">
        <v>48119</v>
      </c>
      <c r="G47" s="32">
        <f ca="1">IFERROR(F47*(1+G32),0)</f>
        <v>50332.474000000002</v>
      </c>
      <c r="H47" s="32">
        <f ca="1">IFERROR(G47*(1+H32),0)</f>
        <v>54610.73429</v>
      </c>
      <c r="I47" s="32">
        <f ca="1">IFERROR(H47*(1+I32),0)</f>
        <v>58979.593033200006</v>
      </c>
      <c r="J47" s="32">
        <f ca="1">IFERROR(I47*(1+J32),0)</f>
        <v>63697.960475856009</v>
      </c>
      <c r="K47" s="32">
        <f ca="1">IFERROR(J47*(1+K32),0)</f>
        <v>68793.7973139245</v>
      </c>
      <c r="M47" t="s">
        <v>110</v>
      </c>
    </row>
    <row r="48" spans="1:13" ht="15" thickBot="1" x14ac:dyDescent="0.35">
      <c r="B48" s="39" t="s">
        <v>65</v>
      </c>
      <c r="C48" s="39"/>
      <c r="D48" s="40">
        <f t="shared" ref="D48:K48" si="29">IFERROR(SUM(D40:D47),0)</f>
        <v>70517</v>
      </c>
      <c r="E48" s="40">
        <f t="shared" si="29"/>
        <v>73087</v>
      </c>
      <c r="F48" s="40">
        <f t="shared" si="29"/>
        <v>78499</v>
      </c>
      <c r="G48" s="41">
        <f t="shared" ca="1" si="29"/>
        <v>83362.672591448558</v>
      </c>
      <c r="H48" s="41">
        <f t="shared" ca="1" si="29"/>
        <v>89953.25422741333</v>
      </c>
      <c r="I48" s="41">
        <f t="shared" ca="1" si="29"/>
        <v>96851.441972203043</v>
      </c>
      <c r="J48" s="41">
        <f t="shared" ca="1" si="29"/>
        <v>104660.3984259014</v>
      </c>
      <c r="K48" s="41">
        <f t="shared" ca="1" si="29"/>
        <v>113138.40424064038</v>
      </c>
    </row>
    <row r="49" spans="2:13" ht="15" thickTop="1" x14ac:dyDescent="0.3"/>
    <row r="50" spans="2:13" x14ac:dyDescent="0.3">
      <c r="B50" s="5" t="s">
        <v>134</v>
      </c>
      <c r="D50" s="22">
        <v>9068</v>
      </c>
      <c r="E50" s="22">
        <v>9574</v>
      </c>
      <c r="F50" s="22">
        <v>10486</v>
      </c>
      <c r="G50" s="32">
        <f ca="1">IFERROR(F50*G15/F15,0)</f>
        <v>10671.423459249672</v>
      </c>
      <c r="H50" s="32">
        <f ca="1">IFERROR(G50*H15/G15,0)</f>
        <v>11458.385589662597</v>
      </c>
      <c r="I50" s="32">
        <f ca="1">IFERROR(H50*I15/H15,0)</f>
        <v>12219.395349579814</v>
      </c>
      <c r="J50" s="32">
        <f ca="1">IFERROR(I50*J15/I15,0)</f>
        <v>13196.9469775462</v>
      </c>
      <c r="K50" s="32">
        <f ca="1">IFERROR(J50*K15/J15,0)</f>
        <v>14252.702735749894</v>
      </c>
      <c r="M50" t="s">
        <v>109</v>
      </c>
    </row>
    <row r="51" spans="2:13" x14ac:dyDescent="0.3">
      <c r="B51" s="5" t="s">
        <v>130</v>
      </c>
      <c r="D51" s="22">
        <v>1201</v>
      </c>
      <c r="E51" s="22">
        <v>1301</v>
      </c>
      <c r="F51" s="22">
        <v>1243</v>
      </c>
      <c r="G51" s="32">
        <f ca="1">IFERROR(F51*(1+G32),0)</f>
        <v>1300.1780000000001</v>
      </c>
      <c r="H51" s="32">
        <f ca="1">IFERROR(G51*(1+H32),0)</f>
        <v>1410.6931300000001</v>
      </c>
      <c r="I51" s="32">
        <f ca="1">IFERROR(H51*(1+I32),0)</f>
        <v>1523.5485804000002</v>
      </c>
      <c r="J51" s="32">
        <f ca="1">IFERROR(I51*(1+J32),0)</f>
        <v>1645.4324668320003</v>
      </c>
      <c r="K51" s="32">
        <f ca="1">IFERROR(J51*(1+K32),0)</f>
        <v>1777.0670641785605</v>
      </c>
      <c r="M51" t="s">
        <v>110</v>
      </c>
    </row>
    <row r="52" spans="2:13" x14ac:dyDescent="0.3">
      <c r="B52" s="43" t="s">
        <v>131</v>
      </c>
      <c r="C52" s="43"/>
      <c r="D52" s="44">
        <v>1011</v>
      </c>
      <c r="E52" s="44">
        <v>1153</v>
      </c>
      <c r="F52" s="44">
        <v>1147</v>
      </c>
      <c r="G52" s="45">
        <f ca="1">IFERROR(F52*(1+G32),0)</f>
        <v>1199.7619999999999</v>
      </c>
      <c r="H52" s="45">
        <f ca="1">IFERROR(G52*(1+H32),0)</f>
        <v>1301.7417699999999</v>
      </c>
      <c r="I52" s="45">
        <f ca="1">IFERROR(H52*(1+I32),0)</f>
        <v>1405.8811115999999</v>
      </c>
      <c r="J52" s="45">
        <f ca="1">IFERROR(I52*(1+J32),0)</f>
        <v>1518.3516005280001</v>
      </c>
      <c r="K52" s="45">
        <f ca="1">IFERROR(J52*(1+K32),0)</f>
        <v>1639.8197285702402</v>
      </c>
      <c r="M52" t="s">
        <v>110</v>
      </c>
    </row>
    <row r="53" spans="2:13" x14ac:dyDescent="0.3">
      <c r="B53" s="5" t="s">
        <v>132</v>
      </c>
      <c r="D53" s="22">
        <v>1098</v>
      </c>
      <c r="E53" s="22">
        <v>1667</v>
      </c>
      <c r="F53" s="22">
        <v>1824</v>
      </c>
      <c r="G53" s="32">
        <f ca="1">IFERROR(F53*(1+G32),0)</f>
        <v>1907.904</v>
      </c>
      <c r="H53" s="32">
        <f ca="1">IFERROR(G53*(1+H32),0)</f>
        <v>2070.07584</v>
      </c>
      <c r="I53" s="32">
        <f ca="1">IFERROR(H53*(1+I32),0)</f>
        <v>2235.6819072000003</v>
      </c>
      <c r="J53" s="32">
        <f ca="1">IFERROR(I53*(1+J32),0)</f>
        <v>2414.5364597760004</v>
      </c>
      <c r="K53" s="32">
        <f ca="1">IFERROR(J53*(1+K32),0)</f>
        <v>2607.6993765580805</v>
      </c>
      <c r="M53" t="s">
        <v>110</v>
      </c>
    </row>
    <row r="54" spans="2:13" x14ac:dyDescent="0.3">
      <c r="B54" s="5" t="s">
        <v>133</v>
      </c>
      <c r="D54" s="22">
        <v>9052</v>
      </c>
      <c r="E54" s="22">
        <v>8870</v>
      </c>
      <c r="F54" s="22">
        <v>12376</v>
      </c>
      <c r="G54" s="32">
        <f ca="1">IFERROR(F54*(1+G32),0)</f>
        <v>12945.296</v>
      </c>
      <c r="H54" s="32">
        <f ca="1">IFERROR(G54*(1+H32),0)</f>
        <v>14045.64616</v>
      </c>
      <c r="I54" s="32">
        <f ca="1">IFERROR(H54*(1+I32),0)</f>
        <v>15169.297852800002</v>
      </c>
      <c r="J54" s="32">
        <f ca="1">IFERROR(I54*(1+J32),0)</f>
        <v>16382.841681024003</v>
      </c>
      <c r="K54" s="32">
        <f ca="1">IFERROR(J54*(1+K32),0)</f>
        <v>17693.469015505925</v>
      </c>
      <c r="M54" t="s">
        <v>110</v>
      </c>
    </row>
    <row r="55" spans="2:13" ht="15" thickBot="1" x14ac:dyDescent="0.35">
      <c r="B55" s="46" t="s">
        <v>66</v>
      </c>
      <c r="C55" s="46"/>
      <c r="D55" s="40">
        <f t="shared" ref="D55:K55" si="30">IFERROR(SUM(D50:D54),0)</f>
        <v>21430</v>
      </c>
      <c r="E55" s="40">
        <f t="shared" si="30"/>
        <v>22565</v>
      </c>
      <c r="F55" s="40">
        <f t="shared" si="30"/>
        <v>27076</v>
      </c>
      <c r="G55" s="41">
        <f t="shared" ca="1" si="30"/>
        <v>28024.563459249672</v>
      </c>
      <c r="H55" s="41">
        <f t="shared" ca="1" si="30"/>
        <v>30286.542489662599</v>
      </c>
      <c r="I55" s="41">
        <f t="shared" ca="1" si="30"/>
        <v>32553.804801579816</v>
      </c>
      <c r="J55" s="41">
        <f t="shared" ca="1" si="30"/>
        <v>35158.109185706206</v>
      </c>
      <c r="K55" s="41">
        <f t="shared" ca="1" si="30"/>
        <v>37970.757920562697</v>
      </c>
    </row>
    <row r="56" spans="2:13" ht="15" thickTop="1" x14ac:dyDescent="0.3"/>
    <row r="57" spans="2:13" x14ac:dyDescent="0.3">
      <c r="B57" s="6" t="s">
        <v>32</v>
      </c>
      <c r="C57" s="6"/>
      <c r="D57" s="22">
        <f>IFERROR('Data Sheet'!I57,0)</f>
        <v>235</v>
      </c>
      <c r="E57" s="22">
        <f>IFERROR('Data Sheet'!J57,0)</f>
        <v>235</v>
      </c>
      <c r="F57" s="22">
        <f>IFERROR('Data Sheet'!K57,0)</f>
        <v>235</v>
      </c>
      <c r="G57" s="32">
        <f ca="1">IFERROR(F57+G28,0)</f>
        <v>236.04599999999999</v>
      </c>
      <c r="H57" s="32">
        <f ca="1">IFERROR(G57+H28,0)</f>
        <v>237.18090999999998</v>
      </c>
      <c r="I57" s="32">
        <f ca="1">IFERROR(H57+I28,0)</f>
        <v>238.40661279999998</v>
      </c>
      <c r="J57" s="32">
        <f ca="1">IFERROR(I57+J28,0)</f>
        <v>239.73037182399997</v>
      </c>
      <c r="K57" s="32">
        <f ca="1">IFERROR(J57+K28,0)</f>
        <v>241.16003156991997</v>
      </c>
      <c r="M57" t="s">
        <v>126</v>
      </c>
    </row>
    <row r="58" spans="2:13" x14ac:dyDescent="0.3">
      <c r="B58" s="6" t="s">
        <v>129</v>
      </c>
      <c r="C58" s="6"/>
      <c r="D58" s="22">
        <v>26</v>
      </c>
      <c r="E58" s="22">
        <v>218</v>
      </c>
      <c r="F58" s="22">
        <v>205</v>
      </c>
      <c r="G58" s="32">
        <v>205</v>
      </c>
      <c r="H58" s="32">
        <v>205</v>
      </c>
      <c r="I58" s="32">
        <v>205</v>
      </c>
      <c r="J58" s="32">
        <v>205</v>
      </c>
      <c r="K58" s="32">
        <v>205</v>
      </c>
      <c r="M58" t="s">
        <v>111</v>
      </c>
    </row>
    <row r="59" spans="2:13" x14ac:dyDescent="0.3">
      <c r="B59" s="6" t="s">
        <v>166</v>
      </c>
      <c r="C59" s="6"/>
      <c r="D59" s="22">
        <v>8271</v>
      </c>
      <c r="E59" s="22">
        <v>9544</v>
      </c>
      <c r="F59" s="22">
        <v>10443</v>
      </c>
      <c r="G59" s="30">
        <f ca="1">IFERROR(G113,0)</f>
        <v>11720.166012198884</v>
      </c>
      <c r="H59" s="30">
        <f t="shared" ref="H59:K59" ca="1" si="31">IFERROR(H113,0)</f>
        <v>13048.822417350724</v>
      </c>
      <c r="I59" s="30">
        <f t="shared" ca="1" si="31"/>
        <v>14377.372205375226</v>
      </c>
      <c r="J59" s="30">
        <f t="shared" ca="1" si="31"/>
        <v>15937.727448622074</v>
      </c>
      <c r="K59" s="30">
        <f t="shared" ca="1" si="31"/>
        <v>17583.294335793005</v>
      </c>
      <c r="M59" t="s">
        <v>171</v>
      </c>
    </row>
    <row r="60" spans="2:13" x14ac:dyDescent="0.3">
      <c r="B60" s="6" t="s">
        <v>165</v>
      </c>
      <c r="C60" s="6"/>
      <c r="D60" s="22">
        <v>40555</v>
      </c>
      <c r="E60" s="22">
        <v>40525</v>
      </c>
      <c r="F60" s="22">
        <v>40540</v>
      </c>
      <c r="G60" s="32">
        <f>IFERROR(F60,0)</f>
        <v>40540</v>
      </c>
      <c r="H60" s="32">
        <f t="shared" ref="H60:K60" si="32">IFERROR(G60,0)</f>
        <v>40540</v>
      </c>
      <c r="I60" s="32">
        <f t="shared" si="32"/>
        <v>40540</v>
      </c>
      <c r="J60" s="32">
        <f t="shared" si="32"/>
        <v>40540</v>
      </c>
      <c r="K60" s="32">
        <f t="shared" si="32"/>
        <v>40540</v>
      </c>
      <c r="M60" t="s">
        <v>111</v>
      </c>
    </row>
    <row r="61" spans="2:13" ht="15" thickBot="1" x14ac:dyDescent="0.35">
      <c r="B61" s="46" t="s">
        <v>67</v>
      </c>
      <c r="C61" s="46"/>
      <c r="D61" s="40">
        <f>IFERROR(SUM(D57:D60),0)</f>
        <v>49087</v>
      </c>
      <c r="E61" s="40">
        <f t="shared" ref="E61:K61" si="33">IFERROR(SUM(E57:E60),0)</f>
        <v>50522</v>
      </c>
      <c r="F61" s="40">
        <f t="shared" si="33"/>
        <v>51423</v>
      </c>
      <c r="G61" s="41">
        <f t="shared" ca="1" si="33"/>
        <v>52701.212012198885</v>
      </c>
      <c r="H61" s="41">
        <f t="shared" ca="1" si="33"/>
        <v>54031.003327350722</v>
      </c>
      <c r="I61" s="41">
        <f t="shared" ca="1" si="33"/>
        <v>55360.778818175226</v>
      </c>
      <c r="J61" s="41">
        <f t="shared" ca="1" si="33"/>
        <v>56922.45782044607</v>
      </c>
      <c r="K61" s="41">
        <f t="shared" ca="1" si="33"/>
        <v>58569.454367362923</v>
      </c>
    </row>
    <row r="62" spans="2:13" ht="15" thickTop="1" x14ac:dyDescent="0.3"/>
    <row r="63" spans="2:13" x14ac:dyDescent="0.3">
      <c r="B63" s="47" t="s">
        <v>68</v>
      </c>
      <c r="C63" s="47"/>
      <c r="D63" s="48">
        <f t="shared" ref="D63:K63" si="34">D48-D55-D61</f>
        <v>0</v>
      </c>
      <c r="E63" s="48">
        <f t="shared" si="34"/>
        <v>0</v>
      </c>
      <c r="F63" s="48">
        <f t="shared" si="34"/>
        <v>0</v>
      </c>
      <c r="G63" s="48">
        <f t="shared" ca="1" si="34"/>
        <v>2636.8971200000015</v>
      </c>
      <c r="H63" s="48">
        <f t="shared" ca="1" si="34"/>
        <v>5635.7084104000096</v>
      </c>
      <c r="I63" s="48">
        <f t="shared" ca="1" si="34"/>
        <v>8936.8583524480055</v>
      </c>
      <c r="J63" s="48">
        <f t="shared" ca="1" si="34"/>
        <v>12579.831419749113</v>
      </c>
      <c r="K63" s="48">
        <f t="shared" ca="1" si="34"/>
        <v>16598.191952714755</v>
      </c>
    </row>
    <row r="65" spans="1:11" x14ac:dyDescent="0.3">
      <c r="A65" s="1" t="s">
        <v>55</v>
      </c>
      <c r="B65" s="4" t="s">
        <v>69</v>
      </c>
      <c r="C65" s="4"/>
      <c r="D65" s="3"/>
      <c r="E65" s="3"/>
      <c r="F65" s="3"/>
      <c r="G65" s="3"/>
      <c r="H65" s="3"/>
      <c r="I65" s="3"/>
      <c r="J65" s="3"/>
      <c r="K65" s="3"/>
    </row>
    <row r="67" spans="1:11" x14ac:dyDescent="0.3">
      <c r="B67" t="s">
        <v>80</v>
      </c>
      <c r="G67" s="33">
        <f ca="1">IFERROR(G26,0)</f>
        <v>9881.9610711162259</v>
      </c>
      <c r="H67" s="33">
        <f ca="1">IFERROR(H26,0)</f>
        <v>10867.904286496432</v>
      </c>
      <c r="I67" s="33">
        <f ca="1">IFERROR(I26,0)</f>
        <v>11879.275676214682</v>
      </c>
      <c r="J67" s="33">
        <f ca="1">IFERROR(J26,0)</f>
        <v>12883.613671791622</v>
      </c>
      <c r="K67" s="33">
        <f ca="1">IFERROR(K26,0)</f>
        <v>13898.200991718086</v>
      </c>
    </row>
    <row r="68" spans="1:11" x14ac:dyDescent="0.3">
      <c r="B68" t="s">
        <v>81</v>
      </c>
      <c r="G68" s="29">
        <f ca="1">IFERROR(G99,0)</f>
        <v>1302.6465600000001</v>
      </c>
      <c r="H68" s="29">
        <f t="shared" ref="H68:K68" ca="1" si="35">IFERROR(H99,0)</f>
        <v>1446.6924752</v>
      </c>
      <c r="I68" s="29">
        <f t="shared" ca="1" si="35"/>
        <v>1598.4145074240002</v>
      </c>
      <c r="J68" s="29">
        <f t="shared" ca="1" si="35"/>
        <v>1765.1532329625604</v>
      </c>
      <c r="K68" s="29">
        <f t="shared" ca="1" si="35"/>
        <v>1948.3403017397766</v>
      </c>
    </row>
    <row r="69" spans="1:11" x14ac:dyDescent="0.3">
      <c r="B69" t="s">
        <v>82</v>
      </c>
      <c r="G69" s="33">
        <f ca="1">IFERROR(G28,0)</f>
        <v>1.046</v>
      </c>
      <c r="H69" s="33">
        <f ca="1">IFERROR(H28,0)</f>
        <v>1.1349100000000001</v>
      </c>
      <c r="I69" s="33">
        <f ca="1">IFERROR(I28,0)</f>
        <v>1.2257028000000001</v>
      </c>
      <c r="J69" s="33">
        <f ca="1">IFERROR(J28,0)</f>
        <v>1.3237590240000001</v>
      </c>
      <c r="K69" s="33">
        <f ca="1">IFERROR(K28,0)</f>
        <v>1.4296597459200002</v>
      </c>
    </row>
    <row r="70" spans="1:11" x14ac:dyDescent="0.3">
      <c r="B70" t="s">
        <v>83</v>
      </c>
      <c r="G70" s="33">
        <f ca="1">IFERROR(SUM(F41:F44)-SUM(G41:G44),0)</f>
        <v>-3560.5407799168606</v>
      </c>
      <c r="H70" s="33">
        <f ca="1">IFERROR(SUM(G41:G44)-SUM(H41:H44),0)</f>
        <v>1275.6995068106098</v>
      </c>
      <c r="I70" s="33">
        <f ca="1">IFERROR(SUM(H41:H44)-SUM(I41:I44),0)</f>
        <v>-3858.2017926825192</v>
      </c>
      <c r="J70" s="33">
        <f ca="1">IFERROR(SUM(I41:I44)-SUM(J41:J44),0)</f>
        <v>981.57104557091225</v>
      </c>
      <c r="K70" s="33">
        <f ca="1">IFERROR(SUM(J41:J44)-SUM(K41:K44),0)</f>
        <v>-4088.3322524514442</v>
      </c>
    </row>
    <row r="71" spans="1:11" x14ac:dyDescent="0.3">
      <c r="B71" t="s">
        <v>84</v>
      </c>
      <c r="G71" s="33">
        <f ca="1">IFERROR(SUM(G50:G52)-SUM(F50:F52),0)</f>
        <v>295.36345924967281</v>
      </c>
      <c r="H71" s="33">
        <f t="shared" ref="H71:K71" ca="1" si="36">IFERROR(SUM(H50:H52)-SUM(G50:G52),0)</f>
        <v>999.45703041292472</v>
      </c>
      <c r="I71" s="33">
        <f t="shared" ca="1" si="36"/>
        <v>978.0045519172163</v>
      </c>
      <c r="J71" s="33">
        <f t="shared" ca="1" si="36"/>
        <v>1211.9060033263868</v>
      </c>
      <c r="K71" s="33">
        <f t="shared" ca="1" si="36"/>
        <v>1308.8584835924939</v>
      </c>
    </row>
    <row r="72" spans="1:11" x14ac:dyDescent="0.3">
      <c r="B72" t="s">
        <v>85</v>
      </c>
      <c r="G72" s="29">
        <f ca="1">IFERROR(-G105,0)</f>
        <v>-2239.6240000000021</v>
      </c>
      <c r="H72" s="29">
        <f t="shared" ref="H72:K72" ca="1" si="37">IFERROR(-H105,0)</f>
        <v>-4306.6330399999988</v>
      </c>
      <c r="I72" s="29">
        <f t="shared" ca="1" si="37"/>
        <v>-4399.5013132000058</v>
      </c>
      <c r="J72" s="29">
        <f t="shared" ca="1" si="37"/>
        <v>-4751.4614182560026</v>
      </c>
      <c r="K72" s="29">
        <f t="shared" ca="1" si="37"/>
        <v>-5131.5783317164914</v>
      </c>
    </row>
    <row r="73" spans="1:11" x14ac:dyDescent="0.3">
      <c r="B73" t="s">
        <v>86</v>
      </c>
      <c r="G73" s="33">
        <f ca="1">IFERROR(SUM(G53:G54)-SUM(F53:F54),0)</f>
        <v>653.20000000000073</v>
      </c>
      <c r="H73" s="33">
        <f t="shared" ref="H73:K73" ca="1" si="38">IFERROR(SUM(H53:H54)-SUM(G53:G54),0)</f>
        <v>1262.521999999999</v>
      </c>
      <c r="I73" s="33">
        <f t="shared" ca="1" si="38"/>
        <v>1289.2577600000022</v>
      </c>
      <c r="J73" s="33">
        <f t="shared" ca="1" si="38"/>
        <v>1392.3983808000012</v>
      </c>
      <c r="K73" s="33">
        <f t="shared" ca="1" si="38"/>
        <v>1503.790251264003</v>
      </c>
    </row>
    <row r="74" spans="1:11" ht="15" thickBot="1" x14ac:dyDescent="0.35">
      <c r="B74" s="49" t="s">
        <v>87</v>
      </c>
      <c r="C74" s="50"/>
      <c r="D74" s="51"/>
      <c r="E74" s="51"/>
      <c r="F74" s="51"/>
      <c r="G74" s="41">
        <f ca="1">IFERROR(SUM(G67:G73),0)</f>
        <v>6334.0523104490367</v>
      </c>
      <c r="H74" s="41">
        <f t="shared" ref="H74:K74" ca="1" si="39">IFERROR(SUM(H67:H73),0)</f>
        <v>11546.777168919967</v>
      </c>
      <c r="I74" s="41">
        <f t="shared" ca="1" si="39"/>
        <v>7488.4750924733762</v>
      </c>
      <c r="J74" s="41">
        <f t="shared" ca="1" si="39"/>
        <v>13484.504675219479</v>
      </c>
      <c r="K74" s="41">
        <f t="shared" ca="1" si="39"/>
        <v>9440.7091038923427</v>
      </c>
    </row>
    <row r="75" spans="1:11" ht="15" thickTop="1" x14ac:dyDescent="0.3">
      <c r="B75"/>
    </row>
    <row r="76" spans="1:11" x14ac:dyDescent="0.3">
      <c r="B76" t="s">
        <v>88</v>
      </c>
      <c r="G76" s="29">
        <f ca="1">IFERROR(-G89,0)</f>
        <v>-1535.528</v>
      </c>
      <c r="H76" s="29">
        <f t="shared" ref="H76:K76" ca="1" si="40">IFERROR(-H89,0)</f>
        <v>-1666.0478800000001</v>
      </c>
      <c r="I76" s="29">
        <f t="shared" ca="1" si="40"/>
        <v>-1799.3317104000002</v>
      </c>
      <c r="J76" s="29">
        <f t="shared" ca="1" si="40"/>
        <v>-1943.2782472320005</v>
      </c>
      <c r="K76" s="29">
        <f t="shared" ca="1" si="40"/>
        <v>-2098.7405070105606</v>
      </c>
    </row>
    <row r="77" spans="1:11" ht="15" thickBot="1" x14ac:dyDescent="0.35">
      <c r="B77" s="49" t="s">
        <v>89</v>
      </c>
      <c r="C77" s="50"/>
      <c r="D77" s="51"/>
      <c r="E77" s="51"/>
      <c r="F77" s="51"/>
      <c r="G77" s="41">
        <f ca="1">IFERROR(G76,0)</f>
        <v>-1535.528</v>
      </c>
      <c r="H77" s="41">
        <f t="shared" ref="H77:K77" ca="1" si="41">IFERROR(H76,0)</f>
        <v>-1666.0478800000001</v>
      </c>
      <c r="I77" s="41">
        <f t="shared" ca="1" si="41"/>
        <v>-1799.3317104000002</v>
      </c>
      <c r="J77" s="41">
        <f t="shared" ca="1" si="41"/>
        <v>-1943.2782472320005</v>
      </c>
      <c r="K77" s="41">
        <f t="shared" ca="1" si="41"/>
        <v>-2098.7405070105606</v>
      </c>
    </row>
    <row r="78" spans="1:11" ht="15" thickTop="1" x14ac:dyDescent="0.3">
      <c r="B78"/>
    </row>
    <row r="79" spans="1:11" x14ac:dyDescent="0.3">
      <c r="B79" t="s">
        <v>90</v>
      </c>
      <c r="G79" s="33">
        <f ca="1">IFERROR(G53-F53,0)</f>
        <v>83.903999999999996</v>
      </c>
      <c r="H79" s="33">
        <f t="shared" ref="H79:K79" ca="1" si="42">IFERROR(H53-G53,0)</f>
        <v>162.17183999999997</v>
      </c>
      <c r="I79" s="33">
        <f t="shared" ca="1" si="42"/>
        <v>165.60606720000033</v>
      </c>
      <c r="J79" s="33">
        <f t="shared" ca="1" si="42"/>
        <v>178.85455257600006</v>
      </c>
      <c r="K79" s="33">
        <f t="shared" ca="1" si="42"/>
        <v>193.16291678208017</v>
      </c>
    </row>
    <row r="80" spans="1:11" x14ac:dyDescent="0.3">
      <c r="B80" t="s">
        <v>91</v>
      </c>
      <c r="G80" s="29">
        <f ca="1">IFERROR(G112,0)</f>
        <v>-8604.7950589173397</v>
      </c>
      <c r="H80" s="29">
        <f t="shared" ref="H80:K80" ca="1" si="43">IFERROR(H112,0)</f>
        <v>-9539.2478813445941</v>
      </c>
      <c r="I80" s="29">
        <f t="shared" ca="1" si="43"/>
        <v>-10550.725888190182</v>
      </c>
      <c r="J80" s="29">
        <f t="shared" ca="1" si="43"/>
        <v>-11323.258428544774</v>
      </c>
      <c r="K80" s="29">
        <f t="shared" ca="1" si="43"/>
        <v>-12252.634104547156</v>
      </c>
    </row>
    <row r="81" spans="1:13" ht="15" thickBot="1" x14ac:dyDescent="0.35">
      <c r="B81" s="49" t="s">
        <v>92</v>
      </c>
      <c r="C81" s="50"/>
      <c r="D81" s="51"/>
      <c r="E81" s="51"/>
      <c r="F81" s="51"/>
      <c r="G81" s="41">
        <f ca="1">IFERROR(SUM(G79:G80),0)</f>
        <v>-8520.8910589173393</v>
      </c>
      <c r="H81" s="41">
        <f ca="1">IFERROR(SUM(H79:H80),0)</f>
        <v>-9377.0760413445932</v>
      </c>
      <c r="I81" s="41">
        <f ca="1">IFERROR(SUM(I79:I80),0)</f>
        <v>-10385.119820990181</v>
      </c>
      <c r="J81" s="41">
        <f ca="1">IFERROR(SUM(J79:J80),0)</f>
        <v>-11144.403875968774</v>
      </c>
      <c r="K81" s="41">
        <f ca="1">IFERROR(SUM(K79:K80),0)</f>
        <v>-12059.471187765077</v>
      </c>
    </row>
    <row r="82" spans="1:13" ht="15" thickTop="1" x14ac:dyDescent="0.3">
      <c r="B82"/>
    </row>
    <row r="83" spans="1:13" ht="15" thickBot="1" x14ac:dyDescent="0.35">
      <c r="B83" s="49" t="s">
        <v>93</v>
      </c>
      <c r="C83" s="50"/>
      <c r="D83" s="51"/>
      <c r="E83" s="51"/>
      <c r="F83" s="51"/>
      <c r="G83" s="41">
        <f ca="1">IFERROR(SUM(G81,G77,G74),0)</f>
        <v>-3722.3667484683028</v>
      </c>
      <c r="H83" s="41">
        <f ca="1">IFERROR(SUM(H81,H77,H74),0)</f>
        <v>503.65324757537383</v>
      </c>
      <c r="I83" s="41">
        <f ca="1">IFERROR(SUM(I81,I77,I74),0)</f>
        <v>-4695.9764389168049</v>
      </c>
      <c r="J83" s="41">
        <f ca="1">IFERROR(SUM(J81,J77,J74),0)</f>
        <v>396.8225520187043</v>
      </c>
      <c r="K83" s="41">
        <f ca="1">IFERROR(SUM(K81,K77,K74),0)</f>
        <v>-4717.502590883294</v>
      </c>
    </row>
    <row r="84" spans="1:13" ht="15" thickTop="1" x14ac:dyDescent="0.3"/>
    <row r="86" spans="1:13" x14ac:dyDescent="0.3">
      <c r="A86" s="1" t="s">
        <v>55</v>
      </c>
      <c r="B86" s="57" t="s">
        <v>152</v>
      </c>
      <c r="C86" s="56"/>
      <c r="D86" s="3"/>
      <c r="E86" s="3"/>
      <c r="F86" s="3"/>
      <c r="G86" s="3"/>
      <c r="H86" s="3"/>
      <c r="I86" s="3"/>
      <c r="J86" s="3"/>
      <c r="K86" s="3"/>
    </row>
    <row r="88" spans="1:13" x14ac:dyDescent="0.3">
      <c r="B88" s="5" t="s">
        <v>135</v>
      </c>
      <c r="D88" s="22"/>
      <c r="E88" s="22">
        <f>IFERROR(D91,0)</f>
        <v>6169</v>
      </c>
      <c r="F88" s="22">
        <f>IFERROR(E91,0)</f>
        <v>6949</v>
      </c>
      <c r="G88" s="33">
        <f>IFERROR(F91,0)</f>
        <v>8031</v>
      </c>
      <c r="H88" s="33">
        <f t="shared" ref="H88:K88" ca="1" si="44">IFERROR(G91,0)</f>
        <v>10843.02456</v>
      </c>
      <c r="I88" s="33">
        <f t="shared" ca="1" si="44"/>
        <v>13927.392165199999</v>
      </c>
      <c r="J88" s="33">
        <f t="shared" ca="1" si="44"/>
        <v>17294.495813023997</v>
      </c>
      <c r="K88" s="33">
        <f t="shared" ca="1" si="44"/>
        <v>20969.833317618559</v>
      </c>
      <c r="M88" t="s">
        <v>148</v>
      </c>
    </row>
    <row r="89" spans="1:13" x14ac:dyDescent="0.3">
      <c r="B89" s="58" t="s">
        <v>136</v>
      </c>
      <c r="D89" s="22">
        <v>1225</v>
      </c>
      <c r="E89" s="22">
        <v>1174</v>
      </c>
      <c r="F89" s="22">
        <v>1468</v>
      </c>
      <c r="G89" s="33">
        <f ca="1">IFERROR(F89*(1+G32),0)</f>
        <v>1535.528</v>
      </c>
      <c r="H89" s="33">
        <f ca="1">IFERROR(G89*(1+H32),0)</f>
        <v>1666.0478800000001</v>
      </c>
      <c r="I89" s="33">
        <f ca="1">IFERROR(H89*(1+I32),0)</f>
        <v>1799.3317104000002</v>
      </c>
      <c r="J89" s="33">
        <f ca="1">IFERROR(I89*(1+J32),0)</f>
        <v>1943.2782472320005</v>
      </c>
      <c r="K89" s="33">
        <f ca="1">IFERROR(J89*(1+K32),0)</f>
        <v>2098.7405070105606</v>
      </c>
      <c r="M89" t="s">
        <v>110</v>
      </c>
    </row>
    <row r="90" spans="1:13" x14ac:dyDescent="0.3">
      <c r="B90" s="60" t="s">
        <v>137</v>
      </c>
      <c r="C90" s="43"/>
      <c r="D90" s="22">
        <v>-1065</v>
      </c>
      <c r="E90" s="22">
        <v>-1114</v>
      </c>
      <c r="F90" s="22">
        <v>-1191</v>
      </c>
      <c r="G90" s="33">
        <f ca="1">IFERROR(G89*G93,0)</f>
        <v>1276.49656</v>
      </c>
      <c r="H90" s="33">
        <f t="shared" ref="H90:K90" ca="1" si="45">IFERROR(H89*H93,0)</f>
        <v>1418.3197252</v>
      </c>
      <c r="I90" s="33">
        <f t="shared" ca="1" si="45"/>
        <v>1567.7719374240003</v>
      </c>
      <c r="J90" s="33">
        <f t="shared" ca="1" si="45"/>
        <v>1732.0592573625604</v>
      </c>
      <c r="K90" s="33">
        <f t="shared" ca="1" si="45"/>
        <v>1912.5988080917766</v>
      </c>
      <c r="M90" t="s">
        <v>149</v>
      </c>
    </row>
    <row r="91" spans="1:13" x14ac:dyDescent="0.3">
      <c r="B91" s="59" t="s">
        <v>138</v>
      </c>
      <c r="D91" s="64">
        <f>IFERROR(D45,0)</f>
        <v>6169</v>
      </c>
      <c r="E91" s="64">
        <f>IFERROR(E45,0)</f>
        <v>6949</v>
      </c>
      <c r="F91" s="64">
        <f>IFERROR(F45,0)</f>
        <v>8031</v>
      </c>
      <c r="G91" s="86">
        <f ca="1">IFERROR(G88+G89+G90,0)</f>
        <v>10843.02456</v>
      </c>
      <c r="H91" s="86">
        <f t="shared" ref="H91:K91" ca="1" si="46">IFERROR(H88+H89+H90,0)</f>
        <v>13927.392165199999</v>
      </c>
      <c r="I91" s="86">
        <f t="shared" ca="1" si="46"/>
        <v>17294.495813023997</v>
      </c>
      <c r="J91" s="86">
        <f t="shared" ca="1" si="46"/>
        <v>20969.833317618559</v>
      </c>
      <c r="K91" s="86">
        <f t="shared" ca="1" si="46"/>
        <v>24981.172632720896</v>
      </c>
      <c r="M91" t="s">
        <v>150</v>
      </c>
    </row>
    <row r="92" spans="1:13" x14ac:dyDescent="0.3">
      <c r="E92" s="2"/>
      <c r="F92" s="2"/>
      <c r="M92" s="66" t="s">
        <v>151</v>
      </c>
    </row>
    <row r="93" spans="1:13" x14ac:dyDescent="0.3">
      <c r="B93" s="5" t="s">
        <v>139</v>
      </c>
      <c r="D93" s="28">
        <f>IFERROR(-D90/D89,0)</f>
        <v>0.8693877551020408</v>
      </c>
      <c r="E93" s="28">
        <f t="shared" ref="E93:F93" si="47">IFERROR(-E90/E89,0)</f>
        <v>0.94889267461669502</v>
      </c>
      <c r="F93" s="28">
        <f t="shared" si="47"/>
        <v>0.81130790190735691</v>
      </c>
      <c r="G93" s="28">
        <f>IFERROR(F93+$M93,0)</f>
        <v>0.83130790190735693</v>
      </c>
      <c r="H93" s="28">
        <f t="shared" ref="H93:K93" si="48">IFERROR(G93+$M93,0)</f>
        <v>0.85130790190735695</v>
      </c>
      <c r="I93" s="28">
        <f t="shared" si="48"/>
        <v>0.87130790190735696</v>
      </c>
      <c r="J93" s="28">
        <f t="shared" si="48"/>
        <v>0.89130790190735698</v>
      </c>
      <c r="K93" s="28">
        <f t="shared" si="48"/>
        <v>0.911307901907357</v>
      </c>
      <c r="M93" s="67">
        <v>0.02</v>
      </c>
    </row>
    <row r="95" spans="1:13" x14ac:dyDescent="0.3">
      <c r="A95" s="1" t="s">
        <v>55</v>
      </c>
      <c r="B95" s="57" t="s">
        <v>140</v>
      </c>
      <c r="C95" s="56"/>
      <c r="D95" s="3"/>
      <c r="E95" s="3"/>
      <c r="F95" s="3"/>
      <c r="G95" s="3"/>
      <c r="H95" s="3"/>
      <c r="I95" s="3"/>
      <c r="J95" s="3"/>
      <c r="K95" s="3"/>
    </row>
    <row r="96" spans="1:13" x14ac:dyDescent="0.3">
      <c r="B96" s="71"/>
      <c r="C96" s="72"/>
      <c r="D96" s="73"/>
      <c r="E96" s="73"/>
      <c r="F96" s="73"/>
      <c r="G96" s="73"/>
      <c r="H96" s="73"/>
      <c r="I96" s="73"/>
      <c r="J96" s="73"/>
      <c r="K96" s="73"/>
    </row>
    <row r="97" spans="1:13" x14ac:dyDescent="0.3">
      <c r="B97" s="5" t="s">
        <v>141</v>
      </c>
      <c r="D97" s="22">
        <f>IFERROR(D90+D20,0)</f>
        <v>26</v>
      </c>
      <c r="E97" s="22">
        <f>IFERROR(E90+E20,0)</f>
        <v>23</v>
      </c>
      <c r="F97" s="22">
        <f>IFERROR(F90+F20,0)</f>
        <v>25</v>
      </c>
      <c r="G97" s="87">
        <f ca="1">IFERROR(G98*G14,0)</f>
        <v>26.150000000000002</v>
      </c>
      <c r="H97" s="87">
        <f ca="1">IFERROR(H98*H14,0)</f>
        <v>28.372750000000003</v>
      </c>
      <c r="I97" s="87">
        <f ca="1">IFERROR(I98*I14,0)</f>
        <v>30.642570000000006</v>
      </c>
      <c r="J97" s="87">
        <f ca="1">IFERROR(J98*J14,0)</f>
        <v>33.093975600000007</v>
      </c>
      <c r="K97" s="87">
        <f ca="1">IFERROR(K98*K14,0)</f>
        <v>35.741493648000009</v>
      </c>
      <c r="M97" t="s">
        <v>154</v>
      </c>
    </row>
    <row r="98" spans="1:13" x14ac:dyDescent="0.3">
      <c r="B98" s="68" t="s">
        <v>142</v>
      </c>
      <c r="C98" s="43"/>
      <c r="D98" s="69">
        <f>IFERROR(D97/D14,0)</f>
        <v>4.9574800747435453E-4</v>
      </c>
      <c r="E98" s="69">
        <f>IFERROR(E97/E14,0)</f>
        <v>3.7966325519973588E-4</v>
      </c>
      <c r="F98" s="69">
        <f>IFERROR(F97/F14,0)</f>
        <v>4.0390332170091769E-4</v>
      </c>
      <c r="G98" s="88">
        <f>IFERROR(F98,0)</f>
        <v>4.0390332170091769E-4</v>
      </c>
      <c r="H98" s="88">
        <f t="shared" ref="H98:K98" si="49">IFERROR(G98,0)</f>
        <v>4.0390332170091769E-4</v>
      </c>
      <c r="I98" s="88">
        <f t="shared" si="49"/>
        <v>4.0390332170091769E-4</v>
      </c>
      <c r="J98" s="88">
        <f t="shared" si="49"/>
        <v>4.0390332170091769E-4</v>
      </c>
      <c r="K98" s="88">
        <f t="shared" si="49"/>
        <v>4.0390332170091769E-4</v>
      </c>
      <c r="M98" t="s">
        <v>156</v>
      </c>
    </row>
    <row r="99" spans="1:13" x14ac:dyDescent="0.3">
      <c r="B99" s="20" t="s">
        <v>143</v>
      </c>
      <c r="D99" s="62">
        <f>IFERROR(D20,0)</f>
        <v>1091</v>
      </c>
      <c r="E99" s="62">
        <f>IFERROR(E20,0)</f>
        <v>1137</v>
      </c>
      <c r="F99" s="62">
        <f>IFERROR(F20,0)</f>
        <v>1216</v>
      </c>
      <c r="G99" s="34">
        <f ca="1">IFERROR(G97+G90,0)</f>
        <v>1302.6465600000001</v>
      </c>
      <c r="H99" s="34">
        <f t="shared" ref="H99:K99" ca="1" si="50">IFERROR(H97+H90,0)</f>
        <v>1446.6924752</v>
      </c>
      <c r="I99" s="34">
        <f t="shared" ca="1" si="50"/>
        <v>1598.4145074240002</v>
      </c>
      <c r="J99" s="34">
        <f t="shared" ca="1" si="50"/>
        <v>1765.1532329625604</v>
      </c>
      <c r="K99" s="34">
        <f t="shared" ca="1" si="50"/>
        <v>1948.3403017397766</v>
      </c>
      <c r="M99" t="s">
        <v>155</v>
      </c>
    </row>
    <row r="101" spans="1:13" x14ac:dyDescent="0.3">
      <c r="A101" s="73" t="s">
        <v>55</v>
      </c>
      <c r="B101" s="70" t="s">
        <v>144</v>
      </c>
      <c r="C101" s="56"/>
      <c r="D101" s="3"/>
      <c r="E101" s="3"/>
      <c r="F101" s="3"/>
      <c r="G101" s="3"/>
      <c r="H101" s="3"/>
      <c r="I101" s="3"/>
      <c r="J101" s="3"/>
      <c r="K101" s="3"/>
    </row>
    <row r="102" spans="1:13" x14ac:dyDescent="0.3">
      <c r="A102" s="73"/>
      <c r="B102" s="74"/>
      <c r="C102" s="72"/>
      <c r="D102" s="73"/>
      <c r="E102" s="73"/>
      <c r="F102" s="73"/>
      <c r="G102" s="73"/>
      <c r="H102" s="73"/>
      <c r="I102" s="73"/>
      <c r="J102" s="73"/>
      <c r="K102" s="73"/>
    </row>
    <row r="103" spans="1:13" x14ac:dyDescent="0.3">
      <c r="B103" s="5" t="s">
        <v>135</v>
      </c>
      <c r="G103" s="33">
        <f>IFERROR(F106,0)</f>
        <v>48119</v>
      </c>
      <c r="H103" s="33">
        <f t="shared" ref="H103:K103" ca="1" si="51">IFERROR(G106,0)</f>
        <v>50332.474000000002</v>
      </c>
      <c r="I103" s="33">
        <f t="shared" ca="1" si="51"/>
        <v>54610.73429</v>
      </c>
      <c r="J103" s="33">
        <f t="shared" ca="1" si="51"/>
        <v>58979.593033200006</v>
      </c>
      <c r="K103" s="33">
        <f t="shared" ca="1" si="51"/>
        <v>63697.960475856009</v>
      </c>
      <c r="M103" t="s">
        <v>148</v>
      </c>
    </row>
    <row r="104" spans="1:13" x14ac:dyDescent="0.3">
      <c r="B104" s="65" t="s">
        <v>145</v>
      </c>
      <c r="G104" s="33">
        <f ca="1">IFERROR(-G97,0)</f>
        <v>-26.150000000000002</v>
      </c>
      <c r="H104" s="33">
        <f t="shared" ref="H104:K104" ca="1" si="52">IFERROR(-H97,0)</f>
        <v>-28.372750000000003</v>
      </c>
      <c r="I104" s="33">
        <f t="shared" ca="1" si="52"/>
        <v>-30.642570000000006</v>
      </c>
      <c r="J104" s="33">
        <f t="shared" ca="1" si="52"/>
        <v>-33.093975600000007</v>
      </c>
      <c r="K104" s="33">
        <f t="shared" ca="1" si="52"/>
        <v>-35.741493648000009</v>
      </c>
      <c r="M104" t="s">
        <v>157</v>
      </c>
    </row>
    <row r="105" spans="1:13" x14ac:dyDescent="0.3">
      <c r="B105" s="68" t="s">
        <v>146</v>
      </c>
      <c r="C105" s="43"/>
      <c r="D105" s="61"/>
      <c r="E105" s="61"/>
      <c r="F105" s="61"/>
      <c r="G105" s="52">
        <f ca="1">IFERROR(G106-G103-G104,0)</f>
        <v>2239.6240000000021</v>
      </c>
      <c r="H105" s="52">
        <f t="shared" ref="H105:K105" ca="1" si="53">IFERROR(H106-H103-H104,0)</f>
        <v>4306.6330399999988</v>
      </c>
      <c r="I105" s="52">
        <f t="shared" ca="1" si="53"/>
        <v>4399.5013132000058</v>
      </c>
      <c r="J105" s="52">
        <f t="shared" ca="1" si="53"/>
        <v>4751.4614182560026</v>
      </c>
      <c r="K105" s="52">
        <f t="shared" ca="1" si="53"/>
        <v>5131.5783317164914</v>
      </c>
      <c r="M105" t="s">
        <v>158</v>
      </c>
    </row>
    <row r="106" spans="1:13" x14ac:dyDescent="0.3">
      <c r="B106" s="59" t="s">
        <v>138</v>
      </c>
      <c r="D106" s="62">
        <f t="shared" ref="D106:K106" si="54">IFERROR(D47,0)</f>
        <v>47513</v>
      </c>
      <c r="E106" s="62">
        <f t="shared" si="54"/>
        <v>48008</v>
      </c>
      <c r="F106" s="62">
        <f t="shared" si="54"/>
        <v>48119</v>
      </c>
      <c r="G106" s="34">
        <f t="shared" ca="1" si="54"/>
        <v>50332.474000000002</v>
      </c>
      <c r="H106" s="34">
        <f t="shared" ca="1" si="54"/>
        <v>54610.73429</v>
      </c>
      <c r="I106" s="34">
        <f t="shared" ca="1" si="54"/>
        <v>58979.593033200006</v>
      </c>
      <c r="J106" s="34">
        <f t="shared" ca="1" si="54"/>
        <v>63697.960475856009</v>
      </c>
      <c r="K106" s="34">
        <f t="shared" ca="1" si="54"/>
        <v>68793.7973139245</v>
      </c>
      <c r="M106" t="s">
        <v>159</v>
      </c>
    </row>
    <row r="108" spans="1:13" x14ac:dyDescent="0.3">
      <c r="A108" s="1" t="s">
        <v>55</v>
      </c>
      <c r="B108" s="70" t="s">
        <v>160</v>
      </c>
      <c r="C108" s="56"/>
      <c r="D108" s="3"/>
      <c r="E108" s="3"/>
      <c r="F108" s="3"/>
      <c r="G108" s="3"/>
      <c r="H108" s="3"/>
      <c r="I108" s="3"/>
      <c r="J108" s="3"/>
      <c r="K108" s="3"/>
    </row>
    <row r="109" spans="1:13" x14ac:dyDescent="0.3">
      <c r="B109" s="75"/>
    </row>
    <row r="110" spans="1:13" x14ac:dyDescent="0.3">
      <c r="B110" s="5" t="s">
        <v>135</v>
      </c>
      <c r="D110" s="63"/>
      <c r="E110" s="63"/>
      <c r="F110" s="63"/>
      <c r="G110" s="33">
        <f>IFERROR(F113,0)</f>
        <v>10443</v>
      </c>
      <c r="H110" s="33">
        <f t="shared" ref="H110:K110" ca="1" si="55">IFERROR(G113,0)</f>
        <v>11720.166012198884</v>
      </c>
      <c r="I110" s="33">
        <f t="shared" ca="1" si="55"/>
        <v>13048.822417350724</v>
      </c>
      <c r="J110" s="33">
        <f t="shared" ca="1" si="55"/>
        <v>14377.372205375226</v>
      </c>
      <c r="K110" s="33">
        <f t="shared" ca="1" si="55"/>
        <v>15937.727448622074</v>
      </c>
      <c r="M110" t="s">
        <v>148</v>
      </c>
    </row>
    <row r="111" spans="1:13" x14ac:dyDescent="0.3">
      <c r="B111" s="65" t="s">
        <v>161</v>
      </c>
      <c r="D111" s="63">
        <f t="shared" ref="D111:K111" si="56">IFERROR(D26,0)</f>
        <v>8848</v>
      </c>
      <c r="E111" s="63">
        <f t="shared" si="56"/>
        <v>9993</v>
      </c>
      <c r="F111" s="63">
        <f t="shared" si="56"/>
        <v>10260</v>
      </c>
      <c r="G111" s="33">
        <f t="shared" ca="1" si="56"/>
        <v>9881.9610711162259</v>
      </c>
      <c r="H111" s="33">
        <f t="shared" ca="1" si="56"/>
        <v>10867.904286496432</v>
      </c>
      <c r="I111" s="33">
        <f t="shared" ca="1" si="56"/>
        <v>11879.275676214682</v>
      </c>
      <c r="J111" s="33">
        <f t="shared" ca="1" si="56"/>
        <v>12883.613671791622</v>
      </c>
      <c r="K111" s="33">
        <f t="shared" ca="1" si="56"/>
        <v>13898.200991718086</v>
      </c>
      <c r="M111" t="s">
        <v>163</v>
      </c>
    </row>
    <row r="112" spans="1:13" x14ac:dyDescent="0.3">
      <c r="B112" s="65" t="s">
        <v>162</v>
      </c>
      <c r="D112" s="22">
        <v>-7519</v>
      </c>
      <c r="E112" s="22">
        <v>-8459</v>
      </c>
      <c r="F112" s="22">
        <v>-9398</v>
      </c>
      <c r="G112" s="33">
        <f ca="1">IFERROR(-G115*G111,0)</f>
        <v>-8604.7950589173397</v>
      </c>
      <c r="H112" s="33">
        <f t="shared" ref="H112:K112" ca="1" si="57">IFERROR(-H115*H111,0)</f>
        <v>-9539.2478813445941</v>
      </c>
      <c r="I112" s="33">
        <f t="shared" ca="1" si="57"/>
        <v>-10550.725888190182</v>
      </c>
      <c r="J112" s="33">
        <f t="shared" ca="1" si="57"/>
        <v>-11323.258428544774</v>
      </c>
      <c r="K112" s="33">
        <f t="shared" ca="1" si="57"/>
        <v>-12252.634104547156</v>
      </c>
      <c r="M112" t="s">
        <v>169</v>
      </c>
    </row>
    <row r="113" spans="1:14" x14ac:dyDescent="0.3">
      <c r="B113" s="76" t="s">
        <v>138</v>
      </c>
      <c r="C113" s="77"/>
      <c r="D113" s="64">
        <f>IFERROR(D59,0)</f>
        <v>8271</v>
      </c>
      <c r="E113" s="64">
        <f>IFERROR(E59,0)</f>
        <v>9544</v>
      </c>
      <c r="F113" s="64">
        <f>IFERROR(F59,0)</f>
        <v>10443</v>
      </c>
      <c r="G113" s="86">
        <f ca="1">IFERROR(SUM(G110:G112),0)</f>
        <v>11720.166012198884</v>
      </c>
      <c r="H113" s="86">
        <f ca="1">IFERROR(SUM(H110:H112),0)</f>
        <v>13048.822417350724</v>
      </c>
      <c r="I113" s="86">
        <f ca="1">IFERROR(SUM(I110:I112),0)</f>
        <v>14377.372205375226</v>
      </c>
      <c r="J113" s="86">
        <f ca="1">IFERROR(SUM(J110:J112),0)</f>
        <v>15937.727448622074</v>
      </c>
      <c r="K113" s="86">
        <f ca="1">IFERROR(SUM(K110:K112),0)</f>
        <v>17583.294335793005</v>
      </c>
      <c r="M113" t="s">
        <v>164</v>
      </c>
    </row>
    <row r="115" spans="1:14" x14ac:dyDescent="0.3">
      <c r="B115" s="5" t="s">
        <v>167</v>
      </c>
      <c r="D115" s="28">
        <f>IFERROR(-D112/D111,0)</f>
        <v>0.84979656419529837</v>
      </c>
      <c r="E115" s="28">
        <f t="shared" ref="E115:F115" si="58">IFERROR(-E112/E111,0)</f>
        <v>0.84649254478134695</v>
      </c>
      <c r="F115" s="28">
        <f t="shared" si="58"/>
        <v>0.91598440545808968</v>
      </c>
      <c r="G115" s="28">
        <f>IFERROR(AVERAGE(D115:F115),0)</f>
        <v>0.87075783814491159</v>
      </c>
      <c r="H115" s="28">
        <f t="shared" ref="H115:K115" si="59">IFERROR(AVERAGE(E115:G115),0)</f>
        <v>0.87774492946144944</v>
      </c>
      <c r="I115" s="28">
        <f t="shared" si="59"/>
        <v>0.88816239102148353</v>
      </c>
      <c r="J115" s="28">
        <f t="shared" si="59"/>
        <v>0.87888838620928145</v>
      </c>
      <c r="K115" s="28">
        <f t="shared" si="59"/>
        <v>0.88159856889740473</v>
      </c>
      <c r="M115" s="5" t="s">
        <v>168</v>
      </c>
    </row>
    <row r="116" spans="1:14" x14ac:dyDescent="0.3">
      <c r="A116" s="73"/>
      <c r="B116" s="72"/>
      <c r="C116" s="72"/>
      <c r="D116" s="73"/>
      <c r="E116" s="73"/>
      <c r="F116" s="73"/>
      <c r="G116" s="73"/>
      <c r="H116" s="73"/>
      <c r="I116" s="73"/>
      <c r="J116" s="73"/>
      <c r="K116" s="73"/>
      <c r="L116" s="73"/>
      <c r="M116" s="73"/>
      <c r="N116" s="73"/>
    </row>
    <row r="117" spans="1:14" x14ac:dyDescent="0.3">
      <c r="A117" s="73" t="s">
        <v>55</v>
      </c>
      <c r="B117" s="70" t="s">
        <v>174</v>
      </c>
      <c r="C117" s="70"/>
      <c r="D117" s="70"/>
      <c r="E117" s="70"/>
      <c r="F117" s="70"/>
      <c r="G117" s="70"/>
      <c r="H117" s="70"/>
      <c r="I117" s="70"/>
      <c r="J117" s="70"/>
      <c r="K117" s="70"/>
      <c r="L117" s="73"/>
      <c r="M117" s="73"/>
      <c r="N117" s="73"/>
    </row>
    <row r="118" spans="1:14" x14ac:dyDescent="0.3">
      <c r="A118" s="73"/>
      <c r="B118"/>
      <c r="C118" s="72"/>
      <c r="D118" s="73"/>
      <c r="E118" s="73"/>
      <c r="F118" s="73"/>
      <c r="G118" s="73"/>
      <c r="H118" s="73"/>
      <c r="I118" s="73"/>
      <c r="J118" s="73"/>
      <c r="K118" s="73"/>
      <c r="L118" s="73"/>
      <c r="M118" s="73"/>
      <c r="N118" s="73"/>
    </row>
    <row r="119" spans="1:14" x14ac:dyDescent="0.3">
      <c r="A119" s="73"/>
      <c r="B119" t="s">
        <v>80</v>
      </c>
      <c r="C119" s="72"/>
      <c r="D119" s="63">
        <f>IFERROR(D26,0)</f>
        <v>8848</v>
      </c>
      <c r="E119" s="63">
        <f t="shared" ref="E119:K119" si="60">IFERROR(E26,0)</f>
        <v>9993</v>
      </c>
      <c r="F119" s="63">
        <f t="shared" si="60"/>
        <v>10260</v>
      </c>
      <c r="G119" s="33">
        <f t="shared" ca="1" si="60"/>
        <v>9881.9610711162259</v>
      </c>
      <c r="H119" s="33">
        <f t="shared" ca="1" si="60"/>
        <v>10867.904286496432</v>
      </c>
      <c r="I119" s="33">
        <f t="shared" ca="1" si="60"/>
        <v>11879.275676214682</v>
      </c>
      <c r="J119" s="33">
        <f t="shared" ca="1" si="60"/>
        <v>12883.613671791622</v>
      </c>
      <c r="K119" s="33">
        <f t="shared" ca="1" si="60"/>
        <v>13898.200991718086</v>
      </c>
      <c r="L119" s="73"/>
      <c r="M119" s="73"/>
      <c r="N119" s="73"/>
    </row>
    <row r="120" spans="1:14" x14ac:dyDescent="0.3">
      <c r="A120" s="73"/>
      <c r="B120" t="s">
        <v>175</v>
      </c>
      <c r="C120" s="72"/>
      <c r="D120" s="19">
        <v>234.95876369999999</v>
      </c>
      <c r="E120" s="19">
        <v>234.95912619999999</v>
      </c>
      <c r="F120" s="19">
        <v>234.95912619999999</v>
      </c>
      <c r="G120" s="89">
        <f>IFERROR(F120,0)</f>
        <v>234.95912619999999</v>
      </c>
      <c r="H120" s="89">
        <f t="shared" ref="H120:K120" si="61">IFERROR(G120,0)</f>
        <v>234.95912619999999</v>
      </c>
      <c r="I120" s="89">
        <f t="shared" si="61"/>
        <v>234.95912619999999</v>
      </c>
      <c r="J120" s="89">
        <f t="shared" si="61"/>
        <v>234.95912619999999</v>
      </c>
      <c r="K120" s="89">
        <f t="shared" si="61"/>
        <v>234.95912619999999</v>
      </c>
      <c r="L120" s="73"/>
      <c r="M120" s="73"/>
      <c r="N120" s="73"/>
    </row>
    <row r="121" spans="1:14" x14ac:dyDescent="0.3">
      <c r="A121" s="73"/>
      <c r="B121" s="9" t="s">
        <v>176</v>
      </c>
      <c r="C121" s="72"/>
      <c r="D121" s="79">
        <f>IFERROR(D119/D120,0)</f>
        <v>37.657671757659152</v>
      </c>
      <c r="E121" s="79">
        <f t="shared" ref="E121:K121" si="62">IFERROR(E119/E120,0)</f>
        <v>42.530801682901391</v>
      </c>
      <c r="F121" s="79">
        <f t="shared" si="62"/>
        <v>43.667169545338567</v>
      </c>
      <c r="G121" s="90">
        <f t="shared" ca="1" si="62"/>
        <v>42.058213404762938</v>
      </c>
      <c r="H121" s="90">
        <f t="shared" ca="1" si="62"/>
        <v>46.254446304186303</v>
      </c>
      <c r="I121" s="90">
        <f t="shared" ca="1" si="62"/>
        <v>50.558903024277093</v>
      </c>
      <c r="J121" s="90">
        <f t="shared" ca="1" si="62"/>
        <v>54.83342520104938</v>
      </c>
      <c r="K121" s="90">
        <f t="shared" ca="1" si="62"/>
        <v>59.151569111164349</v>
      </c>
      <c r="L121" s="73"/>
      <c r="M121" s="73"/>
      <c r="N121" s="73"/>
    </row>
    <row r="122" spans="1:14" x14ac:dyDescent="0.3">
      <c r="A122" s="73"/>
      <c r="B122"/>
      <c r="C122" s="72"/>
      <c r="D122" s="73"/>
      <c r="E122" s="73"/>
      <c r="F122" s="73"/>
      <c r="G122" s="73"/>
      <c r="H122" s="73"/>
      <c r="I122" s="73"/>
      <c r="J122" s="73"/>
      <c r="K122" s="73"/>
      <c r="L122" s="73"/>
      <c r="M122" s="73"/>
      <c r="N122" s="73"/>
    </row>
    <row r="123" spans="1:14" x14ac:dyDescent="0.3">
      <c r="B123" t="s">
        <v>177</v>
      </c>
      <c r="D123" s="19">
        <v>234.95912619999999</v>
      </c>
      <c r="E123" s="19">
        <v>234.95912619999999</v>
      </c>
      <c r="F123" s="19">
        <v>234.95912619999999</v>
      </c>
      <c r="G123" s="89">
        <f>IFERROR(F123,0)</f>
        <v>234.95912619999999</v>
      </c>
      <c r="H123" s="89">
        <f t="shared" ref="H123:K123" si="63">IFERROR(G123,0)</f>
        <v>234.95912619999999</v>
      </c>
      <c r="I123" s="89">
        <f t="shared" si="63"/>
        <v>234.95912619999999</v>
      </c>
      <c r="J123" s="89">
        <f t="shared" si="63"/>
        <v>234.95912619999999</v>
      </c>
      <c r="K123" s="89">
        <f t="shared" si="63"/>
        <v>234.95912619999999</v>
      </c>
    </row>
    <row r="124" spans="1:14" x14ac:dyDescent="0.3">
      <c r="B124" s="9" t="s">
        <v>178</v>
      </c>
      <c r="D124" s="80">
        <f>IFERROR(D119/D123,0)</f>
        <v>37.657613658592169</v>
      </c>
      <c r="E124" s="80">
        <f t="shared" ref="E124:K124" si="64">IFERROR(E119/E123,0)</f>
        <v>42.530801682901391</v>
      </c>
      <c r="F124" s="80">
        <f t="shared" si="64"/>
        <v>43.667169545338567</v>
      </c>
      <c r="G124" s="90">
        <f t="shared" ca="1" si="64"/>
        <v>42.058213404762938</v>
      </c>
      <c r="H124" s="90">
        <f t="shared" ca="1" si="64"/>
        <v>46.254446304186303</v>
      </c>
      <c r="I124" s="90">
        <f t="shared" ca="1" si="64"/>
        <v>50.558903024277093</v>
      </c>
      <c r="J124" s="90">
        <f t="shared" ca="1" si="64"/>
        <v>54.83342520104938</v>
      </c>
      <c r="K124" s="90">
        <f t="shared" ca="1" si="64"/>
        <v>59.151569111164349</v>
      </c>
    </row>
    <row r="125" spans="1:14" x14ac:dyDescent="0.3">
      <c r="B125"/>
    </row>
    <row r="126" spans="1:14" x14ac:dyDescent="0.3">
      <c r="B126" t="s">
        <v>179</v>
      </c>
      <c r="G126" s="63">
        <v>0</v>
      </c>
      <c r="H126" s="63">
        <v>0</v>
      </c>
      <c r="I126" s="63">
        <v>0</v>
      </c>
      <c r="J126" s="63">
        <v>0</v>
      </c>
      <c r="K126" s="63">
        <v>0</v>
      </c>
    </row>
    <row r="127" spans="1:14" x14ac:dyDescent="0.3">
      <c r="B127" t="s">
        <v>180</v>
      </c>
      <c r="G127" s="63">
        <v>0</v>
      </c>
      <c r="H127" s="63">
        <v>0</v>
      </c>
      <c r="I127" s="63">
        <v>0</v>
      </c>
      <c r="J127" s="63">
        <v>0</v>
      </c>
      <c r="K127" s="63">
        <v>0</v>
      </c>
    </row>
    <row r="128" spans="1:14" x14ac:dyDescent="0.3">
      <c r="B128" t="s">
        <v>181</v>
      </c>
      <c r="F128" s="78">
        <v>2700</v>
      </c>
      <c r="G128" s="63">
        <f ca="1">IFERROR(F128*(1+G129),0)</f>
        <v>2600.5160713463752</v>
      </c>
      <c r="H128" s="63">
        <f t="shared" ref="H128:K128" ca="1" si="65">IFERROR(G128*(1+H129),0)</f>
        <v>2859.9748122359033</v>
      </c>
      <c r="I128" s="63">
        <f t="shared" ca="1" si="65"/>
        <v>3126.1251779512322</v>
      </c>
      <c r="J128" s="63">
        <f t="shared" ca="1" si="65"/>
        <v>3390.4246504714797</v>
      </c>
      <c r="K128" s="63">
        <f t="shared" ca="1" si="65"/>
        <v>3657.4213136100229</v>
      </c>
      <c r="M128" t="s">
        <v>183</v>
      </c>
    </row>
    <row r="129" spans="1:13" x14ac:dyDescent="0.3">
      <c r="B129" t="s">
        <v>182</v>
      </c>
      <c r="G129" s="28">
        <f ca="1">IFERROR(G119/F119-1,0)</f>
        <v>-3.6845899501342538E-2</v>
      </c>
      <c r="H129" s="28">
        <f t="shared" ref="H129:K129" ca="1" si="66">IFERROR(H119/G119-1,0)</f>
        <v>9.9772019772674359E-2</v>
      </c>
      <c r="I129" s="28">
        <f t="shared" ca="1" si="66"/>
        <v>9.3060388006443562E-2</v>
      </c>
      <c r="J129" s="28">
        <f t="shared" ca="1" si="66"/>
        <v>8.4545390051674607E-2</v>
      </c>
      <c r="K129" s="28">
        <f t="shared" ca="1" si="66"/>
        <v>7.8750212927284569E-2</v>
      </c>
      <c r="M129" t="s">
        <v>184</v>
      </c>
    </row>
    <row r="130" spans="1:13" x14ac:dyDescent="0.3">
      <c r="B130"/>
    </row>
    <row r="131" spans="1:13" x14ac:dyDescent="0.3">
      <c r="A131" s="1" t="s">
        <v>55</v>
      </c>
      <c r="B131" s="57" t="s">
        <v>185</v>
      </c>
      <c r="C131" s="56"/>
      <c r="D131" s="3"/>
      <c r="E131" s="3"/>
      <c r="F131" s="3"/>
      <c r="G131" s="3"/>
      <c r="H131" s="3"/>
      <c r="I131" s="3"/>
      <c r="J131" s="3"/>
      <c r="K131" s="3"/>
    </row>
    <row r="132" spans="1:13" x14ac:dyDescent="0.3">
      <c r="B132"/>
    </row>
    <row r="133" spans="1:13" x14ac:dyDescent="0.3">
      <c r="A133" s="1" t="s">
        <v>55</v>
      </c>
      <c r="B133" s="57" t="s">
        <v>186</v>
      </c>
      <c r="C133" s="56"/>
      <c r="D133" s="3"/>
      <c r="E133" s="3"/>
      <c r="F133" s="3"/>
      <c r="G133" s="3"/>
      <c r="H133" s="3"/>
      <c r="I133" s="3"/>
      <c r="J133" s="3"/>
      <c r="K133" s="3"/>
    </row>
    <row r="134" spans="1:13" x14ac:dyDescent="0.3">
      <c r="B134" s="71"/>
      <c r="C134" s="72"/>
      <c r="D134" s="73"/>
      <c r="E134" s="73"/>
      <c r="F134" s="73"/>
      <c r="G134" s="73"/>
      <c r="H134" s="73"/>
      <c r="I134" s="73"/>
      <c r="J134" s="73"/>
      <c r="K134" s="73"/>
    </row>
    <row r="135" spans="1:13" x14ac:dyDescent="0.3">
      <c r="B135" s="65" t="s">
        <v>135</v>
      </c>
      <c r="D135" s="63"/>
      <c r="E135" s="63"/>
      <c r="F135" s="63"/>
      <c r="G135" s="33">
        <f>IFERROR(F137,0)</f>
        <v>2997</v>
      </c>
      <c r="H135" s="33">
        <f t="shared" ref="H135:K135" ca="1" si="67">IFERROR(G137,0)</f>
        <v>5871.9336986301369</v>
      </c>
      <c r="I135" s="33">
        <f t="shared" ca="1" si="67"/>
        <v>3750.8593643835611</v>
      </c>
      <c r="J135" s="33">
        <f t="shared" ca="1" si="67"/>
        <v>6641.7571436712333</v>
      </c>
      <c r="K135" s="33">
        <f t="shared" ca="1" si="67"/>
        <v>4582.268685027946</v>
      </c>
    </row>
    <row r="136" spans="1:13" x14ac:dyDescent="0.3">
      <c r="B136" s="58" t="s">
        <v>187</v>
      </c>
      <c r="D136" s="63"/>
      <c r="E136" s="63"/>
      <c r="F136" s="63"/>
      <c r="G136" s="33">
        <f ca="1">IFERROR(G137-G135,0)</f>
        <v>2874.9336986301369</v>
      </c>
      <c r="H136" s="33">
        <f t="shared" ref="H136:K136" ca="1" si="68">IFERROR(H137-H135,0)</f>
        <v>-2121.0743342465757</v>
      </c>
      <c r="I136" s="33">
        <f t="shared" ca="1" si="68"/>
        <v>2890.8977792876722</v>
      </c>
      <c r="J136" s="33">
        <f t="shared" ca="1" si="68"/>
        <v>-2059.4884586432872</v>
      </c>
      <c r="K136" s="33">
        <f t="shared" ca="1" si="68"/>
        <v>2957.4105249392214</v>
      </c>
    </row>
    <row r="137" spans="1:13" x14ac:dyDescent="0.3">
      <c r="B137" s="65" t="s">
        <v>138</v>
      </c>
      <c r="D137" s="63">
        <f t="shared" ref="D137:E137" si="69">IFERROR(D41,0)</f>
        <v>2236</v>
      </c>
      <c r="E137" s="63">
        <f t="shared" si="69"/>
        <v>3079</v>
      </c>
      <c r="F137" s="63">
        <f>IFERROR(F41,0)</f>
        <v>2997</v>
      </c>
      <c r="G137" s="33">
        <f ca="1">IFERROR(IF($G$141=1,F137*(1+G143),2*(G144/365)*G14-G135),0)</f>
        <v>5871.9336986301369</v>
      </c>
      <c r="H137" s="33">
        <f t="shared" ref="H137:K137" ca="1" si="70">IFERROR(IF($G$141=1,G137*(1+H143),2*(H144/365)*H14-H135),0)</f>
        <v>3750.8593643835611</v>
      </c>
      <c r="I137" s="33">
        <f t="shared" ca="1" si="70"/>
        <v>6641.7571436712333</v>
      </c>
      <c r="J137" s="33">
        <f t="shared" ca="1" si="70"/>
        <v>4582.268685027946</v>
      </c>
      <c r="K137" s="33">
        <f t="shared" ca="1" si="70"/>
        <v>7539.6792099671675</v>
      </c>
    </row>
    <row r="138" spans="1:13" x14ac:dyDescent="0.3">
      <c r="B138"/>
    </row>
    <row r="139" spans="1:13" x14ac:dyDescent="0.3">
      <c r="B139" s="65" t="s">
        <v>188</v>
      </c>
      <c r="D139" s="28"/>
      <c r="E139" s="28">
        <f>IFERROR(AVERAGE(D137:E137)/E14,0)</f>
        <v>4.3867613073621657E-2</v>
      </c>
      <c r="F139" s="28">
        <f>IFERROR(AVERAGE(E137:F137)/F14,0)</f>
        <v>4.9082331653095515E-2</v>
      </c>
      <c r="G139" s="28">
        <f ca="1">IFERROR(AVERAGE(F137:G137)/G14,0)</f>
        <v>6.8493150684931503E-2</v>
      </c>
      <c r="H139" s="28">
        <f t="shared" ref="H139:K139" ca="1" si="71">IFERROR(AVERAGE(G137:H137)/H14,0)</f>
        <v>6.8493150684931503E-2</v>
      </c>
      <c r="I139" s="28">
        <f t="shared" ca="1" si="71"/>
        <v>6.8493150684931503E-2</v>
      </c>
      <c r="J139" s="28">
        <f t="shared" ca="1" si="71"/>
        <v>6.8493150684931503E-2</v>
      </c>
      <c r="K139" s="28">
        <f t="shared" ca="1" si="71"/>
        <v>6.8493150684931503E-2</v>
      </c>
    </row>
    <row r="140" spans="1:13" x14ac:dyDescent="0.3">
      <c r="B140"/>
    </row>
    <row r="141" spans="1:13" x14ac:dyDescent="0.3">
      <c r="B141" s="65" t="s">
        <v>189</v>
      </c>
      <c r="G141" s="81">
        <v>2</v>
      </c>
    </row>
    <row r="142" spans="1:13" x14ac:dyDescent="0.3">
      <c r="B142" s="9"/>
    </row>
    <row r="143" spans="1:13" x14ac:dyDescent="0.3">
      <c r="B143" s="65" t="s">
        <v>190</v>
      </c>
      <c r="E143" s="28">
        <f>IFERROR(E32,0)</f>
        <v>0.15509285741524614</v>
      </c>
      <c r="F143" s="28">
        <f t="shared" ref="F143:K143" si="72">IFERROR(F32,0)</f>
        <v>2.1723341036645749E-2</v>
      </c>
      <c r="G143" s="35">
        <f t="shared" ca="1" si="72"/>
        <v>4.5999999999999999E-2</v>
      </c>
      <c r="H143" s="35">
        <f t="shared" ca="1" si="72"/>
        <v>8.5000000000000006E-2</v>
      </c>
      <c r="I143" s="35">
        <f t="shared" ca="1" si="72"/>
        <v>0.08</v>
      </c>
      <c r="J143" s="35">
        <f t="shared" ca="1" si="72"/>
        <v>0.08</v>
      </c>
      <c r="K143" s="35">
        <f t="shared" ca="1" si="72"/>
        <v>0.08</v>
      </c>
    </row>
    <row r="144" spans="1:13" x14ac:dyDescent="0.3">
      <c r="B144" s="65" t="s">
        <v>191</v>
      </c>
      <c r="D144" s="84">
        <f>IFERROR(365*D139,0)</f>
        <v>0</v>
      </c>
      <c r="E144" s="83">
        <f t="shared" ref="E144:F144" si="73">IFERROR(365*E139,0)</f>
        <v>16.011678771871903</v>
      </c>
      <c r="F144" s="83">
        <f t="shared" si="73"/>
        <v>17.915051053379862</v>
      </c>
      <c r="G144" s="91">
        <v>25</v>
      </c>
      <c r="H144" s="91">
        <v>25</v>
      </c>
      <c r="I144" s="91">
        <v>25</v>
      </c>
      <c r="J144" s="91">
        <v>25</v>
      </c>
      <c r="K144" s="91">
        <v>25</v>
      </c>
    </row>
    <row r="145" spans="1:11" x14ac:dyDescent="0.3">
      <c r="B145"/>
    </row>
    <row r="146" spans="1:11" x14ac:dyDescent="0.3">
      <c r="A146" s="1" t="s">
        <v>55</v>
      </c>
      <c r="B146" s="57" t="s">
        <v>192</v>
      </c>
      <c r="C146" s="56"/>
      <c r="D146" s="3"/>
      <c r="E146" s="3"/>
      <c r="F146" s="3"/>
      <c r="G146" s="3"/>
      <c r="H146" s="3"/>
      <c r="I146" s="3"/>
      <c r="J146" s="3"/>
      <c r="K146" s="3"/>
    </row>
    <row r="147" spans="1:11" x14ac:dyDescent="0.3">
      <c r="B147" s="71"/>
      <c r="C147" s="72"/>
      <c r="D147" s="73"/>
      <c r="E147" s="73"/>
      <c r="F147" s="73"/>
      <c r="G147" s="73"/>
      <c r="H147" s="73"/>
      <c r="I147" s="73"/>
      <c r="J147" s="73"/>
      <c r="K147" s="73"/>
    </row>
    <row r="148" spans="1:11" x14ac:dyDescent="0.3">
      <c r="B148" s="65" t="s">
        <v>135</v>
      </c>
      <c r="D148" s="63"/>
      <c r="E148" s="63"/>
      <c r="F148" s="63"/>
      <c r="G148" s="33">
        <f>IFERROR(F150,0)</f>
        <v>4022</v>
      </c>
      <c r="H148" s="33">
        <f t="shared" ref="H148:K148" ca="1" si="74">IFERROR(G150,0)</f>
        <v>4397.2910812867212</v>
      </c>
      <c r="I148" s="33">
        <f t="shared" ca="1" si="74"/>
        <v>4642.8790487226888</v>
      </c>
      <c r="J148" s="33">
        <f t="shared" ca="1" si="74"/>
        <v>4997.6948333175369</v>
      </c>
      <c r="K148" s="33">
        <f t="shared" ca="1" si="74"/>
        <v>5414.1249592859076</v>
      </c>
    </row>
    <row r="149" spans="1:11" x14ac:dyDescent="0.3">
      <c r="B149" s="58" t="s">
        <v>187</v>
      </c>
      <c r="D149" s="63"/>
      <c r="E149" s="63"/>
      <c r="F149" s="63"/>
      <c r="G149" s="33">
        <f ca="1">IFERROR(G150-G148,0)</f>
        <v>375.29108128672124</v>
      </c>
      <c r="H149" s="33">
        <f t="shared" ref="H149:K149" ca="1" si="75">IFERROR(H150-H148,0)</f>
        <v>245.58796743596758</v>
      </c>
      <c r="I149" s="33">
        <f t="shared" ca="1" si="75"/>
        <v>354.81578459484808</v>
      </c>
      <c r="J149" s="33">
        <f t="shared" ca="1" si="75"/>
        <v>416.4301259683707</v>
      </c>
      <c r="K149" s="33">
        <f t="shared" ca="1" si="75"/>
        <v>416.51545743990391</v>
      </c>
    </row>
    <row r="150" spans="1:11" x14ac:dyDescent="0.3">
      <c r="B150" s="65" t="s">
        <v>138</v>
      </c>
      <c r="D150" s="63">
        <f>IFERROR(D42,0)</f>
        <v>4096</v>
      </c>
      <c r="E150" s="63">
        <f t="shared" ref="E150:F150" si="76">IFERROR(E42,0)</f>
        <v>4251</v>
      </c>
      <c r="F150" s="63">
        <f t="shared" si="76"/>
        <v>4022</v>
      </c>
      <c r="G150" s="33">
        <f ca="1">IFERROR(IF($G$152=1,2*G154*G15-G148,2*G15/G155-G148),0)</f>
        <v>4397.2910812867212</v>
      </c>
      <c r="H150" s="33">
        <f t="shared" ref="H150:K150" ca="1" si="77">IFERROR(IF($G$152=1,2*H154*H15-H148,2*H15/H155-H148),0)</f>
        <v>4642.8790487226888</v>
      </c>
      <c r="I150" s="33">
        <f t="shared" ca="1" si="77"/>
        <v>4997.6948333175369</v>
      </c>
      <c r="J150" s="33">
        <f t="shared" ca="1" si="77"/>
        <v>5414.1249592859076</v>
      </c>
      <c r="K150" s="33">
        <f t="shared" ca="1" si="77"/>
        <v>5830.6404167258115</v>
      </c>
    </row>
    <row r="151" spans="1:11" x14ac:dyDescent="0.3">
      <c r="B151"/>
    </row>
    <row r="152" spans="1:11" x14ac:dyDescent="0.3">
      <c r="B152" s="65" t="s">
        <v>193</v>
      </c>
      <c r="G152" s="81">
        <v>1</v>
      </c>
    </row>
    <row r="153" spans="1:11" x14ac:dyDescent="0.3">
      <c r="B153"/>
    </row>
    <row r="154" spans="1:11" x14ac:dyDescent="0.3">
      <c r="B154" s="65" t="s">
        <v>194</v>
      </c>
      <c r="E154" s="28">
        <f>IFERROR(AVERAGE(D150:E150)/E15,0)</f>
        <v>0.12771980291948465</v>
      </c>
      <c r="F154" s="28">
        <f>IFERROR(AVERAGE(E150:F150)/F15,0)</f>
        <v>0.13489759979128621</v>
      </c>
      <c r="G154" s="35">
        <v>0.13489759979128621</v>
      </c>
      <c r="H154" s="35">
        <v>0.13489759979128621</v>
      </c>
      <c r="I154" s="35">
        <v>0.13489759979128621</v>
      </c>
      <c r="J154" s="35">
        <v>0.13489759979128621</v>
      </c>
      <c r="K154" s="35">
        <v>0.13489759979128621</v>
      </c>
    </row>
    <row r="155" spans="1:11" x14ac:dyDescent="0.3">
      <c r="B155" s="65" t="s">
        <v>195</v>
      </c>
      <c r="E155" s="85">
        <f>IFERROR(E15/AVERAGE(D150:E150),0)</f>
        <v>7.8296393913981071</v>
      </c>
      <c r="F155" s="85">
        <f t="shared" ref="F155" si="78">IFERROR(F15/AVERAGE(E150:F150),0)</f>
        <v>7.4130303396591319</v>
      </c>
      <c r="G155" s="92">
        <v>8</v>
      </c>
      <c r="H155" s="92">
        <v>9</v>
      </c>
      <c r="I155" s="92">
        <v>10</v>
      </c>
      <c r="J155" s="92">
        <v>11</v>
      </c>
      <c r="K155" s="92">
        <v>12</v>
      </c>
    </row>
    <row r="156" spans="1:11" x14ac:dyDescent="0.3">
      <c r="B156"/>
    </row>
    <row r="157" spans="1:11" x14ac:dyDescent="0.3">
      <c r="A157" s="1" t="s">
        <v>55</v>
      </c>
      <c r="B157" s="93" t="s">
        <v>196</v>
      </c>
      <c r="C157" s="56"/>
      <c r="D157" s="3"/>
      <c r="E157" s="3"/>
      <c r="F157" s="3"/>
      <c r="G157" s="3"/>
      <c r="H157" s="3"/>
      <c r="I157" s="3"/>
      <c r="J157" s="3"/>
      <c r="K157" s="3"/>
    </row>
    <row r="158" spans="1:11" x14ac:dyDescent="0.3">
      <c r="B158" s="71"/>
      <c r="C158" s="72"/>
      <c r="D158" s="73"/>
      <c r="E158" s="73"/>
      <c r="F158" s="73"/>
      <c r="G158" s="73"/>
      <c r="H158" s="73"/>
      <c r="I158" s="73"/>
      <c r="J158" s="73"/>
      <c r="K158" s="73"/>
    </row>
    <row r="159" spans="1:11" x14ac:dyDescent="0.3">
      <c r="B159" t="s">
        <v>197</v>
      </c>
      <c r="E159" s="83">
        <f>IFERROR(365*AVERAGE(D41:E41)/E15,0)</f>
        <v>29.684105028001348</v>
      </c>
      <c r="F159" s="83">
        <f t="shared" ref="F159:K159" si="79">IFERROR(365*AVERAGE(E41:F41)/F15,0)</f>
        <v>36.161948865118703</v>
      </c>
      <c r="G159" s="95">
        <f t="shared" ca="1" si="79"/>
        <v>51.867219917012449</v>
      </c>
      <c r="H159" s="95">
        <f t="shared" ca="1" si="79"/>
        <v>52.410901467505241</v>
      </c>
      <c r="I159" s="95">
        <f t="shared" ca="1" si="79"/>
        <v>53.078556263269633</v>
      </c>
      <c r="J159" s="95">
        <f t="shared" ca="1" si="79"/>
        <v>53.078556263269633</v>
      </c>
      <c r="K159" s="95">
        <f t="shared" ca="1" si="79"/>
        <v>53.07855626326964</v>
      </c>
    </row>
    <row r="160" spans="1:11" x14ac:dyDescent="0.3">
      <c r="B160" t="s">
        <v>198</v>
      </c>
      <c r="E160" s="83">
        <f>IFERROR(365*AVERAGE(D42:E42)/E15,0)</f>
        <v>46.6177280656119</v>
      </c>
      <c r="F160" s="83">
        <f t="shared" ref="F160:K160" si="80">IFERROR(365*AVERAGE(E42:F42)/F15,0)</f>
        <v>49.237623923819463</v>
      </c>
      <c r="G160" s="95">
        <f t="shared" ca="1" si="80"/>
        <v>49.237623923819477</v>
      </c>
      <c r="H160" s="95">
        <f t="shared" ca="1" si="80"/>
        <v>49.237623923819456</v>
      </c>
      <c r="I160" s="95">
        <f t="shared" ca="1" si="80"/>
        <v>49.237623923819463</v>
      </c>
      <c r="J160" s="95">
        <f t="shared" ca="1" si="80"/>
        <v>49.237623923819463</v>
      </c>
      <c r="K160" s="95">
        <f t="shared" ca="1" si="80"/>
        <v>49.237623923819463</v>
      </c>
    </row>
    <row r="161" spans="1:11" x14ac:dyDescent="0.3">
      <c r="B161" s="9" t="s">
        <v>199</v>
      </c>
      <c r="E161" s="94">
        <f>IFERROR(SUM(E159:E160),0)</f>
        <v>76.301833093613254</v>
      </c>
      <c r="F161" s="94">
        <f t="shared" ref="F161:K161" si="81">IFERROR(SUM(F159:F160),0)</f>
        <v>85.399572788938173</v>
      </c>
      <c r="G161" s="96">
        <f t="shared" ca="1" si="81"/>
        <v>101.10484384083193</v>
      </c>
      <c r="H161" s="96">
        <f t="shared" ca="1" si="81"/>
        <v>101.6485253913247</v>
      </c>
      <c r="I161" s="96">
        <f t="shared" ca="1" si="81"/>
        <v>102.31618018708909</v>
      </c>
      <c r="J161" s="96">
        <f t="shared" ca="1" si="81"/>
        <v>102.31618018708909</v>
      </c>
      <c r="K161" s="96">
        <f t="shared" ca="1" si="81"/>
        <v>102.3161801870891</v>
      </c>
    </row>
    <row r="162" spans="1:11" x14ac:dyDescent="0.3">
      <c r="B162" s="9"/>
    </row>
    <row r="163" spans="1:11" x14ac:dyDescent="0.3">
      <c r="B163" t="s">
        <v>200</v>
      </c>
      <c r="E163" s="83">
        <f>IFERROR(365*AVERAGE(D50:E50)/E15,0)</f>
        <v>104.11497383480736</v>
      </c>
      <c r="F163" s="83">
        <f t="shared" ref="F163:K163" si="82">IFERROR(365*AVERAGE(E50:F50)/F15,0)</f>
        <v>119.38918601617532</v>
      </c>
      <c r="G163" s="95">
        <f t="shared" ca="1" si="82"/>
        <v>123.73265746791611</v>
      </c>
      <c r="H163" s="95">
        <f t="shared" ca="1" si="82"/>
        <v>120.53083070187142</v>
      </c>
      <c r="I163" s="95">
        <f t="shared" ca="1" si="82"/>
        <v>120.93031882768722</v>
      </c>
      <c r="J163" s="95">
        <f t="shared" ca="1" si="82"/>
        <v>120.19419563053791</v>
      </c>
      <c r="K163" s="95">
        <f t="shared" ca="1" si="82"/>
        <v>120.19419563053793</v>
      </c>
    </row>
    <row r="164" spans="1:11" x14ac:dyDescent="0.3">
      <c r="B164" s="9" t="s">
        <v>201</v>
      </c>
      <c r="E164" s="94">
        <f>IFERROR(E161-E163,0)</f>
        <v>-27.813140741194104</v>
      </c>
      <c r="F164" s="94">
        <f t="shared" ref="F164:K164" si="83">IFERROR(F161-F163,0)</f>
        <v>-33.989613227237143</v>
      </c>
      <c r="G164" s="96">
        <f t="shared" ca="1" si="83"/>
        <v>-22.62781362708418</v>
      </c>
      <c r="H164" s="96">
        <f t="shared" ca="1" si="83"/>
        <v>-18.882305310546727</v>
      </c>
      <c r="I164" s="96">
        <f t="shared" ca="1" si="83"/>
        <v>-18.614138640598128</v>
      </c>
      <c r="J164" s="96">
        <f t="shared" ca="1" si="83"/>
        <v>-17.878015443448817</v>
      </c>
      <c r="K164" s="96">
        <f t="shared" ca="1" si="83"/>
        <v>-17.878015443448831</v>
      </c>
    </row>
    <row r="165" spans="1:11" x14ac:dyDescent="0.3">
      <c r="B165" s="9"/>
    </row>
    <row r="166" spans="1:11" x14ac:dyDescent="0.3">
      <c r="B166" t="s">
        <v>202</v>
      </c>
      <c r="E166" s="82">
        <f>IFERROR(SUM(E40:E44)/SUM(E50:E52),0)</f>
        <v>1.4132025274359827</v>
      </c>
      <c r="F166" s="82">
        <f t="shared" ref="F166:K166" si="84">IFERROR(SUM(F40:F44)/SUM(F50:F52),0)</f>
        <v>1.6561043802423112</v>
      </c>
      <c r="G166" s="82">
        <f t="shared" ca="1" si="84"/>
        <v>1.6066805913390301</v>
      </c>
      <c r="H166" s="82">
        <f t="shared" ca="1" si="84"/>
        <v>1.4388812410041898</v>
      </c>
      <c r="I166" s="82">
        <f t="shared" ca="1" si="84"/>
        <v>1.2906844637991806</v>
      </c>
      <c r="J166" s="82">
        <f t="shared" ca="1" si="84"/>
        <v>1.1593372313477555</v>
      </c>
      <c r="K166" s="82">
        <f t="shared" ca="1" si="84"/>
        <v>1.0378528751003258</v>
      </c>
    </row>
    <row r="167" spans="1:11" x14ac:dyDescent="0.3">
      <c r="B167" t="s">
        <v>203</v>
      </c>
      <c r="E167" s="82">
        <f>IFERROR(SUM(E40:E41)/SUM(E50:E52),0)</f>
        <v>0.64491187229797142</v>
      </c>
      <c r="F167" s="82">
        <f t="shared" ref="F167:K167" si="85">IFERROR(SUM(F40:F41)/SUM(F50:F52),0)</f>
        <v>0.81981981981981977</v>
      </c>
      <c r="G167" s="82">
        <f t="shared" ca="1" si="85"/>
        <v>0.73709657927205186</v>
      </c>
      <c r="H167" s="82">
        <f t="shared" ca="1" si="85"/>
        <v>0.57097229263421989</v>
      </c>
      <c r="I167" s="82">
        <f t="shared" ca="1" si="85"/>
        <v>0.41495410941824101</v>
      </c>
      <c r="J167" s="82">
        <f t="shared" ca="1" si="85"/>
        <v>0.2825913637078204</v>
      </c>
      <c r="K167" s="82">
        <f t="shared" ca="1" si="85"/>
        <v>0.16204729751501626</v>
      </c>
    </row>
    <row r="169" spans="1:11" x14ac:dyDescent="0.3">
      <c r="A169" s="1" t="s">
        <v>55</v>
      </c>
      <c r="B169" s="57" t="s">
        <v>204</v>
      </c>
      <c r="C169" s="56"/>
      <c r="D169" s="3"/>
      <c r="E169" s="3"/>
      <c r="F169" s="3"/>
      <c r="G169" s="3"/>
      <c r="H169" s="3"/>
      <c r="I169" s="3"/>
      <c r="J169" s="3"/>
      <c r="K169" s="3"/>
    </row>
    <row r="170" spans="1:11" ht="15" thickBot="1" x14ac:dyDescent="0.35">
      <c r="B170"/>
    </row>
    <row r="171" spans="1:11" x14ac:dyDescent="0.3">
      <c r="B171" t="s">
        <v>205</v>
      </c>
      <c r="D171" s="108" t="str">
        <f>C8</f>
        <v>Weak Case</v>
      </c>
      <c r="F171" s="98" t="s">
        <v>209</v>
      </c>
      <c r="G171" s="110">
        <f>IFERROR(G10,0)</f>
        <v>2025</v>
      </c>
      <c r="H171" s="111">
        <f t="shared" ref="H171:K172" si="86">IFERROR(H10,0)</f>
        <v>2026</v>
      </c>
      <c r="I171" s="111">
        <f t="shared" si="86"/>
        <v>2027</v>
      </c>
      <c r="J171" s="111">
        <f t="shared" si="86"/>
        <v>2028</v>
      </c>
      <c r="K171" s="112">
        <f t="shared" si="86"/>
        <v>2029</v>
      </c>
    </row>
    <row r="172" spans="1:11" x14ac:dyDescent="0.3">
      <c r="B172"/>
      <c r="F172" s="99" t="s">
        <v>210</v>
      </c>
      <c r="G172" s="106">
        <f>IFERROR(G11,0)</f>
        <v>45747</v>
      </c>
      <c r="H172" s="107">
        <f t="shared" si="86"/>
        <v>46112</v>
      </c>
      <c r="I172" s="107">
        <f t="shared" si="86"/>
        <v>46477</v>
      </c>
      <c r="J172" s="107">
        <f t="shared" si="86"/>
        <v>46843</v>
      </c>
      <c r="K172" s="113">
        <f t="shared" si="86"/>
        <v>47208</v>
      </c>
    </row>
    <row r="173" spans="1:11" x14ac:dyDescent="0.3">
      <c r="B173" s="5" t="s">
        <v>97</v>
      </c>
      <c r="F173" s="109">
        <f ca="1">OFFSET($F$177,MATCH($B$173,$B$177:$B$188,0)+MATCH($D$171,$B$178:$B$180,0)-1,0)</f>
        <v>-0.01</v>
      </c>
      <c r="G173" s="105">
        <f ca="1">OFFSET(G$177,MATCH($B173,$B$177:$B$188,0)+MATCH($D$171,$B$178:$B$180,0)-1,0)</f>
        <v>4.5999999999999999E-2</v>
      </c>
      <c r="H173" s="105">
        <f t="shared" ref="H173:K175" ca="1" si="87">OFFSET(H$177,MATCH($B173,$B$177:$B$188,0)+MATCH($D$171,$B$178:$B$180,0)-1,0)</f>
        <v>8.5000000000000006E-2</v>
      </c>
      <c r="I173" s="105">
        <f t="shared" ca="1" si="87"/>
        <v>0.08</v>
      </c>
      <c r="J173" s="105">
        <f t="shared" ca="1" si="87"/>
        <v>0.08</v>
      </c>
      <c r="K173" s="105">
        <f t="shared" ca="1" si="87"/>
        <v>0.08</v>
      </c>
    </row>
    <row r="174" spans="1:11" x14ac:dyDescent="0.3">
      <c r="B174" s="65" t="s">
        <v>98</v>
      </c>
      <c r="F174" s="109">
        <f ca="1">OFFSET($F$177,MATCH($B$174,$B$177:$B$188,0)+MATCH($D$171,$B$178:$B$180,0)-1,0)</f>
        <v>-0.01</v>
      </c>
      <c r="G174" s="105">
        <f t="shared" ref="G174:G175" ca="1" si="88">OFFSET(G$177,MATCH($B174,$B$177:$B$188,0)+MATCH($D$171,$B$178:$B$180,0)-1,0)</f>
        <v>0.51800000000000002</v>
      </c>
      <c r="H174" s="105">
        <f t="shared" ca="1" si="87"/>
        <v>0.52300000000000002</v>
      </c>
      <c r="I174" s="105">
        <f t="shared" ca="1" si="87"/>
        <v>0.52900000000000003</v>
      </c>
      <c r="J174" s="105">
        <f t="shared" ca="1" si="87"/>
        <v>0.52900000000000003</v>
      </c>
      <c r="K174" s="105">
        <f t="shared" ca="1" si="87"/>
        <v>0.52900000000000003</v>
      </c>
    </row>
    <row r="175" spans="1:11" x14ac:dyDescent="0.3">
      <c r="B175" s="65" t="s">
        <v>99</v>
      </c>
      <c r="F175" s="109">
        <f ca="1">OFFSET($F$177,MATCH($B$175,$B$177:$B$188,0)+MATCH($D$171,$B$178:$B$180,0)-1,0)</f>
        <v>-0.01</v>
      </c>
      <c r="G175" s="105">
        <f t="shared" ca="1" si="88"/>
        <v>0.27800000000000008</v>
      </c>
      <c r="H175" s="105">
        <f t="shared" ca="1" si="87"/>
        <v>0.27900000000000003</v>
      </c>
      <c r="I175" s="105">
        <f t="shared" ca="1" si="87"/>
        <v>0.28200000000000003</v>
      </c>
      <c r="J175" s="105">
        <f t="shared" ca="1" si="87"/>
        <v>0.28200000000000003</v>
      </c>
      <c r="K175" s="105">
        <f t="shared" ca="1" si="87"/>
        <v>0.28200000000000003</v>
      </c>
    </row>
    <row r="176" spans="1:11" x14ac:dyDescent="0.3">
      <c r="B176"/>
      <c r="F176" s="101"/>
    </row>
    <row r="177" spans="2:11" x14ac:dyDescent="0.3">
      <c r="B177" s="20" t="s">
        <v>97</v>
      </c>
      <c r="F177" s="101"/>
    </row>
    <row r="178" spans="2:11" x14ac:dyDescent="0.3">
      <c r="B178" s="97" t="s">
        <v>206</v>
      </c>
      <c r="F178" s="101">
        <v>0.01</v>
      </c>
      <c r="G178" s="105">
        <f>IFERROR(G179+$F$178,0)</f>
        <v>6.6000000000000003E-2</v>
      </c>
      <c r="H178" s="105">
        <f t="shared" ref="H178:K178" si="89">IFERROR(H179+$F$178,0)</f>
        <v>0.105</v>
      </c>
      <c r="I178" s="105">
        <f t="shared" si="89"/>
        <v>9.9999999999999992E-2</v>
      </c>
      <c r="J178" s="105">
        <f t="shared" si="89"/>
        <v>9.9999999999999992E-2</v>
      </c>
      <c r="K178" s="105">
        <f t="shared" si="89"/>
        <v>9.9999999999999992E-2</v>
      </c>
    </row>
    <row r="179" spans="2:11" x14ac:dyDescent="0.3">
      <c r="B179" s="97" t="s">
        <v>207</v>
      </c>
      <c r="F179" s="100" t="s">
        <v>211</v>
      </c>
      <c r="G179" s="104">
        <v>5.6000000000000001E-2</v>
      </c>
      <c r="H179" s="104">
        <v>9.5000000000000001E-2</v>
      </c>
      <c r="I179" s="104">
        <v>0.09</v>
      </c>
      <c r="J179" s="104">
        <v>0.09</v>
      </c>
      <c r="K179" s="104">
        <v>0.09</v>
      </c>
    </row>
    <row r="180" spans="2:11" x14ac:dyDescent="0.3">
      <c r="B180" s="97" t="s">
        <v>208</v>
      </c>
      <c r="F180" s="101">
        <v>-0.01</v>
      </c>
      <c r="G180" s="105">
        <f>IFERROR(G179+$F$180,0)</f>
        <v>4.5999999999999999E-2</v>
      </c>
      <c r="H180" s="105">
        <f t="shared" ref="H180:K180" si="90">IFERROR(H179+$F$180,0)</f>
        <v>8.5000000000000006E-2</v>
      </c>
      <c r="I180" s="105">
        <f t="shared" si="90"/>
        <v>0.08</v>
      </c>
      <c r="J180" s="105">
        <f t="shared" si="90"/>
        <v>0.08</v>
      </c>
      <c r="K180" s="105">
        <f t="shared" si="90"/>
        <v>0.08</v>
      </c>
    </row>
    <row r="181" spans="2:11" x14ac:dyDescent="0.3">
      <c r="B181" s="59" t="s">
        <v>98</v>
      </c>
      <c r="F181" s="101"/>
    </row>
    <row r="182" spans="2:11" x14ac:dyDescent="0.3">
      <c r="B182" s="97" t="s">
        <v>206</v>
      </c>
      <c r="F182" s="101">
        <v>0.01</v>
      </c>
      <c r="G182" s="105">
        <f>IFERROR(G183+$F$182,0)</f>
        <v>0.53800000000000003</v>
      </c>
      <c r="H182" s="105">
        <f t="shared" ref="H182:K182" si="91">IFERROR(H183+$F$182,0)</f>
        <v>0.54300000000000004</v>
      </c>
      <c r="I182" s="105">
        <f t="shared" si="91"/>
        <v>0.54900000000000004</v>
      </c>
      <c r="J182" s="105">
        <f t="shared" si="91"/>
        <v>0.54900000000000004</v>
      </c>
      <c r="K182" s="105">
        <f t="shared" si="91"/>
        <v>0.54900000000000004</v>
      </c>
    </row>
    <row r="183" spans="2:11" x14ac:dyDescent="0.3">
      <c r="B183" s="97" t="s">
        <v>207</v>
      </c>
      <c r="F183" s="100" t="s">
        <v>211</v>
      </c>
      <c r="G183" s="104">
        <v>0.52800000000000002</v>
      </c>
      <c r="H183" s="104">
        <v>0.53300000000000003</v>
      </c>
      <c r="I183" s="104">
        <v>0.53900000000000003</v>
      </c>
      <c r="J183" s="104">
        <v>0.53900000000000003</v>
      </c>
      <c r="K183" s="104">
        <v>0.53900000000000003</v>
      </c>
    </row>
    <row r="184" spans="2:11" x14ac:dyDescent="0.3">
      <c r="B184" s="97" t="s">
        <v>208</v>
      </c>
      <c r="F184" s="101">
        <v>-0.01</v>
      </c>
      <c r="G184" s="105">
        <f>IFERROR(G183+$F$184,0)</f>
        <v>0.51800000000000002</v>
      </c>
      <c r="H184" s="105">
        <f t="shared" ref="H184:K184" si="92">IFERROR(H183+$F$184,0)</f>
        <v>0.52300000000000002</v>
      </c>
      <c r="I184" s="105">
        <f t="shared" si="92"/>
        <v>0.52900000000000003</v>
      </c>
      <c r="J184" s="105">
        <f t="shared" si="92"/>
        <v>0.52900000000000003</v>
      </c>
      <c r="K184" s="105">
        <f t="shared" si="92"/>
        <v>0.52900000000000003</v>
      </c>
    </row>
    <row r="185" spans="2:11" x14ac:dyDescent="0.3">
      <c r="B185" s="59" t="s">
        <v>99</v>
      </c>
      <c r="F185" s="100"/>
    </row>
    <row r="186" spans="2:11" x14ac:dyDescent="0.3">
      <c r="B186" s="97" t="s">
        <v>206</v>
      </c>
      <c r="F186" s="101">
        <v>0.01</v>
      </c>
      <c r="G186" s="105">
        <f>IFERROR(G187+$F$186,0)</f>
        <v>0.2980000000000001</v>
      </c>
      <c r="H186" s="105">
        <f t="shared" ref="H186:K186" si="93">IFERROR(H187+$F$186,0)</f>
        <v>0.29900000000000004</v>
      </c>
      <c r="I186" s="105">
        <f t="shared" si="93"/>
        <v>0.30200000000000005</v>
      </c>
      <c r="J186" s="105">
        <f t="shared" si="93"/>
        <v>0.30200000000000005</v>
      </c>
      <c r="K186" s="105">
        <f t="shared" si="93"/>
        <v>0.30200000000000005</v>
      </c>
    </row>
    <row r="187" spans="2:11" x14ac:dyDescent="0.3">
      <c r="B187" s="97" t="s">
        <v>207</v>
      </c>
      <c r="F187" s="100" t="s">
        <v>211</v>
      </c>
      <c r="G187" s="104">
        <v>0.28800000000000009</v>
      </c>
      <c r="H187" s="104">
        <v>0.28900000000000003</v>
      </c>
      <c r="I187" s="104">
        <v>0.29200000000000004</v>
      </c>
      <c r="J187" s="104">
        <v>0.29200000000000004</v>
      </c>
      <c r="K187" s="104">
        <v>0.29200000000000004</v>
      </c>
    </row>
    <row r="188" spans="2:11" ht="15" thickBot="1" x14ac:dyDescent="0.35">
      <c r="B188" s="97" t="s">
        <v>208</v>
      </c>
      <c r="F188" s="103">
        <v>-0.01</v>
      </c>
      <c r="G188" s="105">
        <f>IFERROR(G187+$F$188,0)</f>
        <v>0.27800000000000008</v>
      </c>
      <c r="H188" s="105">
        <f t="shared" ref="H188:K188" si="94">IFERROR(H187+$F$188,0)</f>
        <v>0.27900000000000003</v>
      </c>
      <c r="I188" s="105">
        <f t="shared" si="94"/>
        <v>0.28200000000000003</v>
      </c>
      <c r="J188" s="105">
        <f t="shared" si="94"/>
        <v>0.28200000000000003</v>
      </c>
      <c r="K188" s="105">
        <f t="shared" si="94"/>
        <v>0.28200000000000003</v>
      </c>
    </row>
  </sheetData>
  <mergeCells count="2">
    <mergeCell ref="B2:K2"/>
    <mergeCell ref="B3:K3"/>
  </mergeCells>
  <conditionalFormatting sqref="B175">
    <cfRule type="expression" dxfId="2" priority="1">
      <formula>#REF!=$C175</formula>
    </cfRule>
  </conditionalFormatting>
  <conditionalFormatting sqref="B185">
    <cfRule type="expression" dxfId="1" priority="2">
      <formula>#REF!=$C185</formula>
    </cfRule>
  </conditionalFormatting>
  <dataValidations count="3">
    <dataValidation type="list" allowBlank="1" showInputMessage="1" showErrorMessage="1" sqref="G141 G152" xr:uid="{27530DBA-3142-47D2-916D-E81E23F390DF}">
      <formula1>"1,2"</formula1>
    </dataValidation>
    <dataValidation type="list" allowBlank="1" showInputMessage="1" showErrorMessage="1" sqref="C7" xr:uid="{E217BE16-B74F-47D8-8D00-434AA244F6EC}">
      <formula1>"0,1"</formula1>
    </dataValidation>
    <dataValidation type="list" allowBlank="1" showInputMessage="1" showErrorMessage="1" sqref="C8" xr:uid="{F76BB694-1F7A-4F16-9337-1319CCD38BD8}">
      <formula1>"Weak Case, Base Case, Best Case"</formula1>
    </dataValidation>
  </dataValidations>
  <hyperlinks>
    <hyperlink ref="C6" r:id="rId1" display="https://www.nseindia.com/get-quotes/equity?symbol=HINDUNILVR" xr:uid="{F87BDA31-A5C1-4F75-8F37-01617FC9FFF1}"/>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E3D2-14B9-4092-9134-2E8BCD7C66D8}">
  <dimension ref="A2:Q126"/>
  <sheetViews>
    <sheetView showGridLines="0" workbookViewId="0">
      <pane ySplit="8" topLeftCell="A47" activePane="bottomLeft" state="frozen"/>
      <selection pane="bottomLeft" activeCell="B76" sqref="B76"/>
    </sheetView>
  </sheetViews>
  <sheetFormatPr defaultRowHeight="14.4" x14ac:dyDescent="0.3"/>
  <cols>
    <col min="1" max="1" width="1.88671875" customWidth="1"/>
    <col min="2" max="2" width="48.77734375" customWidth="1"/>
    <col min="3" max="9" width="16.77734375" customWidth="1"/>
    <col min="10" max="10" width="1.88671875" customWidth="1"/>
    <col min="12" max="12" width="10.5546875" bestFit="1" customWidth="1"/>
  </cols>
  <sheetData>
    <row r="2" spans="1:9" x14ac:dyDescent="0.3">
      <c r="A2" t="s">
        <v>55</v>
      </c>
      <c r="B2" s="117" t="s">
        <v>213</v>
      </c>
      <c r="C2" s="114"/>
      <c r="D2" s="114"/>
      <c r="E2" s="114"/>
      <c r="F2" s="114"/>
      <c r="G2" s="114"/>
      <c r="H2" s="114"/>
      <c r="I2" s="114"/>
    </row>
    <row r="3" spans="1:9" x14ac:dyDescent="0.3">
      <c r="B3" s="116" t="str">
        <f>'[1]Financials '!$B$3</f>
        <v xml:space="preserve">$ and shares in millions, except per share data </v>
      </c>
    </row>
    <row r="4" spans="1:9" x14ac:dyDescent="0.3">
      <c r="B4" t="s">
        <v>214</v>
      </c>
      <c r="C4" s="115"/>
      <c r="D4" s="120">
        <v>45382</v>
      </c>
      <c r="G4" t="s">
        <v>219</v>
      </c>
      <c r="I4" s="121">
        <f>IFERROR(E125,0)</f>
        <v>0.10130130374012129</v>
      </c>
    </row>
    <row r="5" spans="1:9" x14ac:dyDescent="0.3">
      <c r="B5" t="s">
        <v>215</v>
      </c>
      <c r="C5" s="115"/>
      <c r="D5" s="120">
        <v>45747</v>
      </c>
      <c r="G5" t="s">
        <v>220</v>
      </c>
      <c r="I5" s="122">
        <v>2783</v>
      </c>
    </row>
    <row r="6" spans="1:9" x14ac:dyDescent="0.3">
      <c r="B6" t="s">
        <v>216</v>
      </c>
      <c r="C6" s="115"/>
      <c r="D6" s="120">
        <v>45565</v>
      </c>
      <c r="G6" t="s">
        <v>221</v>
      </c>
      <c r="I6" s="120">
        <v>45572</v>
      </c>
    </row>
    <row r="7" spans="1:9" x14ac:dyDescent="0.3">
      <c r="B7" t="s">
        <v>217</v>
      </c>
      <c r="C7" s="115"/>
      <c r="D7" s="120">
        <f ca="1">NOW()</f>
        <v>45589.532496643522</v>
      </c>
      <c r="G7" t="s">
        <v>222</v>
      </c>
      <c r="I7" s="123">
        <v>0</v>
      </c>
    </row>
    <row r="8" spans="1:9" x14ac:dyDescent="0.3">
      <c r="B8" t="s">
        <v>218</v>
      </c>
      <c r="C8" s="115"/>
      <c r="D8" s="121">
        <f ca="1">YEARFRAC(D7,D5)</f>
        <v>0.43611111111111112</v>
      </c>
    </row>
    <row r="10" spans="1:9" x14ac:dyDescent="0.3">
      <c r="A10" t="s">
        <v>55</v>
      </c>
      <c r="B10" s="118" t="s">
        <v>223</v>
      </c>
      <c r="C10" s="119"/>
      <c r="D10" s="119"/>
      <c r="E10" s="119"/>
      <c r="F10" s="119"/>
      <c r="G10" s="119"/>
      <c r="H10" s="119"/>
      <c r="I10" s="119"/>
    </row>
    <row r="12" spans="1:9" x14ac:dyDescent="0.3">
      <c r="B12" s="118" t="s">
        <v>78</v>
      </c>
      <c r="C12" s="118"/>
      <c r="D12" s="125">
        <f>D13</f>
        <v>45382</v>
      </c>
      <c r="E12" s="126">
        <f t="shared" ref="E12" si="0">E13</f>
        <v>45747</v>
      </c>
      <c r="F12" s="126">
        <f t="shared" ref="F12" si="1">F13</f>
        <v>46112</v>
      </c>
      <c r="G12" s="126">
        <f t="shared" ref="G12" si="2">G13</f>
        <v>46477</v>
      </c>
      <c r="H12" s="126">
        <f t="shared" ref="H12" si="3">H13</f>
        <v>46843</v>
      </c>
      <c r="I12" s="126">
        <f t="shared" ref="I12" si="4">I13</f>
        <v>47208</v>
      </c>
    </row>
    <row r="13" spans="1:9" x14ac:dyDescent="0.3">
      <c r="B13" s="118" t="s">
        <v>79</v>
      </c>
      <c r="C13" s="118"/>
      <c r="D13" s="124">
        <f>D4</f>
        <v>45382</v>
      </c>
      <c r="E13" s="124">
        <f>EOMONTH(D13,12)</f>
        <v>45747</v>
      </c>
      <c r="F13" s="124">
        <f t="shared" ref="F13:I13" si="5">EOMONTH(E13,12)</f>
        <v>46112</v>
      </c>
      <c r="G13" s="124">
        <f t="shared" si="5"/>
        <v>46477</v>
      </c>
      <c r="H13" s="124">
        <f t="shared" si="5"/>
        <v>46843</v>
      </c>
      <c r="I13" s="124">
        <f t="shared" si="5"/>
        <v>47208</v>
      </c>
    </row>
    <row r="15" spans="1:9" x14ac:dyDescent="0.3">
      <c r="B15" t="s">
        <v>224</v>
      </c>
      <c r="D15" s="127">
        <f>IFERROR(FSM!F14,0)</f>
        <v>61896</v>
      </c>
      <c r="E15" s="130">
        <f ca="1">IFERROR(D15*(1+E16),0)</f>
        <v>64743.216</v>
      </c>
      <c r="F15" s="130">
        <f t="shared" ref="F15:I15" ca="1" si="6">IFERROR(E15*(1+F16),0)</f>
        <v>70246.389360000001</v>
      </c>
      <c r="G15" s="130">
        <f t="shared" ca="1" si="6"/>
        <v>75866.100508800009</v>
      </c>
      <c r="H15" s="130">
        <f t="shared" ca="1" si="6"/>
        <v>81935.388549504016</v>
      </c>
      <c r="I15" s="130">
        <f t="shared" ca="1" si="6"/>
        <v>88490.219633464338</v>
      </c>
    </row>
    <row r="16" spans="1:9" x14ac:dyDescent="0.3">
      <c r="B16" s="65" t="s">
        <v>225</v>
      </c>
      <c r="E16" s="129">
        <f ca="1">IFERROR(FSM!G32,0)</f>
        <v>4.5999999999999999E-2</v>
      </c>
      <c r="F16" s="129">
        <f ca="1">IFERROR(FSM!H32,0)</f>
        <v>8.5000000000000006E-2</v>
      </c>
      <c r="G16" s="129">
        <f ca="1">IFERROR(FSM!I32,0)</f>
        <v>0.08</v>
      </c>
      <c r="H16" s="129">
        <f ca="1">IFERROR(FSM!J32,0)</f>
        <v>0.08</v>
      </c>
      <c r="I16" s="129">
        <f ca="1">IFERROR(FSM!K32,0)</f>
        <v>0.08</v>
      </c>
    </row>
    <row r="17" spans="2:9" x14ac:dyDescent="0.3">
      <c r="B17" t="s">
        <v>60</v>
      </c>
      <c r="D17" s="127">
        <f>IFERROR(FSM!F19,0)</f>
        <v>14637</v>
      </c>
      <c r="E17" s="130">
        <f ca="1">IFERROR(E18*E15,0)</f>
        <v>15538.37184</v>
      </c>
      <c r="F17" s="130">
        <f t="shared" ref="F17:I17" ca="1" si="7">IFERROR(F18*F15,0)</f>
        <v>17140.119003839998</v>
      </c>
      <c r="G17" s="130">
        <f t="shared" ca="1" si="7"/>
        <v>18738.926825673603</v>
      </c>
      <c r="H17" s="130">
        <f t="shared" ca="1" si="7"/>
        <v>20238.040971727492</v>
      </c>
      <c r="I17" s="130">
        <f t="shared" ca="1" si="7"/>
        <v>21857.08424946569</v>
      </c>
    </row>
    <row r="18" spans="2:9" x14ac:dyDescent="0.3">
      <c r="B18" s="65" t="s">
        <v>226</v>
      </c>
      <c r="D18" s="131">
        <f>IFERROR(D17/D15,0)</f>
        <v>0.23647731678945327</v>
      </c>
      <c r="E18" s="129">
        <f>IFERROR(FSM!G36,0)</f>
        <v>0.24</v>
      </c>
      <c r="F18" s="129">
        <f>IFERROR(FSM!H36,0)</f>
        <v>0.24399999999999999</v>
      </c>
      <c r="G18" s="129">
        <f>IFERROR(FSM!I36,0)</f>
        <v>0.247</v>
      </c>
      <c r="H18" s="129">
        <f>IFERROR(FSM!J36,0)</f>
        <v>0.247</v>
      </c>
      <c r="I18" s="129">
        <f>IFERROR(FSM!K36,0)</f>
        <v>0.247</v>
      </c>
    </row>
    <row r="19" spans="2:9" x14ac:dyDescent="0.3">
      <c r="B19" t="s">
        <v>61</v>
      </c>
      <c r="D19" s="127">
        <f>IFERROR(FSM!F21,0)</f>
        <v>13421</v>
      </c>
      <c r="E19" s="130">
        <f ca="1">IFERROR(E20*E15,0)</f>
        <v>14235.725279999999</v>
      </c>
      <c r="F19" s="130">
        <f t="shared" ref="F19:I19" ca="1" si="8">IFERROR(F20*F15,0)</f>
        <v>15693.426528639999</v>
      </c>
      <c r="G19" s="130">
        <f t="shared" ca="1" si="8"/>
        <v>17140.512318249603</v>
      </c>
      <c r="H19" s="130">
        <f t="shared" ca="1" si="8"/>
        <v>18472.887738764934</v>
      </c>
      <c r="I19" s="130">
        <f t="shared" ca="1" si="8"/>
        <v>19908.743947725914</v>
      </c>
    </row>
    <row r="20" spans="2:9" x14ac:dyDescent="0.3">
      <c r="B20" s="65" t="s">
        <v>226</v>
      </c>
      <c r="D20" s="131">
        <f>IFERROR(D19/D15,0)</f>
        <v>0.21683145922192065</v>
      </c>
      <c r="E20" s="129">
        <f ca="1">IFERROR(FSM!G21/FSM!G14,0)</f>
        <v>0.21987979837146179</v>
      </c>
      <c r="F20" s="129">
        <f ca="1">IFERROR(FSM!H21/FSM!H14,0)</f>
        <v>0.22340545431045622</v>
      </c>
      <c r="G20" s="129">
        <f ca="1">IFERROR(FSM!I21/FSM!I14,0)</f>
        <v>0.2259311102494507</v>
      </c>
      <c r="H20" s="129">
        <f ca="1">IFERROR(FSM!J21/FSM!J14,0)</f>
        <v>0.22545676618844515</v>
      </c>
      <c r="I20" s="129">
        <f ca="1">IFERROR(FSM!K21/FSM!K14,0)</f>
        <v>0.22498242212743957</v>
      </c>
    </row>
    <row r="21" spans="2:9" x14ac:dyDescent="0.3">
      <c r="B21" s="65"/>
    </row>
    <row r="22" spans="2:9" x14ac:dyDescent="0.3">
      <c r="B22" t="s">
        <v>227</v>
      </c>
      <c r="D22" s="128">
        <f>IFERROR(D19*D23,0)</f>
        <v>3517.4139815880321</v>
      </c>
      <c r="E22" s="130">
        <f ca="1">IFERROR(E23*E19,0)</f>
        <v>3730.9395080782501</v>
      </c>
      <c r="F22" s="130">
        <f t="shared" ref="F22:I22" ca="1" si="9">IFERROR(F23*F19,0)</f>
        <v>4112.9780113898269</v>
      </c>
      <c r="G22" s="130">
        <f t="shared" ca="1" si="9"/>
        <v>4492.2343849037361</v>
      </c>
      <c r="H22" s="130">
        <f t="shared" ca="1" si="9"/>
        <v>4841.4271375186572</v>
      </c>
      <c r="I22" s="130">
        <f t="shared" ca="1" si="9"/>
        <v>5217.7404304885804</v>
      </c>
    </row>
    <row r="23" spans="2:9" x14ac:dyDescent="0.3">
      <c r="B23" s="65" t="s">
        <v>100</v>
      </c>
      <c r="D23" s="132">
        <f>IFERROR(FSM!F37,0)</f>
        <v>0.26208285385500574</v>
      </c>
      <c r="E23" s="129">
        <f>IFERROR(FSM!G37,0)</f>
        <v>0.26208285385500574</v>
      </c>
      <c r="F23" s="129">
        <f>IFERROR(FSM!H37,0)</f>
        <v>0.26208285385500574</v>
      </c>
      <c r="G23" s="129">
        <f>IFERROR(FSM!I37,0)</f>
        <v>0.26208285385500574</v>
      </c>
      <c r="H23" s="129">
        <f>IFERROR(FSM!J37,0)</f>
        <v>0.26208285385500574</v>
      </c>
      <c r="I23" s="129">
        <f>IFERROR(FSM!K37,0)</f>
        <v>0.26208285385500574</v>
      </c>
    </row>
    <row r="24" spans="2:9" x14ac:dyDescent="0.3">
      <c r="B24" s="145" t="s">
        <v>228</v>
      </c>
      <c r="C24" s="146"/>
      <c r="D24" s="147">
        <f>IFERROR(D19-D22,0)</f>
        <v>9903.5860184119683</v>
      </c>
      <c r="E24" s="148">
        <f t="shared" ref="E24:I24" ca="1" si="10">IFERROR(E19-E22,0)</f>
        <v>10504.785771921748</v>
      </c>
      <c r="F24" s="148">
        <f t="shared" ca="1" si="10"/>
        <v>11580.448517250172</v>
      </c>
      <c r="G24" s="148">
        <f t="shared" ca="1" si="10"/>
        <v>12648.277933345867</v>
      </c>
      <c r="H24" s="148">
        <f t="shared" ca="1" si="10"/>
        <v>13631.460601246275</v>
      </c>
      <c r="I24" s="148">
        <f t="shared" ca="1" si="10"/>
        <v>14691.003517237334</v>
      </c>
    </row>
    <row r="26" spans="2:9" x14ac:dyDescent="0.3">
      <c r="B26" t="s">
        <v>229</v>
      </c>
      <c r="D26" s="127">
        <f>IFERROR(FSM!F20,0)</f>
        <v>1216</v>
      </c>
      <c r="E26" s="130">
        <f ca="1">IFERROR(E17-E19,0)</f>
        <v>1302.646560000001</v>
      </c>
      <c r="F26" s="130">
        <f t="shared" ref="F26:I26" ca="1" si="11">IFERROR(F17-F19,0)</f>
        <v>1446.6924751999995</v>
      </c>
      <c r="G26" s="130">
        <f t="shared" ca="1" si="11"/>
        <v>1598.4145074240005</v>
      </c>
      <c r="H26" s="130">
        <f t="shared" ca="1" si="11"/>
        <v>1765.1532329625588</v>
      </c>
      <c r="I26" s="130">
        <f t="shared" ca="1" si="11"/>
        <v>1948.3403017397759</v>
      </c>
    </row>
    <row r="27" spans="2:9" x14ac:dyDescent="0.3">
      <c r="B27" t="s">
        <v>230</v>
      </c>
      <c r="D27" s="128">
        <f>IFERROR(D33-C33,0)</f>
        <v>597</v>
      </c>
      <c r="E27" s="130">
        <f t="shared" ref="E27:I27" ca="1" si="12">IFERROR(E33-D33,0)</f>
        <v>40.894000000000005</v>
      </c>
      <c r="F27" s="130">
        <f t="shared" ca="1" si="12"/>
        <v>79.040990000000079</v>
      </c>
      <c r="G27" s="130">
        <f t="shared" ca="1" si="12"/>
        <v>80.71479920000013</v>
      </c>
      <c r="H27" s="130">
        <f t="shared" ca="1" si="12"/>
        <v>87.171983136000108</v>
      </c>
      <c r="I27" s="130">
        <f t="shared" ca="1" si="12"/>
        <v>94.14574178688008</v>
      </c>
    </row>
    <row r="28" spans="2:9" x14ac:dyDescent="0.3">
      <c r="B28" t="s">
        <v>88</v>
      </c>
      <c r="D28" s="127">
        <f>IFERROR(FSM!F45,0)</f>
        <v>8031</v>
      </c>
      <c r="E28" s="130">
        <f ca="1">IFERROR(FSM!G45,0)</f>
        <v>10843.02456</v>
      </c>
      <c r="F28" s="130">
        <f ca="1">IFERROR(FSM!H45,0)</f>
        <v>13927.392165199999</v>
      </c>
      <c r="G28" s="130">
        <f ca="1">IFERROR(FSM!I45,0)</f>
        <v>17294.495813023997</v>
      </c>
      <c r="H28" s="130">
        <f ca="1">IFERROR(FSM!J45,0)</f>
        <v>20969.833317618559</v>
      </c>
      <c r="I28" s="130">
        <f ca="1">IFERROR(FSM!K45,0)</f>
        <v>24981.172632720896</v>
      </c>
    </row>
    <row r="29" spans="2:9" x14ac:dyDescent="0.3">
      <c r="B29" s="65" t="s">
        <v>142</v>
      </c>
      <c r="D29" s="131">
        <f>IFERROR(-D28/D15,0)</f>
        <v>-0.1297499030632028</v>
      </c>
      <c r="E29" s="129">
        <f ca="1">IFERROR(E28/E15,0)</f>
        <v>0.1674773857387622</v>
      </c>
      <c r="F29" s="129">
        <f t="shared" ref="F29:I29" ca="1" si="13">IFERROR(F28/F15,0)</f>
        <v>0.19826488296536696</v>
      </c>
      <c r="G29" s="129">
        <f t="shared" ca="1" si="13"/>
        <v>0.22796078481742896</v>
      </c>
      <c r="H29" s="129">
        <f t="shared" ca="1" si="13"/>
        <v>0.25593133429701048</v>
      </c>
      <c r="I29" s="129">
        <f t="shared" ca="1" si="13"/>
        <v>0.28230433528355453</v>
      </c>
    </row>
    <row r="30" spans="2:9" ht="15" thickBot="1" x14ac:dyDescent="0.35"/>
    <row r="31" spans="2:9" ht="15" thickBot="1" x14ac:dyDescent="0.35">
      <c r="B31" s="142" t="s">
        <v>231</v>
      </c>
      <c r="C31" s="143"/>
      <c r="D31" s="143"/>
      <c r="E31" s="144">
        <f ca="1">IFERROR(E24+E26-E27-E28,0)</f>
        <v>923.51377192174914</v>
      </c>
      <c r="F31" s="144">
        <f t="shared" ref="F31:I31" ca="1" si="14">IFERROR(F24+F26-F27-F28,0)</f>
        <v>-979.29216274982718</v>
      </c>
      <c r="G31" s="144">
        <f t="shared" ca="1" si="14"/>
        <v>-3128.5181714541304</v>
      </c>
      <c r="H31" s="144">
        <f t="shared" ca="1" si="14"/>
        <v>-5660.3914665457251</v>
      </c>
      <c r="I31" s="144">
        <f t="shared" ca="1" si="14"/>
        <v>-8435.9745555306654</v>
      </c>
    </row>
    <row r="33" spans="2:11" x14ac:dyDescent="0.3">
      <c r="B33" t="s">
        <v>232</v>
      </c>
      <c r="C33" s="128">
        <f>IFERROR(SUM(FSM!E41:E44)-SUM(FSM!E50:E52),0)</f>
        <v>292</v>
      </c>
      <c r="D33" s="128">
        <f>IFERROR(SUM(FSM!F41:F44)-SUM(FSM!F50:F52),0)</f>
        <v>889</v>
      </c>
      <c r="E33" s="130">
        <f ca="1">IFERROR(E15*E34,0)</f>
        <v>929.89400000000001</v>
      </c>
      <c r="F33" s="130">
        <f t="shared" ref="F33:I33" ca="1" si="15">IFERROR(F15*F34,0)</f>
        <v>1008.9349900000001</v>
      </c>
      <c r="G33" s="130">
        <f t="shared" ca="1" si="15"/>
        <v>1089.6497892000002</v>
      </c>
      <c r="H33" s="130">
        <f t="shared" ca="1" si="15"/>
        <v>1176.8217723360003</v>
      </c>
      <c r="I33" s="130">
        <f t="shared" ca="1" si="15"/>
        <v>1270.9675141228804</v>
      </c>
    </row>
    <row r="34" spans="2:11" x14ac:dyDescent="0.3">
      <c r="B34" s="65" t="s">
        <v>142</v>
      </c>
      <c r="D34" s="131">
        <f>IFERROR(D33/D15,0)</f>
        <v>1.4362802119684633E-2</v>
      </c>
      <c r="E34" s="129">
        <v>1.4362802119684633E-2</v>
      </c>
      <c r="F34" s="129">
        <v>1.4362802119684633E-2</v>
      </c>
      <c r="G34" s="129">
        <v>1.4362802119684633E-2</v>
      </c>
      <c r="H34" s="129">
        <v>1.4362802119684633E-2</v>
      </c>
      <c r="I34" s="129">
        <v>1.4362802119684633E-2</v>
      </c>
    </row>
    <row r="36" spans="2:11" x14ac:dyDescent="0.3">
      <c r="B36" s="57" t="str">
        <f ca="1">"Present value of UFCF on "&amp;TEXT(D7,"mmm dd, yyyy")&amp;" valuation date"</f>
        <v>Present value of UFCF on Oct 24, 2024 valuation date</v>
      </c>
      <c r="C36" s="139"/>
      <c r="D36" s="139"/>
      <c r="E36" s="139"/>
      <c r="F36" s="139"/>
      <c r="G36" s="139"/>
      <c r="H36" s="139"/>
      <c r="I36" s="139"/>
    </row>
    <row r="37" spans="2:11" x14ac:dyDescent="0.3">
      <c r="B37" s="57"/>
      <c r="C37" s="139"/>
      <c r="D37" s="138" t="s">
        <v>236</v>
      </c>
      <c r="E37" s="138" t="s">
        <v>237</v>
      </c>
      <c r="F37" s="138" t="s">
        <v>238</v>
      </c>
      <c r="G37" s="138" t="s">
        <v>239</v>
      </c>
      <c r="H37" s="138" t="s">
        <v>240</v>
      </c>
      <c r="I37" s="138" t="s">
        <v>241</v>
      </c>
      <c r="J37" s="133"/>
    </row>
    <row r="38" spans="2:11" x14ac:dyDescent="0.3">
      <c r="B38" s="71"/>
      <c r="C38" s="115"/>
      <c r="D38" s="140"/>
      <c r="E38" s="140"/>
      <c r="F38" s="140"/>
      <c r="G38" s="140"/>
      <c r="H38" s="140"/>
      <c r="I38" s="140"/>
      <c r="J38" s="133"/>
    </row>
    <row r="39" spans="2:11" x14ac:dyDescent="0.3">
      <c r="B39" t="s">
        <v>233</v>
      </c>
      <c r="C39" s="134"/>
      <c r="D39" s="135">
        <f ca="1">IFERROR(D7,0)</f>
        <v>45589.532496643522</v>
      </c>
      <c r="E39" s="141">
        <f>IF($I$7=0,E13,AVERAGE(D39,E13))</f>
        <v>45747</v>
      </c>
      <c r="F39" s="141">
        <f>IF($I$7=0,F13,AVERAGE(F13,E13))</f>
        <v>46112</v>
      </c>
      <c r="G39" s="141">
        <f>IF($I$7=0,G13,AVERAGE(G13,F13))</f>
        <v>46477</v>
      </c>
      <c r="H39" s="141">
        <f>IF($I$7=0,H13,AVERAGE(H13,G13))</f>
        <v>46843</v>
      </c>
      <c r="I39" s="141">
        <f>IF($I$7=0,I13,AVERAGE(I13,H13))</f>
        <v>47208</v>
      </c>
      <c r="J39" s="133"/>
    </row>
    <row r="40" spans="2:11" x14ac:dyDescent="0.3">
      <c r="B40" t="s">
        <v>234</v>
      </c>
      <c r="C40" s="149">
        <f ca="1">IFERROR(D8,0)</f>
        <v>0.43611111111111112</v>
      </c>
      <c r="D40" s="136"/>
      <c r="E40" s="130">
        <f ca="1">C40*E31</f>
        <v>402.75461719920725</v>
      </c>
      <c r="F40" s="130">
        <f ca="1">F31</f>
        <v>-979.29216274982718</v>
      </c>
      <c r="G40" s="130">
        <f t="shared" ref="G40:I40" ca="1" si="16">G31</f>
        <v>-3128.5181714541304</v>
      </c>
      <c r="H40" s="130">
        <f t="shared" ca="1" si="16"/>
        <v>-5660.3914665457251</v>
      </c>
      <c r="I40" s="130">
        <f t="shared" ca="1" si="16"/>
        <v>-8435.9745555306654</v>
      </c>
      <c r="J40" s="137"/>
      <c r="K40" t="s">
        <v>242</v>
      </c>
    </row>
    <row r="41" spans="2:11" x14ac:dyDescent="0.3">
      <c r="B41" s="145" t="s">
        <v>235</v>
      </c>
      <c r="C41" s="150"/>
      <c r="D41" s="146"/>
      <c r="E41" s="148">
        <f ca="1">E40/(1+$I$4)^((E39-$D$39)/365)</f>
        <v>386.33269768189712</v>
      </c>
      <c r="F41" s="148">
        <f t="shared" ref="F41:I41" ca="1" si="17">F40/(1+$I$4)^((F39-$D$39)/365)</f>
        <v>-852.95685587171192</v>
      </c>
      <c r="G41" s="148">
        <f t="shared" ca="1" si="17"/>
        <v>-2474.2712789946791</v>
      </c>
      <c r="H41" s="148">
        <f t="shared" ca="1" si="17"/>
        <v>-4063.816926648698</v>
      </c>
      <c r="I41" s="148">
        <f t="shared" ca="1" si="17"/>
        <v>-5499.4185616613931</v>
      </c>
      <c r="J41" s="137"/>
    </row>
    <row r="43" spans="2:11" x14ac:dyDescent="0.3">
      <c r="B43" s="57" t="s">
        <v>243</v>
      </c>
      <c r="C43" s="57"/>
      <c r="D43" s="115"/>
      <c r="E43" s="57" t="s">
        <v>244</v>
      </c>
      <c r="F43" s="139"/>
      <c r="G43" s="139"/>
      <c r="H43" s="139"/>
      <c r="I43" s="139"/>
    </row>
    <row r="44" spans="2:11" x14ac:dyDescent="0.3">
      <c r="B44" s="71"/>
      <c r="C44" s="71"/>
      <c r="D44" s="115"/>
      <c r="E44" s="71"/>
      <c r="F44" s="115"/>
      <c r="G44" s="115"/>
      <c r="H44" s="115"/>
      <c r="I44" s="115"/>
    </row>
    <row r="45" spans="2:11" x14ac:dyDescent="0.3">
      <c r="B45" t="s">
        <v>245</v>
      </c>
      <c r="C45" s="67">
        <v>0.03</v>
      </c>
      <c r="E45" t="s">
        <v>246</v>
      </c>
      <c r="I45" s="128">
        <f ca="1">IFERROR(I17,0)</f>
        <v>21857.08424946569</v>
      </c>
    </row>
    <row r="46" spans="2:11" x14ac:dyDescent="0.3">
      <c r="B46" s="151" t="str">
        <f>YEAR(I13)&amp;" FCF x (1+g)"</f>
        <v>2029 FCF x (1+g)</v>
      </c>
      <c r="C46" s="128">
        <f ca="1">IFERROR(I31,0)</f>
        <v>-8435.9745555306654</v>
      </c>
      <c r="E46" t="s">
        <v>247</v>
      </c>
      <c r="I46" s="152">
        <v>41.7</v>
      </c>
    </row>
    <row r="47" spans="2:11" x14ac:dyDescent="0.3">
      <c r="B47" t="str">
        <f>"Terminal value in "&amp;YEAR(I13)</f>
        <v>Terminal value in 2029</v>
      </c>
      <c r="C47" s="128">
        <f ca="1">IFERROR(C46/($I$4-C45),0)</f>
        <v>-118314.45026977448</v>
      </c>
      <c r="E47" t="str">
        <f>"Terminal value in "&amp;YEAR(I13)</f>
        <v>Terminal value in 2029</v>
      </c>
      <c r="I47" s="128">
        <f ca="1">IFERROR(I45*I46,0)</f>
        <v>911440.4132027193</v>
      </c>
    </row>
    <row r="48" spans="2:11" x14ac:dyDescent="0.3">
      <c r="B48" t="s">
        <v>248</v>
      </c>
      <c r="C48" s="128">
        <f ca="1">IFERROR(C47/(1+$I$4)^((I39-D39)/365),0)</f>
        <v>-77129.284784267787</v>
      </c>
      <c r="E48" t="s">
        <v>248</v>
      </c>
      <c r="I48" s="128">
        <f ca="1">IFERROR(I47/(1+$I$4)^((I39-D39)/365),0)</f>
        <v>594168.73453337001</v>
      </c>
    </row>
    <row r="49" spans="2:9" x14ac:dyDescent="0.3">
      <c r="B49" t="s">
        <v>249</v>
      </c>
      <c r="C49" s="128">
        <f ca="1">IFERROR(SUM(E41:I41),0)</f>
        <v>-12504.130925494585</v>
      </c>
      <c r="E49" t="s">
        <v>249</v>
      </c>
      <c r="I49" s="128">
        <f ca="1">IFERROR(SUM(E41:I41),0)</f>
        <v>-12504.130925494585</v>
      </c>
    </row>
    <row r="50" spans="2:9" x14ac:dyDescent="0.3">
      <c r="B50" s="145" t="s">
        <v>250</v>
      </c>
      <c r="C50" s="182">
        <f ca="1">IFERROR(SUM(C48:C49),0)</f>
        <v>-89633.415709762368</v>
      </c>
      <c r="D50" s="153"/>
      <c r="E50" s="145" t="s">
        <v>251</v>
      </c>
      <c r="F50" s="146"/>
      <c r="G50" s="146"/>
      <c r="H50" s="146"/>
      <c r="I50" s="182">
        <f ca="1">IFERROR(SUM(I48:I49),0)</f>
        <v>581664.60360787541</v>
      </c>
    </row>
    <row r="51" spans="2:9" x14ac:dyDescent="0.3">
      <c r="D51" s="154"/>
    </row>
    <row r="52" spans="2:9" x14ac:dyDescent="0.3">
      <c r="B52" s="155" t="s">
        <v>252</v>
      </c>
      <c r="C52" s="156">
        <f ca="1">IFERROR(C48/C50,0)</f>
        <v>0.86049699404535018</v>
      </c>
      <c r="E52" s="155" t="s">
        <v>252</v>
      </c>
      <c r="I52" s="156">
        <f ca="1">IFERROR(I48/I50,0)</f>
        <v>1.0214971494705636</v>
      </c>
    </row>
    <row r="53" spans="2:9" x14ac:dyDescent="0.3">
      <c r="B53" s="155" t="s">
        <v>253</v>
      </c>
      <c r="C53" s="156">
        <f ca="1">IFERROR(C49/C50,0)</f>
        <v>0.13950300595464984</v>
      </c>
      <c r="E53" s="155" t="s">
        <v>253</v>
      </c>
      <c r="G53" s="157"/>
      <c r="I53" s="156">
        <f ca="1">IFERROR(I49/I50,0)</f>
        <v>-2.1497149470563529E-2</v>
      </c>
    </row>
    <row r="54" spans="2:9" x14ac:dyDescent="0.3">
      <c r="B54" s="155" t="s">
        <v>254</v>
      </c>
      <c r="C54" s="158">
        <f ca="1">IFERROR(C47/I17,0)</f>
        <v>-5.4130939387611479</v>
      </c>
      <c r="E54" t="s">
        <v>255</v>
      </c>
      <c r="I54" s="159">
        <f ca="1">IFERROR(($I$4-I40/I47)/(1+I40/I47),0)</f>
        <v>0.1115897911259007</v>
      </c>
    </row>
    <row r="56" spans="2:9" x14ac:dyDescent="0.3">
      <c r="B56" s="174" t="s">
        <v>256</v>
      </c>
      <c r="C56" s="139"/>
      <c r="D56" s="115"/>
      <c r="E56" s="174" t="s">
        <v>267</v>
      </c>
      <c r="F56" s="175"/>
      <c r="G56" s="174"/>
      <c r="H56" s="175"/>
      <c r="I56" s="175"/>
    </row>
    <row r="57" spans="2:9" x14ac:dyDescent="0.3">
      <c r="B57" s="169"/>
      <c r="E57" s="169"/>
      <c r="F57" s="161"/>
      <c r="G57" s="169"/>
      <c r="H57" s="161"/>
      <c r="I57" s="161"/>
    </row>
    <row r="58" spans="2:9" x14ac:dyDescent="0.3">
      <c r="B58" s="161" t="s">
        <v>257</v>
      </c>
      <c r="C58" s="1" t="s">
        <v>284</v>
      </c>
      <c r="E58" s="161"/>
      <c r="F58" s="161"/>
      <c r="G58" s="161"/>
      <c r="H58" s="161"/>
      <c r="I58" s="161"/>
    </row>
    <row r="59" spans="2:9" x14ac:dyDescent="0.3">
      <c r="B59" s="162" t="s">
        <v>258</v>
      </c>
      <c r="C59" s="135">
        <v>45382</v>
      </c>
      <c r="E59" s="161"/>
      <c r="F59" s="161"/>
      <c r="G59" s="179" t="s">
        <v>257</v>
      </c>
      <c r="H59" s="180" t="s">
        <v>268</v>
      </c>
      <c r="I59" s="180" t="s">
        <v>269</v>
      </c>
    </row>
    <row r="60" spans="2:9" x14ac:dyDescent="0.3">
      <c r="B60" s="163" t="s">
        <v>259</v>
      </c>
      <c r="E60" s="161" t="s">
        <v>270</v>
      </c>
      <c r="F60" s="161"/>
      <c r="G60" s="168" t="s">
        <v>284</v>
      </c>
      <c r="H60" s="168">
        <v>45382</v>
      </c>
      <c r="I60" s="181">
        <f>IFERROR(FSM!K8,0)</f>
        <v>234.95912619999999</v>
      </c>
    </row>
    <row r="61" spans="2:9" x14ac:dyDescent="0.3">
      <c r="B61" s="164" t="s">
        <v>260</v>
      </c>
      <c r="C61" s="128">
        <f>1106+718+13+365+865</f>
        <v>3067</v>
      </c>
      <c r="E61" s="162" t="s">
        <v>271</v>
      </c>
      <c r="F61" s="161"/>
      <c r="G61" s="168"/>
      <c r="H61" s="168"/>
      <c r="I61" s="181">
        <v>0</v>
      </c>
    </row>
    <row r="62" spans="2:9" x14ac:dyDescent="0.3">
      <c r="B62" s="164" t="s">
        <v>261</v>
      </c>
      <c r="C62">
        <v>0</v>
      </c>
      <c r="E62" s="162" t="s">
        <v>272</v>
      </c>
      <c r="F62" s="161"/>
      <c r="G62" s="168"/>
      <c r="H62" s="168"/>
      <c r="I62" s="181">
        <f>[1]Shares!E22</f>
        <v>0</v>
      </c>
    </row>
    <row r="63" spans="2:9" x14ac:dyDescent="0.3">
      <c r="B63" s="164" t="s">
        <v>262</v>
      </c>
      <c r="C63">
        <v>0</v>
      </c>
      <c r="E63" s="161" t="s">
        <v>261</v>
      </c>
      <c r="F63" s="161"/>
      <c r="G63" s="168"/>
      <c r="H63" s="168"/>
      <c r="I63" s="181">
        <f>[1]Shares!E32</f>
        <v>0</v>
      </c>
    </row>
    <row r="64" spans="2:9" x14ac:dyDescent="0.3">
      <c r="B64" s="164" t="s">
        <v>263</v>
      </c>
      <c r="C64" s="128">
        <f>205</f>
        <v>205</v>
      </c>
      <c r="E64" s="161" t="s">
        <v>273</v>
      </c>
      <c r="F64" s="161"/>
      <c r="G64" s="168"/>
      <c r="H64" s="168"/>
      <c r="I64" s="181">
        <f>[1]Shares!E42</f>
        <v>0</v>
      </c>
    </row>
    <row r="65" spans="2:9" x14ac:dyDescent="0.3">
      <c r="B65" s="163" t="s">
        <v>264</v>
      </c>
      <c r="E65" s="183" t="s">
        <v>274</v>
      </c>
      <c r="F65" s="178"/>
      <c r="G65" s="178"/>
      <c r="H65" s="178"/>
      <c r="I65" s="184">
        <f>SUM(I60:I64)</f>
        <v>234.95912619999999</v>
      </c>
    </row>
    <row r="66" spans="2:9" x14ac:dyDescent="0.3">
      <c r="B66" s="165" t="s">
        <v>265</v>
      </c>
      <c r="C66" s="128">
        <f>825+6734</f>
        <v>7559</v>
      </c>
    </row>
    <row r="67" spans="2:9" x14ac:dyDescent="0.3">
      <c r="B67" s="165" t="s">
        <v>266</v>
      </c>
      <c r="C67">
        <v>0</v>
      </c>
    </row>
    <row r="68" spans="2:9" x14ac:dyDescent="0.3">
      <c r="B68" s="161"/>
    </row>
    <row r="69" spans="2:9" x14ac:dyDescent="0.3">
      <c r="B69" s="185" t="s">
        <v>256</v>
      </c>
      <c r="C69" s="147">
        <f>IFERROR(SUM(C61:C64)-SUM(C66:C67),0)</f>
        <v>-4287</v>
      </c>
    </row>
    <row r="71" spans="2:9" x14ac:dyDescent="0.3">
      <c r="B71" s="160" t="s">
        <v>275</v>
      </c>
      <c r="C71" s="166"/>
      <c r="D71" s="166"/>
    </row>
    <row r="72" spans="2:9" x14ac:dyDescent="0.3">
      <c r="B72" s="161"/>
      <c r="C72" s="177" t="s">
        <v>276</v>
      </c>
      <c r="D72" s="177" t="s">
        <v>60</v>
      </c>
    </row>
    <row r="73" spans="2:9" x14ac:dyDescent="0.3">
      <c r="B73" s="161" t="s">
        <v>277</v>
      </c>
      <c r="C73" s="128">
        <f ca="1">C50</f>
        <v>-89633.415709762368</v>
      </c>
      <c r="D73" s="128">
        <f ca="1">I50</f>
        <v>581664.60360787541</v>
      </c>
    </row>
    <row r="74" spans="2:9" x14ac:dyDescent="0.3">
      <c r="B74" s="161" t="s">
        <v>256</v>
      </c>
      <c r="C74" s="128">
        <f>IFERROR(C69,0)</f>
        <v>-4287</v>
      </c>
      <c r="D74" s="128">
        <f>IFERROR(C69,0)</f>
        <v>-4287</v>
      </c>
    </row>
    <row r="75" spans="2:9" x14ac:dyDescent="0.3">
      <c r="B75" s="161" t="s">
        <v>278</v>
      </c>
      <c r="C75" s="128">
        <f ca="1">C73-C74</f>
        <v>-85346.415709762368</v>
      </c>
      <c r="D75" s="128">
        <f ca="1">D73-D74</f>
        <v>585951.60360787541</v>
      </c>
    </row>
    <row r="76" spans="2:9" x14ac:dyDescent="0.3">
      <c r="B76" s="161" t="s">
        <v>267</v>
      </c>
      <c r="C76" s="181">
        <f>IFERROR(I65,0)</f>
        <v>234.95912619999999</v>
      </c>
      <c r="D76" s="181">
        <f>C76</f>
        <v>234.95912619999999</v>
      </c>
    </row>
    <row r="77" spans="2:9" x14ac:dyDescent="0.3">
      <c r="B77" s="169" t="s">
        <v>279</v>
      </c>
      <c r="C77" s="170">
        <f ca="1">C75/C76</f>
        <v>-363.2394156808129</v>
      </c>
      <c r="D77" s="170">
        <f ca="1">D75/D76</f>
        <v>2493.8448362678473</v>
      </c>
    </row>
    <row r="78" spans="2:9" x14ac:dyDescent="0.3">
      <c r="B78" s="161"/>
      <c r="C78" s="161"/>
      <c r="D78" s="161"/>
    </row>
    <row r="79" spans="2:9" ht="16.2" x14ac:dyDescent="0.45">
      <c r="B79" s="173"/>
      <c r="C79" s="171" t="s">
        <v>283</v>
      </c>
      <c r="D79" s="171"/>
    </row>
    <row r="80" spans="2:9" x14ac:dyDescent="0.3">
      <c r="B80" s="167"/>
      <c r="C80" s="180" t="s">
        <v>276</v>
      </c>
      <c r="D80" s="180" t="s">
        <v>60</v>
      </c>
    </row>
    <row r="81" spans="2:17" x14ac:dyDescent="0.3">
      <c r="B81" s="161" t="s">
        <v>280</v>
      </c>
      <c r="C81" s="172">
        <f ca="1">IFERROR(C50/E15,0)</f>
        <v>-1.3844449078612711</v>
      </c>
      <c r="D81" s="172">
        <f ca="1">IFERROR(I50/E15,0)</f>
        <v>8.9841784135016614</v>
      </c>
    </row>
    <row r="82" spans="2:17" x14ac:dyDescent="0.3">
      <c r="B82" s="161" t="s">
        <v>281</v>
      </c>
      <c r="C82" s="172">
        <f ca="1">IFERROR(C50/E17,0)</f>
        <v>-5.7685204494219624</v>
      </c>
      <c r="D82" s="172">
        <f ca="1">IFERROR(I50/E17,0)</f>
        <v>37.434076722923592</v>
      </c>
    </row>
    <row r="83" spans="2:17" x14ac:dyDescent="0.3">
      <c r="B83" s="173" t="s">
        <v>282</v>
      </c>
      <c r="C83" s="172">
        <f ca="1">IFERROR(C50/E19,0)</f>
        <v>-6.2963715544363454</v>
      </c>
      <c r="D83" s="172">
        <f ca="1">IFERROR(I50/E19,0)</f>
        <v>40.859499053768999</v>
      </c>
    </row>
    <row r="85" spans="2:17" x14ac:dyDescent="0.3">
      <c r="B85" s="201" t="s">
        <v>290</v>
      </c>
      <c r="C85" s="202"/>
      <c r="D85" s="202"/>
      <c r="E85" s="202"/>
      <c r="F85" s="202"/>
      <c r="G85" s="202"/>
      <c r="H85" s="202"/>
      <c r="I85" s="202"/>
      <c r="J85" s="202"/>
      <c r="K85" s="202"/>
      <c r="L85" s="202"/>
      <c r="M85" s="202"/>
      <c r="N85" s="202"/>
      <c r="O85" s="202"/>
      <c r="P85" s="202"/>
      <c r="Q85" s="202"/>
    </row>
    <row r="86" spans="2:17" x14ac:dyDescent="0.3">
      <c r="B86" s="9"/>
    </row>
    <row r="87" spans="2:17" ht="16.2" x14ac:dyDescent="0.45">
      <c r="B87" s="200"/>
      <c r="C87" s="169"/>
      <c r="D87" s="186" t="s">
        <v>279</v>
      </c>
      <c r="E87" s="171"/>
      <c r="F87" s="171"/>
      <c r="G87" s="171"/>
      <c r="H87" s="171"/>
      <c r="I87" s="171"/>
      <c r="J87" s="187"/>
      <c r="K87" s="161"/>
      <c r="L87" s="186" t="s">
        <v>291</v>
      </c>
      <c r="M87" s="171"/>
      <c r="N87" s="171"/>
      <c r="O87" s="171"/>
      <c r="P87" s="171"/>
      <c r="Q87" s="171"/>
    </row>
    <row r="88" spans="2:17" x14ac:dyDescent="0.3">
      <c r="B88" s="203"/>
      <c r="C88" s="161"/>
      <c r="D88" s="162"/>
      <c r="E88" s="188" t="s">
        <v>285</v>
      </c>
      <c r="F88" s="188"/>
      <c r="G88" s="188"/>
      <c r="H88" s="188"/>
      <c r="I88" s="188"/>
      <c r="J88" s="189"/>
      <c r="K88" s="161"/>
      <c r="L88" s="188" t="s">
        <v>285</v>
      </c>
      <c r="M88" s="188"/>
      <c r="N88" s="188"/>
      <c r="O88" s="188"/>
      <c r="P88" s="188"/>
      <c r="Q88" s="188"/>
    </row>
    <row r="89" spans="2:17" x14ac:dyDescent="0.3">
      <c r="B89" s="203"/>
      <c r="C89" s="176"/>
      <c r="D89" s="190">
        <f ca="1">IFERROR(C77,0)</f>
        <v>-363.2394156808129</v>
      </c>
      <c r="E89" s="207">
        <f>F89-0.005</f>
        <v>1.9999999999999997E-2</v>
      </c>
      <c r="F89" s="208">
        <f>G89-0.005</f>
        <v>2.4999999999999998E-2</v>
      </c>
      <c r="G89" s="208">
        <v>0.03</v>
      </c>
      <c r="H89" s="208">
        <f>G89+0.005</f>
        <v>3.4999999999999996E-2</v>
      </c>
      <c r="I89" s="208">
        <f>H89+0.005</f>
        <v>3.9999999999999994E-2</v>
      </c>
      <c r="J89" s="191"/>
      <c r="K89" s="161"/>
      <c r="L89" s="192">
        <f ca="1">IFERROR(C82,0)</f>
        <v>-5.7685204494219624</v>
      </c>
      <c r="M89" s="208">
        <f>N89-0.005</f>
        <v>1.9999999999999997E-2</v>
      </c>
      <c r="N89" s="208">
        <f>O89-0.005</f>
        <v>2.4999999999999998E-2</v>
      </c>
      <c r="O89" s="208">
        <v>0.03</v>
      </c>
      <c r="P89" s="208">
        <f>O89+0.005</f>
        <v>3.4999999999999996E-2</v>
      </c>
      <c r="Q89" s="211">
        <f>P89+0.005</f>
        <v>3.9999999999999994E-2</v>
      </c>
    </row>
    <row r="90" spans="2:17" x14ac:dyDescent="0.3">
      <c r="B90" s="203"/>
      <c r="C90" s="161"/>
      <c r="D90" s="205">
        <f>D91+0.01</f>
        <v>0.10999999999999999</v>
      </c>
      <c r="E90" s="193">
        <f t="dataTable" ref="E90:I94" dt2D="1" dtr="1" r1="C45" r2="I4" ca="1"/>
        <v>-284.62333930749287</v>
      </c>
      <c r="F90" s="193">
        <v>-299.3968014501732</v>
      </c>
      <c r="G90" s="193">
        <v>-316.01694636068851</v>
      </c>
      <c r="H90" s="193">
        <v>-334.85311059260596</v>
      </c>
      <c r="I90" s="193">
        <v>-356.38015542908295</v>
      </c>
      <c r="J90" s="194"/>
      <c r="K90" s="161"/>
      <c r="L90" s="205">
        <f t="shared" ref="L90" si="18">L91+0.01</f>
        <v>0.10999999999999999</v>
      </c>
      <c r="M90" s="195">
        <f t="dataTable" ref="M90:Q94" dt2D="1" dtr="1" r1="C45" r2="I4" ca="1"/>
        <v>-4.5797495270704696</v>
      </c>
      <c r="N90" s="195">
        <v>-4.803142286044614</v>
      </c>
      <c r="O90" s="195">
        <v>-5.0544591398905254</v>
      </c>
      <c r="P90" s="195">
        <v>-5.3392849075825577</v>
      </c>
      <c r="Q90" s="195">
        <v>-5.6648000708466224</v>
      </c>
    </row>
    <row r="91" spans="2:17" x14ac:dyDescent="0.3">
      <c r="B91" s="203"/>
      <c r="C91" s="161"/>
      <c r="D91" s="205">
        <f>D92+0.01</f>
        <v>9.9999999999999992E-2</v>
      </c>
      <c r="E91" s="193">
        <v>-329.31261929263189</v>
      </c>
      <c r="F91" s="193">
        <v>-348.92001932853856</v>
      </c>
      <c r="G91" s="193">
        <v>-371.3284765242056</v>
      </c>
      <c r="H91" s="193">
        <v>-397.18438866024849</v>
      </c>
      <c r="I91" s="193">
        <v>-427.34961948563193</v>
      </c>
      <c r="J91" s="194"/>
      <c r="K91" s="161"/>
      <c r="L91" s="205">
        <f>L92+0.01</f>
        <v>9.9999999999999992E-2</v>
      </c>
      <c r="M91" s="195">
        <v>-5.2555059245698779</v>
      </c>
      <c r="N91" s="195">
        <v>-5.5519937179006291</v>
      </c>
      <c r="O91" s="195">
        <v>-5.8908369102786322</v>
      </c>
      <c r="P91" s="195">
        <v>-6.2818098245609413</v>
      </c>
      <c r="Q91" s="195">
        <v>-6.7379448912236386</v>
      </c>
    </row>
    <row r="92" spans="2:17" x14ac:dyDescent="0.3">
      <c r="B92" s="203"/>
      <c r="C92" s="176" t="s">
        <v>286</v>
      </c>
      <c r="D92" s="205">
        <v>0.09</v>
      </c>
      <c r="E92" s="193">
        <v>-387.02335675325713</v>
      </c>
      <c r="F92" s="193">
        <v>-413.94778950265714</v>
      </c>
      <c r="G92" s="193">
        <v>-445.35962771029057</v>
      </c>
      <c r="H92" s="193">
        <v>-482.48270922840265</v>
      </c>
      <c r="I92" s="193">
        <v>-527.03040706503759</v>
      </c>
      <c r="J92" s="194"/>
      <c r="K92" s="176" t="s">
        <v>286</v>
      </c>
      <c r="L92" s="205">
        <v>0.09</v>
      </c>
      <c r="M92" s="195">
        <v>-6.1281626341954958</v>
      </c>
      <c r="N92" s="195">
        <v>-6.5352928832256589</v>
      </c>
      <c r="O92" s="195">
        <v>-7.0102781733700974</v>
      </c>
      <c r="P92" s="195">
        <v>-7.5716244253589773</v>
      </c>
      <c r="Q92" s="195">
        <v>-8.2452399277456347</v>
      </c>
    </row>
    <row r="93" spans="2:17" x14ac:dyDescent="0.3">
      <c r="B93" s="203"/>
      <c r="C93" s="161"/>
      <c r="D93" s="205">
        <f t="shared" ref="D93:D94" si="19">D92-0.01</f>
        <v>0.08</v>
      </c>
      <c r="E93" s="193">
        <v>-464.27935618187411</v>
      </c>
      <c r="F93" s="193">
        <v>-502.9510157280676</v>
      </c>
      <c r="G93" s="193">
        <v>-549.35700718349995</v>
      </c>
      <c r="H93" s="193">
        <v>-606.07544118458361</v>
      </c>
      <c r="I93" s="193">
        <v>-676.97348368593828</v>
      </c>
      <c r="J93" s="194"/>
      <c r="K93" s="161"/>
      <c r="L93" s="205">
        <f t="shared" ref="L93:L94" si="20">L92-0.01</f>
        <v>0.08</v>
      </c>
      <c r="M93" s="195">
        <v>-7.2963675341777519</v>
      </c>
      <c r="N93" s="195">
        <v>-7.8811301741196527</v>
      </c>
      <c r="O93" s="195">
        <v>-8.5828453418362631</v>
      </c>
      <c r="P93" s="195">
        <v>-9.4404972134898966</v>
      </c>
      <c r="Q93" s="195">
        <v>-10.512562053056941</v>
      </c>
    </row>
    <row r="94" spans="2:17" x14ac:dyDescent="0.3">
      <c r="B94" s="204" t="s">
        <v>287</v>
      </c>
      <c r="C94" s="161"/>
      <c r="D94" s="206">
        <f t="shared" si="19"/>
        <v>7.0000000000000007E-2</v>
      </c>
      <c r="E94" s="193">
        <v>-572.82433063553447</v>
      </c>
      <c r="F94" s="193">
        <v>-631.93122344136054</v>
      </c>
      <c r="G94" s="193">
        <v>-705.81483946417825</v>
      </c>
      <c r="H94" s="193">
        <v>-800.80806004700821</v>
      </c>
      <c r="I94" s="193">
        <v>-927.46568749078153</v>
      </c>
      <c r="J94" s="194"/>
      <c r="K94" s="161"/>
      <c r="L94" s="206">
        <f t="shared" si="20"/>
        <v>7.0000000000000007E-2</v>
      </c>
      <c r="M94" s="195">
        <v>-8.9376998832528241</v>
      </c>
      <c r="N94" s="195">
        <v>-9.8314681639880952</v>
      </c>
      <c r="O94" s="195">
        <v>-10.948678515142079</v>
      </c>
      <c r="P94" s="195">
        <v>-12.38509182349744</v>
      </c>
      <c r="Q94" s="195">
        <v>-14.300309567971251</v>
      </c>
    </row>
    <row r="95" spans="2:17" x14ac:dyDescent="0.3">
      <c r="B95" s="204" t="s">
        <v>288</v>
      </c>
      <c r="C95" s="161"/>
      <c r="D95" s="161"/>
      <c r="E95" s="196"/>
      <c r="F95" s="196"/>
      <c r="G95" s="196"/>
      <c r="H95" s="196"/>
      <c r="I95" s="196"/>
      <c r="J95" s="197"/>
      <c r="K95" s="161"/>
      <c r="L95" s="161"/>
      <c r="M95" s="161"/>
      <c r="N95" s="161"/>
      <c r="O95" s="161"/>
      <c r="P95" s="161"/>
      <c r="Q95" s="161"/>
    </row>
    <row r="96" spans="2:17" ht="16.2" x14ac:dyDescent="0.45">
      <c r="B96" s="203"/>
      <c r="C96" s="161"/>
      <c r="D96" s="186" t="s">
        <v>279</v>
      </c>
      <c r="E96" s="171"/>
      <c r="F96" s="171"/>
      <c r="G96" s="171"/>
      <c r="H96" s="171"/>
      <c r="I96" s="171"/>
      <c r="J96" s="187"/>
      <c r="K96" s="161"/>
      <c r="L96" s="186" t="s">
        <v>291</v>
      </c>
      <c r="M96" s="171"/>
      <c r="N96" s="171"/>
      <c r="O96" s="171"/>
      <c r="P96" s="171"/>
      <c r="Q96" s="171"/>
    </row>
    <row r="97" spans="1:17" x14ac:dyDescent="0.3">
      <c r="B97" s="203"/>
      <c r="C97" s="161"/>
      <c r="D97" s="161"/>
      <c r="E97" s="188" t="s">
        <v>289</v>
      </c>
      <c r="F97" s="188"/>
      <c r="G97" s="188"/>
      <c r="H97" s="188"/>
      <c r="I97" s="188"/>
      <c r="J97" s="189"/>
      <c r="K97" s="161"/>
      <c r="L97" s="161"/>
      <c r="M97" s="188" t="s">
        <v>289</v>
      </c>
      <c r="N97" s="188"/>
      <c r="O97" s="188"/>
      <c r="P97" s="188"/>
      <c r="Q97" s="188"/>
    </row>
    <row r="98" spans="1:17" x14ac:dyDescent="0.3">
      <c r="B98" s="203"/>
      <c r="C98" s="161"/>
      <c r="D98" s="198">
        <f ca="1">IFERROR(D77,0)</f>
        <v>2493.8448362678473</v>
      </c>
      <c r="E98" s="209">
        <f>F98-1</f>
        <v>39.700000000000003</v>
      </c>
      <c r="F98" s="209">
        <f>G98-1</f>
        <v>40.700000000000003</v>
      </c>
      <c r="G98" s="209">
        <v>41.7</v>
      </c>
      <c r="H98" s="209">
        <f>G98+1</f>
        <v>42.7</v>
      </c>
      <c r="I98" s="209">
        <f>H98+1</f>
        <v>43.7</v>
      </c>
      <c r="J98" s="199"/>
      <c r="K98" s="161"/>
      <c r="L98" s="192">
        <f ca="1">IFERROR(D82,0)</f>
        <v>37.434076722923592</v>
      </c>
      <c r="M98" s="209">
        <f>N98-1</f>
        <v>39.700000000000003</v>
      </c>
      <c r="N98" s="209">
        <f>O98-1</f>
        <v>40.700000000000003</v>
      </c>
      <c r="O98" s="209">
        <v>41.7</v>
      </c>
      <c r="P98" s="209">
        <f>O98+1</f>
        <v>42.7</v>
      </c>
      <c r="Q98" s="210">
        <f>P98+1</f>
        <v>43.7</v>
      </c>
    </row>
    <row r="99" spans="1:17" x14ac:dyDescent="0.3">
      <c r="B99" s="203"/>
      <c r="C99" s="161"/>
      <c r="D99" s="205">
        <f t="shared" ref="D99" si="21">D100+0.01</f>
        <v>0.10999999999999999</v>
      </c>
      <c r="E99" s="193">
        <f t="dataTable" ref="E99:I103" dt2D="1" dtr="1" r1="I46" r2="I4" ca="1"/>
        <v>2291.5160357847067</v>
      </c>
      <c r="F99" s="193">
        <v>2350.0800286977496</v>
      </c>
      <c r="G99" s="193">
        <v>2408.644021689895</v>
      </c>
      <c r="H99" s="193">
        <v>2467.2080146048761</v>
      </c>
      <c r="I99" s="193">
        <v>2525.7720075198567</v>
      </c>
      <c r="J99" s="194"/>
      <c r="K99" s="161"/>
      <c r="L99" s="205">
        <f t="shared" ref="L99" si="22">L100+0.01</f>
        <v>0.10999999999999999</v>
      </c>
      <c r="M99" s="195">
        <f t="dataTable" ref="M99:Q103" dt2D="1" dtr="1" r1="I46" r2="I4" ca="1"/>
        <v>34.37461858105204</v>
      </c>
      <c r="N99" s="195">
        <v>35.260177553478464</v>
      </c>
      <c r="O99" s="195">
        <v>36.145736525904894</v>
      </c>
      <c r="P99" s="195">
        <v>37.031295499556826</v>
      </c>
      <c r="Q99" s="195">
        <v>37.91685447201256</v>
      </c>
    </row>
    <row r="100" spans="1:17" x14ac:dyDescent="0.3">
      <c r="B100" s="203"/>
      <c r="C100" s="161"/>
      <c r="D100" s="205">
        <f>D101+0.01</f>
        <v>9.9999999999999992E-2</v>
      </c>
      <c r="E100" s="193">
        <v>2384.9842864364</v>
      </c>
      <c r="F100" s="193">
        <v>2445.9461480276918</v>
      </c>
      <c r="G100" s="193">
        <v>2506.9080096189832</v>
      </c>
      <c r="H100" s="193">
        <v>2567.8698712102751</v>
      </c>
      <c r="I100" s="193">
        <v>2628.8317328804642</v>
      </c>
      <c r="J100" s="194"/>
      <c r="K100" s="161"/>
      <c r="L100" s="205">
        <f>L101+0.01</f>
        <v>9.9999999999999992E-2</v>
      </c>
      <c r="M100" s="195">
        <v>35.787972485191958</v>
      </c>
      <c r="N100" s="195">
        <v>36.709790155458478</v>
      </c>
      <c r="O100" s="195">
        <v>37.631607825724991</v>
      </c>
      <c r="P100" s="195">
        <v>38.553425495991505</v>
      </c>
      <c r="Q100" s="195">
        <v>39.475243166258025</v>
      </c>
    </row>
    <row r="101" spans="1:17" x14ac:dyDescent="0.3">
      <c r="B101" s="203"/>
      <c r="C101" s="176" t="s">
        <v>286</v>
      </c>
      <c r="D101" s="205">
        <v>0.09</v>
      </c>
      <c r="E101" s="193">
        <v>2483.1967010788135</v>
      </c>
      <c r="F101" s="193">
        <v>2546.6778706524856</v>
      </c>
      <c r="G101" s="193">
        <v>2610.1590402261577</v>
      </c>
      <c r="H101" s="193">
        <v>2673.6402097998289</v>
      </c>
      <c r="I101" s="193">
        <v>2737.121379373501</v>
      </c>
      <c r="J101" s="194"/>
      <c r="K101" s="176" t="s">
        <v>286</v>
      </c>
      <c r="L101" s="205">
        <v>0.09</v>
      </c>
      <c r="M101" s="195">
        <v>37.273063932861461</v>
      </c>
      <c r="N101" s="195">
        <v>38.232976611302909</v>
      </c>
      <c r="O101" s="195">
        <v>39.19288928974435</v>
      </c>
      <c r="P101" s="195">
        <v>40.152801968185813</v>
      </c>
      <c r="Q101" s="195">
        <v>41.112714646627261</v>
      </c>
    </row>
    <row r="102" spans="1:17" x14ac:dyDescent="0.3">
      <c r="B102" s="203"/>
      <c r="C102" s="161"/>
      <c r="D102" s="205">
        <f t="shared" ref="D102:D103" si="23">D101-0.01</f>
        <v>0.08</v>
      </c>
      <c r="E102" s="193">
        <v>2586.4408070670484</v>
      </c>
      <c r="F102" s="193">
        <v>2652.5700742767576</v>
      </c>
      <c r="G102" s="193">
        <v>2718.6993415523684</v>
      </c>
      <c r="H102" s="193">
        <v>2784.8286087636911</v>
      </c>
      <c r="I102" s="193">
        <v>2850.9578759750148</v>
      </c>
      <c r="J102" s="194"/>
      <c r="K102" s="161"/>
      <c r="L102" s="205">
        <f t="shared" ref="L102:L103" si="24">L101-0.01</f>
        <v>0.08</v>
      </c>
      <c r="M102" s="195">
        <v>38.834240688218244</v>
      </c>
      <c r="N102" s="195">
        <v>39.834195831415727</v>
      </c>
      <c r="O102" s="195">
        <v>40.834150975609717</v>
      </c>
      <c r="P102" s="195">
        <v>41.834106118831592</v>
      </c>
      <c r="Q102" s="195">
        <v>42.834061262053474</v>
      </c>
    </row>
    <row r="103" spans="1:17" x14ac:dyDescent="0.3">
      <c r="B103" s="203"/>
      <c r="C103" s="161"/>
      <c r="D103" s="206">
        <f t="shared" si="23"/>
        <v>7.0000000000000007E-2</v>
      </c>
      <c r="E103" s="193">
        <v>2695.0244479870585</v>
      </c>
      <c r="F103" s="193">
        <v>2763.9384717492117</v>
      </c>
      <c r="G103" s="193">
        <v>2832.8524955113644</v>
      </c>
      <c r="H103" s="193">
        <v>2901.7665192735171</v>
      </c>
      <c r="I103" s="193">
        <v>2970.6805430990171</v>
      </c>
      <c r="J103" s="194"/>
      <c r="K103" s="161"/>
      <c r="L103" s="206">
        <f t="shared" si="24"/>
        <v>7.0000000000000007E-2</v>
      </c>
      <c r="M103" s="195">
        <v>40.476157721599691</v>
      </c>
      <c r="N103" s="195">
        <v>41.518221778981129</v>
      </c>
      <c r="O103" s="195">
        <v>42.560285836362567</v>
      </c>
      <c r="P103" s="195">
        <v>43.602349893744019</v>
      </c>
      <c r="Q103" s="195">
        <v>44.644413952083319</v>
      </c>
    </row>
    <row r="106" spans="1:17" x14ac:dyDescent="0.3">
      <c r="A106" t="s">
        <v>55</v>
      </c>
      <c r="B106" s="117" t="s">
        <v>292</v>
      </c>
      <c r="C106" s="224"/>
      <c r="D106" s="224"/>
      <c r="E106" s="224"/>
      <c r="F106" s="224"/>
      <c r="G106" s="224"/>
      <c r="H106" s="224"/>
      <c r="I106" s="224"/>
    </row>
    <row r="107" spans="1:17" x14ac:dyDescent="0.3">
      <c r="B107" s="116" t="str">
        <f>'[1]Financials '!$B$3</f>
        <v xml:space="preserve">$ and shares in millions, except per share data </v>
      </c>
    </row>
    <row r="108" spans="1:17" x14ac:dyDescent="0.3">
      <c r="B108" s="212" t="s">
        <v>293</v>
      </c>
      <c r="C108" s="213"/>
      <c r="D108" s="14"/>
      <c r="E108" s="214"/>
      <c r="F108" s="215"/>
    </row>
    <row r="109" spans="1:17" x14ac:dyDescent="0.3">
      <c r="E109" s="66" t="s">
        <v>294</v>
      </c>
    </row>
    <row r="110" spans="1:17" x14ac:dyDescent="0.3">
      <c r="B110" t="s">
        <v>295</v>
      </c>
      <c r="C110" s="216">
        <v>7.4999999999999997E-2</v>
      </c>
      <c r="E110" t="s">
        <v>296</v>
      </c>
    </row>
    <row r="111" spans="1:17" x14ac:dyDescent="0.3">
      <c r="B111" t="s">
        <v>100</v>
      </c>
      <c r="C111" s="227">
        <f>IFERROR(D23,0)</f>
        <v>0.26208285385500574</v>
      </c>
      <c r="E111" t="s">
        <v>297</v>
      </c>
    </row>
    <row r="112" spans="1:17" x14ac:dyDescent="0.3">
      <c r="B112" s="146" t="s">
        <v>298</v>
      </c>
      <c r="C112" s="228">
        <f>C110*(1-C111)</f>
        <v>5.5343785960874567E-2</v>
      </c>
      <c r="E112" t="s">
        <v>299</v>
      </c>
    </row>
    <row r="114" spans="2:6" x14ac:dyDescent="0.3">
      <c r="B114" t="s">
        <v>300</v>
      </c>
      <c r="C114" s="216">
        <v>6.9000000000000006E-2</v>
      </c>
      <c r="E114" t="s">
        <v>301</v>
      </c>
    </row>
    <row r="115" spans="2:6" x14ac:dyDescent="0.3">
      <c r="B115" t="s">
        <v>302</v>
      </c>
      <c r="C115" s="217">
        <v>0.4</v>
      </c>
      <c r="E115" t="s">
        <v>303</v>
      </c>
    </row>
    <row r="116" spans="2:6" x14ac:dyDescent="0.3">
      <c r="B116" t="s">
        <v>304</v>
      </c>
      <c r="C116" s="216">
        <v>0.08</v>
      </c>
      <c r="E116" t="s">
        <v>305</v>
      </c>
    </row>
    <row r="117" spans="2:6" x14ac:dyDescent="0.3">
      <c r="B117" s="146" t="s">
        <v>306</v>
      </c>
      <c r="C117" s="228">
        <f>C114+C115*C116</f>
        <v>0.10100000000000001</v>
      </c>
      <c r="E117" t="s">
        <v>307</v>
      </c>
    </row>
    <row r="119" spans="2:6" x14ac:dyDescent="0.3">
      <c r="B119" s="218" t="s">
        <v>308</v>
      </c>
      <c r="C119" s="219"/>
      <c r="D119" s="219"/>
      <c r="E119" s="219"/>
      <c r="F119" s="9"/>
    </row>
    <row r="120" spans="2:6" x14ac:dyDescent="0.3">
      <c r="B120" s="9"/>
      <c r="C120" s="1"/>
      <c r="D120" s="1" t="s">
        <v>309</v>
      </c>
      <c r="F120" s="9"/>
    </row>
    <row r="121" spans="2:6" x14ac:dyDescent="0.3">
      <c r="C121" s="229" t="s">
        <v>310</v>
      </c>
      <c r="D121" s="229" t="s">
        <v>311</v>
      </c>
      <c r="E121" s="229" t="s">
        <v>312</v>
      </c>
    </row>
    <row r="122" spans="2:6" x14ac:dyDescent="0.3">
      <c r="B122" t="s">
        <v>313</v>
      </c>
      <c r="C122" s="220">
        <f>IFERROR(I5*I65,0)</f>
        <v>653891.24821459991</v>
      </c>
      <c r="D122" s="221"/>
      <c r="E122" s="222">
        <f>IF(D122,D122,C122/(C122+C123))</f>
        <v>1.0065994026544356</v>
      </c>
    </row>
    <row r="123" spans="2:6" x14ac:dyDescent="0.3">
      <c r="B123" t="s">
        <v>260</v>
      </c>
      <c r="C123" s="220">
        <f>IFERROR(C69,0)</f>
        <v>-4287</v>
      </c>
      <c r="D123" s="223">
        <f>1-D122</f>
        <v>1</v>
      </c>
      <c r="E123" s="222">
        <f>1-E122</f>
        <v>-6.5994026544355933E-3</v>
      </c>
    </row>
    <row r="125" spans="2:6" ht="15" thickBot="1" x14ac:dyDescent="0.35">
      <c r="B125" s="49" t="s">
        <v>314</v>
      </c>
      <c r="C125" s="49"/>
      <c r="D125" s="225"/>
      <c r="E125" s="226">
        <f>C112*E123+C117*E122</f>
        <v>0.10130130374012129</v>
      </c>
    </row>
    <row r="126" spans="2:6" ht="15" thickTop="1" x14ac:dyDescent="0.3"/>
  </sheetData>
  <conditionalFormatting sqref="E90:J94 E99:J103">
    <cfRule type="cellIs" dxfId="0" priority="1" operator="lessThan">
      <formula>$C$7</formula>
    </cfRule>
  </conditionalFormatting>
  <dataValidations count="1">
    <dataValidation type="list" allowBlank="1" showInputMessage="1" showErrorMessage="1" sqref="I7" xr:uid="{EF975323-FFB8-4B60-A005-47C7413A84EF}">
      <formula1>"0,1"</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BEE2-2DCD-4CA0-91EE-B39A7F3416BB}">
  <dimension ref="A1:K93"/>
  <sheetViews>
    <sheetView topLeftCell="A66" workbookViewId="0">
      <selection activeCell="K93" sqref="K93"/>
    </sheetView>
  </sheetViews>
  <sheetFormatPr defaultRowHeight="14.4" x14ac:dyDescent="0.3"/>
  <cols>
    <col min="1" max="1" width="25.5546875" bestFit="1" customWidth="1"/>
  </cols>
  <sheetData>
    <row r="1" spans="1:11" x14ac:dyDescent="0.3">
      <c r="A1" s="8" t="s">
        <v>0</v>
      </c>
      <c r="B1" s="8" t="s">
        <v>1</v>
      </c>
      <c r="C1" s="8"/>
      <c r="D1" s="8"/>
      <c r="E1" s="232" t="s">
        <v>2</v>
      </c>
      <c r="F1" s="232"/>
      <c r="G1" s="232"/>
      <c r="H1" s="232"/>
      <c r="I1" s="232"/>
      <c r="J1" s="232"/>
      <c r="K1" s="232"/>
    </row>
    <row r="2" spans="1:11" x14ac:dyDescent="0.3">
      <c r="A2" s="8" t="s">
        <v>3</v>
      </c>
      <c r="B2" s="10">
        <v>2.1</v>
      </c>
      <c r="E2" s="233" t="s">
        <v>4</v>
      </c>
      <c r="F2" s="233"/>
      <c r="G2" s="233"/>
      <c r="H2" s="233"/>
      <c r="I2" s="233"/>
      <c r="J2" s="233"/>
      <c r="K2" s="233"/>
    </row>
    <row r="3" spans="1:11" x14ac:dyDescent="0.3">
      <c r="A3" s="8" t="s">
        <v>5</v>
      </c>
      <c r="B3" s="10">
        <v>2.1</v>
      </c>
    </row>
    <row r="4" spans="1:11" x14ac:dyDescent="0.3">
      <c r="A4" s="8"/>
    </row>
    <row r="5" spans="1:11" x14ac:dyDescent="0.3">
      <c r="A5" s="8" t="s">
        <v>6</v>
      </c>
    </row>
    <row r="6" spans="1:11" x14ac:dyDescent="0.3">
      <c r="A6" s="10" t="s">
        <v>7</v>
      </c>
      <c r="B6" s="10" t="s">
        <v>2</v>
      </c>
    </row>
    <row r="7" spans="1:11" x14ac:dyDescent="0.3">
      <c r="A7" s="10" t="s">
        <v>8</v>
      </c>
      <c r="B7">
        <v>1</v>
      </c>
    </row>
    <row r="8" spans="1:11" x14ac:dyDescent="0.3">
      <c r="A8" s="10" t="s">
        <v>9</v>
      </c>
      <c r="B8">
        <v>2966.25</v>
      </c>
    </row>
    <row r="9" spans="1:11" x14ac:dyDescent="0.3">
      <c r="A9" s="10" t="s">
        <v>10</v>
      </c>
      <c r="B9">
        <v>696947.51</v>
      </c>
    </row>
    <row r="15" spans="1:11" x14ac:dyDescent="0.3">
      <c r="A15" s="8" t="s">
        <v>11</v>
      </c>
    </row>
    <row r="16" spans="1:11" x14ac:dyDescent="0.3">
      <c r="A16" s="13" t="s">
        <v>12</v>
      </c>
      <c r="B16" s="12">
        <v>42094</v>
      </c>
      <c r="C16" s="12">
        <v>42460</v>
      </c>
      <c r="D16" s="12">
        <v>42825</v>
      </c>
      <c r="E16" s="12">
        <v>43190</v>
      </c>
      <c r="F16" s="12">
        <v>43555</v>
      </c>
      <c r="G16" s="12">
        <v>43921</v>
      </c>
      <c r="H16" s="12">
        <v>44286</v>
      </c>
      <c r="I16" s="12">
        <v>44651</v>
      </c>
      <c r="J16" s="12">
        <v>45016</v>
      </c>
      <c r="K16" s="12">
        <v>45382</v>
      </c>
    </row>
    <row r="17" spans="1:11" x14ac:dyDescent="0.3">
      <c r="A17" s="11" t="s">
        <v>13</v>
      </c>
      <c r="B17">
        <v>31972.19</v>
      </c>
      <c r="C17">
        <v>32186</v>
      </c>
      <c r="D17">
        <v>33162</v>
      </c>
      <c r="E17">
        <v>35545</v>
      </c>
      <c r="F17">
        <v>39310</v>
      </c>
      <c r="G17">
        <v>39783</v>
      </c>
      <c r="H17">
        <v>47028</v>
      </c>
      <c r="I17">
        <v>52446</v>
      </c>
      <c r="J17">
        <v>60580</v>
      </c>
      <c r="K17">
        <v>61896</v>
      </c>
    </row>
    <row r="18" spans="1:11" x14ac:dyDescent="0.3">
      <c r="A18" s="10" t="s">
        <v>14</v>
      </c>
      <c r="B18">
        <v>13509.4</v>
      </c>
      <c r="C18">
        <v>13184</v>
      </c>
      <c r="D18">
        <v>13606</v>
      </c>
      <c r="E18">
        <v>14233</v>
      </c>
      <c r="F18">
        <v>15845</v>
      </c>
      <c r="G18">
        <v>15697</v>
      </c>
      <c r="H18">
        <v>20141</v>
      </c>
      <c r="I18">
        <v>22871</v>
      </c>
      <c r="J18">
        <v>28427</v>
      </c>
      <c r="K18">
        <v>26822</v>
      </c>
    </row>
    <row r="19" spans="1:11" x14ac:dyDescent="0.3">
      <c r="A19" s="10" t="s">
        <v>15</v>
      </c>
      <c r="B19">
        <v>-57.04</v>
      </c>
      <c r="C19">
        <v>-83</v>
      </c>
      <c r="D19">
        <v>-144</v>
      </c>
      <c r="E19">
        <v>72</v>
      </c>
      <c r="F19">
        <v>-12</v>
      </c>
      <c r="G19">
        <v>108</v>
      </c>
      <c r="H19">
        <v>405</v>
      </c>
      <c r="I19">
        <v>22</v>
      </c>
      <c r="J19">
        <v>75</v>
      </c>
      <c r="K19">
        <v>11</v>
      </c>
    </row>
    <row r="20" spans="1:11" x14ac:dyDescent="0.3">
      <c r="A20" s="10" t="s">
        <v>16</v>
      </c>
      <c r="B20">
        <v>346.97</v>
      </c>
      <c r="C20">
        <v>309</v>
      </c>
      <c r="D20">
        <v>295</v>
      </c>
      <c r="E20">
        <v>295</v>
      </c>
      <c r="F20">
        <v>308</v>
      </c>
      <c r="G20">
        <v>299</v>
      </c>
      <c r="H20">
        <v>339</v>
      </c>
      <c r="I20">
        <v>318</v>
      </c>
      <c r="J20">
        <v>384</v>
      </c>
      <c r="K20">
        <v>446</v>
      </c>
    </row>
    <row r="21" spans="1:11" x14ac:dyDescent="0.3">
      <c r="A21" s="10" t="s">
        <v>17</v>
      </c>
      <c r="B21">
        <v>3164.64</v>
      </c>
      <c r="C21">
        <v>2966</v>
      </c>
      <c r="D21">
        <v>2887</v>
      </c>
      <c r="E21">
        <v>2998</v>
      </c>
      <c r="F21">
        <v>3041</v>
      </c>
      <c r="G21">
        <v>2906</v>
      </c>
      <c r="H21">
        <v>2868</v>
      </c>
      <c r="I21">
        <v>3354</v>
      </c>
      <c r="J21">
        <v>3791</v>
      </c>
      <c r="K21">
        <v>3385</v>
      </c>
    </row>
    <row r="22" spans="1:11" x14ac:dyDescent="0.3">
      <c r="A22" s="10" t="s">
        <v>18</v>
      </c>
      <c r="B22">
        <v>1723.87</v>
      </c>
      <c r="C22">
        <v>1680</v>
      </c>
      <c r="D22">
        <v>1743</v>
      </c>
      <c r="E22">
        <v>1860</v>
      </c>
      <c r="F22">
        <v>1875</v>
      </c>
      <c r="G22">
        <v>1820</v>
      </c>
      <c r="H22">
        <v>2358</v>
      </c>
      <c r="I22">
        <v>2545</v>
      </c>
      <c r="J22">
        <v>2854</v>
      </c>
      <c r="K22">
        <v>3009</v>
      </c>
    </row>
    <row r="23" spans="1:11" x14ac:dyDescent="0.3">
      <c r="A23" s="10" t="s">
        <v>19</v>
      </c>
      <c r="B23">
        <v>6769.04</v>
      </c>
      <c r="C23">
        <v>6741</v>
      </c>
      <c r="D23">
        <v>6689</v>
      </c>
      <c r="E23">
        <v>7252</v>
      </c>
      <c r="F23">
        <v>7796</v>
      </c>
      <c r="G23">
        <v>7620</v>
      </c>
      <c r="H23">
        <v>7906</v>
      </c>
      <c r="I23">
        <v>8164</v>
      </c>
      <c r="J23">
        <v>8785</v>
      </c>
      <c r="K23">
        <v>10773</v>
      </c>
    </row>
    <row r="24" spans="1:11" x14ac:dyDescent="0.3">
      <c r="A24" s="10" t="s">
        <v>20</v>
      </c>
      <c r="B24">
        <v>988.81</v>
      </c>
      <c r="C24">
        <v>1313</v>
      </c>
      <c r="D24">
        <v>1470</v>
      </c>
      <c r="E24">
        <v>1480</v>
      </c>
      <c r="F24">
        <v>1553</v>
      </c>
      <c r="G24">
        <v>1688</v>
      </c>
      <c r="H24">
        <v>2195</v>
      </c>
      <c r="I24">
        <v>2359</v>
      </c>
      <c r="J24">
        <v>2267</v>
      </c>
      <c r="K24">
        <v>2813</v>
      </c>
    </row>
    <row r="25" spans="1:11" x14ac:dyDescent="0.3">
      <c r="A25" s="11" t="s">
        <v>21</v>
      </c>
      <c r="B25">
        <v>1247.18</v>
      </c>
      <c r="C25">
        <v>486</v>
      </c>
      <c r="D25">
        <v>606</v>
      </c>
      <c r="E25">
        <v>353</v>
      </c>
      <c r="F25">
        <v>322</v>
      </c>
      <c r="G25">
        <v>424</v>
      </c>
      <c r="H25">
        <v>170</v>
      </c>
      <c r="I25">
        <v>219</v>
      </c>
      <c r="J25">
        <v>448</v>
      </c>
      <c r="K25">
        <v>817</v>
      </c>
    </row>
    <row r="26" spans="1:11" x14ac:dyDescent="0.3">
      <c r="A26" s="11" t="s">
        <v>22</v>
      </c>
      <c r="B26">
        <v>322.39</v>
      </c>
      <c r="C26">
        <v>353</v>
      </c>
      <c r="D26">
        <v>432</v>
      </c>
      <c r="E26">
        <v>520</v>
      </c>
      <c r="F26">
        <v>565</v>
      </c>
      <c r="G26">
        <v>1002</v>
      </c>
      <c r="H26">
        <v>1074</v>
      </c>
      <c r="I26">
        <v>1091</v>
      </c>
      <c r="J26">
        <v>1137</v>
      </c>
      <c r="K26">
        <v>1216</v>
      </c>
    </row>
    <row r="27" spans="1:11" x14ac:dyDescent="0.3">
      <c r="A27" s="11" t="s">
        <v>23</v>
      </c>
      <c r="B27">
        <v>17.7</v>
      </c>
      <c r="C27">
        <v>17</v>
      </c>
      <c r="D27">
        <v>35</v>
      </c>
      <c r="E27">
        <v>26</v>
      </c>
      <c r="F27">
        <v>33</v>
      </c>
      <c r="G27">
        <v>118</v>
      </c>
      <c r="H27">
        <v>117</v>
      </c>
      <c r="I27">
        <v>106</v>
      </c>
      <c r="J27">
        <v>114</v>
      </c>
      <c r="K27">
        <v>334</v>
      </c>
    </row>
    <row r="28" spans="1:11" x14ac:dyDescent="0.3">
      <c r="A28" s="11" t="s">
        <v>24</v>
      </c>
      <c r="B28">
        <v>6319.51</v>
      </c>
      <c r="C28">
        <v>6026</v>
      </c>
      <c r="D28">
        <v>6467</v>
      </c>
      <c r="E28">
        <v>7306</v>
      </c>
      <c r="F28">
        <v>8604</v>
      </c>
      <c r="G28">
        <v>9165</v>
      </c>
      <c r="H28">
        <v>10605</v>
      </c>
      <c r="I28">
        <v>11879</v>
      </c>
      <c r="J28">
        <v>13344</v>
      </c>
      <c r="K28">
        <v>13926</v>
      </c>
    </row>
    <row r="29" spans="1:11" x14ac:dyDescent="0.3">
      <c r="A29" s="11" t="s">
        <v>25</v>
      </c>
      <c r="B29">
        <v>1944</v>
      </c>
      <c r="C29">
        <v>1875</v>
      </c>
      <c r="D29">
        <v>1977</v>
      </c>
      <c r="E29">
        <v>2079</v>
      </c>
      <c r="F29">
        <v>2544</v>
      </c>
      <c r="G29">
        <v>2409</v>
      </c>
      <c r="H29">
        <v>2606</v>
      </c>
      <c r="I29">
        <v>2987</v>
      </c>
      <c r="J29">
        <v>3201</v>
      </c>
      <c r="K29">
        <v>3644</v>
      </c>
    </row>
    <row r="30" spans="1:11" x14ac:dyDescent="0.3">
      <c r="A30" s="11" t="s">
        <v>26</v>
      </c>
      <c r="B30">
        <v>4363.08</v>
      </c>
      <c r="C30">
        <v>4151</v>
      </c>
      <c r="D30">
        <v>4476</v>
      </c>
      <c r="E30">
        <v>5214</v>
      </c>
      <c r="F30">
        <v>6054</v>
      </c>
      <c r="G30">
        <v>6748</v>
      </c>
      <c r="H30">
        <v>7995</v>
      </c>
      <c r="I30">
        <v>8879</v>
      </c>
      <c r="J30">
        <v>10120</v>
      </c>
      <c r="K30">
        <v>10277</v>
      </c>
    </row>
    <row r="31" spans="1:11" x14ac:dyDescent="0.3">
      <c r="A31" s="11" t="s">
        <v>27</v>
      </c>
      <c r="B31">
        <v>3245.25</v>
      </c>
      <c r="C31">
        <v>3456</v>
      </c>
      <c r="D31">
        <v>3672</v>
      </c>
      <c r="E31">
        <v>4320</v>
      </c>
      <c r="F31">
        <v>4752</v>
      </c>
      <c r="G31">
        <v>5400</v>
      </c>
      <c r="H31">
        <v>9517.5</v>
      </c>
      <c r="I31">
        <v>7990</v>
      </c>
      <c r="J31">
        <v>9165</v>
      </c>
      <c r="K31">
        <v>9870</v>
      </c>
    </row>
    <row r="32" spans="1:11" x14ac:dyDescent="0.3">
      <c r="A32" s="11"/>
      <c r="B32" s="11"/>
      <c r="C32" s="11"/>
      <c r="D32" s="11"/>
      <c r="E32" s="11"/>
      <c r="F32" s="11"/>
      <c r="G32" s="11"/>
      <c r="H32" s="11"/>
      <c r="I32" s="11"/>
      <c r="J32" s="11"/>
      <c r="K32" s="11"/>
    </row>
    <row r="33" spans="1:11" x14ac:dyDescent="0.3">
      <c r="A33" s="11"/>
    </row>
    <row r="34" spans="1:11" x14ac:dyDescent="0.3">
      <c r="A34" s="11"/>
    </row>
    <row r="35" spans="1:11" x14ac:dyDescent="0.3">
      <c r="A35" s="11"/>
    </row>
    <row r="36" spans="1:11" x14ac:dyDescent="0.3">
      <c r="A36" s="11"/>
    </row>
    <row r="37" spans="1:11" x14ac:dyDescent="0.3">
      <c r="A37" s="11"/>
    </row>
    <row r="38" spans="1:11" x14ac:dyDescent="0.3">
      <c r="A38" s="11"/>
    </row>
    <row r="39" spans="1:11" x14ac:dyDescent="0.3">
      <c r="A39" s="11"/>
    </row>
    <row r="40" spans="1:11" x14ac:dyDescent="0.3">
      <c r="A40" s="8" t="s">
        <v>28</v>
      </c>
    </row>
    <row r="41" spans="1:11" x14ac:dyDescent="0.3">
      <c r="A41" s="13" t="s">
        <v>12</v>
      </c>
      <c r="B41" s="12">
        <v>44651</v>
      </c>
      <c r="C41" s="12">
        <v>44742</v>
      </c>
      <c r="D41" s="12">
        <v>44834</v>
      </c>
      <c r="E41" s="12">
        <v>44926</v>
      </c>
      <c r="F41" s="12">
        <v>45016</v>
      </c>
      <c r="G41" s="12">
        <v>45107</v>
      </c>
      <c r="H41" s="12">
        <v>45199</v>
      </c>
      <c r="I41" s="12">
        <v>45291</v>
      </c>
      <c r="J41" s="12">
        <v>45382</v>
      </c>
      <c r="K41" s="12">
        <v>45473</v>
      </c>
    </row>
    <row r="42" spans="1:11" x14ac:dyDescent="0.3">
      <c r="A42" s="11" t="s">
        <v>13</v>
      </c>
      <c r="B42">
        <v>13767</v>
      </c>
      <c r="C42">
        <v>14624</v>
      </c>
      <c r="D42">
        <v>15144</v>
      </c>
      <c r="E42">
        <v>15597</v>
      </c>
      <c r="F42">
        <v>15215</v>
      </c>
      <c r="G42">
        <v>15496</v>
      </c>
      <c r="H42">
        <v>15623</v>
      </c>
      <c r="I42">
        <v>15567</v>
      </c>
      <c r="J42">
        <v>15210</v>
      </c>
      <c r="K42">
        <v>15707</v>
      </c>
    </row>
    <row r="43" spans="1:11" x14ac:dyDescent="0.3">
      <c r="A43" s="11" t="s">
        <v>29</v>
      </c>
      <c r="B43">
        <v>10466</v>
      </c>
      <c r="C43">
        <v>11222</v>
      </c>
      <c r="D43">
        <v>11665</v>
      </c>
      <c r="E43">
        <v>11903</v>
      </c>
      <c r="F43">
        <v>11643</v>
      </c>
      <c r="G43">
        <v>11832</v>
      </c>
      <c r="H43">
        <v>11828</v>
      </c>
      <c r="I43">
        <v>11902</v>
      </c>
      <c r="J43">
        <v>11675</v>
      </c>
      <c r="K43">
        <v>11965</v>
      </c>
    </row>
    <row r="44" spans="1:11" x14ac:dyDescent="0.3">
      <c r="A44" s="11" t="s">
        <v>21</v>
      </c>
      <c r="B44">
        <v>136</v>
      </c>
      <c r="C44">
        <v>121</v>
      </c>
      <c r="D44">
        <v>80</v>
      </c>
      <c r="E44">
        <v>7</v>
      </c>
      <c r="F44">
        <v>240</v>
      </c>
      <c r="G44">
        <v>146</v>
      </c>
      <c r="H44">
        <v>178</v>
      </c>
      <c r="I44">
        <v>184</v>
      </c>
      <c r="J44">
        <v>309</v>
      </c>
      <c r="K44">
        <v>209</v>
      </c>
    </row>
    <row r="45" spans="1:11" x14ac:dyDescent="0.3">
      <c r="A45" s="11" t="s">
        <v>22</v>
      </c>
      <c r="B45">
        <v>278</v>
      </c>
      <c r="C45">
        <v>281</v>
      </c>
      <c r="D45">
        <v>272</v>
      </c>
      <c r="E45">
        <v>293</v>
      </c>
      <c r="F45">
        <v>291</v>
      </c>
      <c r="G45">
        <v>286</v>
      </c>
      <c r="H45">
        <v>297</v>
      </c>
      <c r="I45">
        <v>313</v>
      </c>
      <c r="J45">
        <v>320</v>
      </c>
      <c r="K45">
        <v>329</v>
      </c>
    </row>
    <row r="46" spans="1:11" x14ac:dyDescent="0.3">
      <c r="A46" s="11" t="s">
        <v>23</v>
      </c>
      <c r="B46">
        <v>38</v>
      </c>
      <c r="C46">
        <v>28</v>
      </c>
      <c r="D46">
        <v>28</v>
      </c>
      <c r="E46">
        <v>29</v>
      </c>
      <c r="F46">
        <v>29</v>
      </c>
      <c r="G46">
        <v>50</v>
      </c>
      <c r="H46">
        <v>88</v>
      </c>
      <c r="I46">
        <v>91</v>
      </c>
      <c r="J46">
        <v>105</v>
      </c>
      <c r="K46">
        <v>93</v>
      </c>
    </row>
    <row r="47" spans="1:11" x14ac:dyDescent="0.3">
      <c r="A47" s="11" t="s">
        <v>24</v>
      </c>
      <c r="B47">
        <v>3121</v>
      </c>
      <c r="C47">
        <v>3214</v>
      </c>
      <c r="D47">
        <v>3259</v>
      </c>
      <c r="E47">
        <v>3379</v>
      </c>
      <c r="F47">
        <v>3492</v>
      </c>
      <c r="G47">
        <v>3474</v>
      </c>
      <c r="H47">
        <v>3588</v>
      </c>
      <c r="I47">
        <v>3445</v>
      </c>
      <c r="J47">
        <v>3419</v>
      </c>
      <c r="K47">
        <v>3529</v>
      </c>
    </row>
    <row r="48" spans="1:11" x14ac:dyDescent="0.3">
      <c r="A48" s="11" t="s">
        <v>25</v>
      </c>
      <c r="B48">
        <v>814</v>
      </c>
      <c r="C48">
        <v>823</v>
      </c>
      <c r="D48">
        <v>589</v>
      </c>
      <c r="E48">
        <v>898</v>
      </c>
      <c r="F48">
        <v>891</v>
      </c>
      <c r="G48">
        <v>918</v>
      </c>
      <c r="H48">
        <v>931</v>
      </c>
      <c r="I48">
        <v>937</v>
      </c>
      <c r="J48">
        <v>858</v>
      </c>
      <c r="K48">
        <v>917</v>
      </c>
    </row>
    <row r="49" spans="1:11" x14ac:dyDescent="0.3">
      <c r="A49" s="11" t="s">
        <v>26</v>
      </c>
      <c r="B49">
        <v>2304</v>
      </c>
      <c r="C49">
        <v>2381</v>
      </c>
      <c r="D49">
        <v>2665</v>
      </c>
      <c r="E49">
        <v>2474</v>
      </c>
      <c r="F49">
        <v>2600</v>
      </c>
      <c r="G49">
        <v>2554</v>
      </c>
      <c r="H49">
        <v>2656</v>
      </c>
      <c r="I49">
        <v>2509</v>
      </c>
      <c r="J49">
        <v>2558</v>
      </c>
      <c r="K49">
        <v>2610</v>
      </c>
    </row>
    <row r="50" spans="1:11" x14ac:dyDescent="0.3">
      <c r="A50" s="11" t="s">
        <v>30</v>
      </c>
      <c r="B50">
        <v>3301</v>
      </c>
      <c r="C50">
        <v>3402</v>
      </c>
      <c r="D50">
        <v>3479</v>
      </c>
      <c r="E50">
        <v>3694</v>
      </c>
      <c r="F50">
        <v>3572</v>
      </c>
      <c r="G50">
        <v>3664</v>
      </c>
      <c r="H50">
        <v>3795</v>
      </c>
      <c r="I50">
        <v>3665</v>
      </c>
      <c r="J50">
        <v>3535</v>
      </c>
      <c r="K50">
        <v>3742</v>
      </c>
    </row>
    <row r="51" spans="1:11" x14ac:dyDescent="0.3">
      <c r="A51" s="11"/>
    </row>
    <row r="52" spans="1:11" x14ac:dyDescent="0.3">
      <c r="A52" s="11"/>
    </row>
    <row r="53" spans="1:11" x14ac:dyDescent="0.3">
      <c r="A53" s="11"/>
    </row>
    <row r="54" spans="1:11" x14ac:dyDescent="0.3">
      <c r="A54" s="11"/>
    </row>
    <row r="55" spans="1:11" x14ac:dyDescent="0.3">
      <c r="A55" s="8" t="s">
        <v>31</v>
      </c>
    </row>
    <row r="56" spans="1:11" x14ac:dyDescent="0.3">
      <c r="A56" s="13" t="s">
        <v>12</v>
      </c>
      <c r="B56" s="12">
        <v>42094</v>
      </c>
      <c r="C56" s="12">
        <v>42460</v>
      </c>
      <c r="D56" s="12">
        <v>42825</v>
      </c>
      <c r="E56" s="12">
        <v>43190</v>
      </c>
      <c r="F56" s="12">
        <v>43555</v>
      </c>
      <c r="G56" s="12">
        <v>43921</v>
      </c>
      <c r="H56" s="12">
        <v>44286</v>
      </c>
      <c r="I56" s="12">
        <v>44651</v>
      </c>
      <c r="J56" s="12">
        <v>45016</v>
      </c>
      <c r="K56" s="12">
        <v>45382</v>
      </c>
    </row>
    <row r="57" spans="1:11" x14ac:dyDescent="0.3">
      <c r="A57" s="11" t="s">
        <v>32</v>
      </c>
      <c r="B57">
        <v>216.35</v>
      </c>
      <c r="C57">
        <v>216</v>
      </c>
      <c r="D57">
        <v>216</v>
      </c>
      <c r="E57">
        <v>216</v>
      </c>
      <c r="F57">
        <v>216</v>
      </c>
      <c r="G57">
        <v>216</v>
      </c>
      <c r="H57">
        <v>235</v>
      </c>
      <c r="I57">
        <v>235</v>
      </c>
      <c r="J57">
        <v>235</v>
      </c>
      <c r="K57">
        <v>235</v>
      </c>
    </row>
    <row r="58" spans="1:11" x14ac:dyDescent="0.3">
      <c r="A58" s="11" t="s">
        <v>33</v>
      </c>
      <c r="B58">
        <v>3811.13</v>
      </c>
      <c r="C58">
        <v>6357</v>
      </c>
      <c r="D58">
        <v>6528</v>
      </c>
      <c r="E58">
        <v>7065</v>
      </c>
      <c r="F58">
        <v>7651</v>
      </c>
      <c r="G58">
        <v>8013</v>
      </c>
      <c r="H58">
        <v>47439</v>
      </c>
      <c r="I58">
        <v>48826</v>
      </c>
      <c r="J58">
        <v>50069</v>
      </c>
      <c r="K58">
        <v>50983</v>
      </c>
    </row>
    <row r="59" spans="1:11" x14ac:dyDescent="0.3">
      <c r="A59" s="11" t="s">
        <v>34</v>
      </c>
      <c r="B59">
        <v>43.04</v>
      </c>
      <c r="C59">
        <v>177</v>
      </c>
      <c r="D59">
        <v>277</v>
      </c>
      <c r="F59">
        <v>99</v>
      </c>
      <c r="I59">
        <v>1043</v>
      </c>
      <c r="J59">
        <v>1219</v>
      </c>
      <c r="K59">
        <v>1484</v>
      </c>
    </row>
    <row r="60" spans="1:11" x14ac:dyDescent="0.3">
      <c r="A60" s="11" t="s">
        <v>35</v>
      </c>
      <c r="B60">
        <v>10359.01</v>
      </c>
      <c r="C60">
        <v>8043</v>
      </c>
      <c r="D60">
        <v>8685</v>
      </c>
      <c r="E60">
        <v>10581</v>
      </c>
      <c r="F60">
        <v>10663</v>
      </c>
      <c r="G60">
        <v>11924</v>
      </c>
      <c r="H60">
        <v>21066</v>
      </c>
      <c r="I60">
        <v>20402</v>
      </c>
      <c r="J60">
        <v>21554</v>
      </c>
      <c r="K60">
        <v>25787</v>
      </c>
    </row>
    <row r="61" spans="1:11" x14ac:dyDescent="0.3">
      <c r="A61" s="8" t="s">
        <v>36</v>
      </c>
      <c r="B61">
        <v>14429.53</v>
      </c>
      <c r="C61">
        <v>14793</v>
      </c>
      <c r="D61">
        <v>15706</v>
      </c>
      <c r="E61">
        <v>17862</v>
      </c>
      <c r="F61">
        <v>18629</v>
      </c>
      <c r="G61">
        <v>20153</v>
      </c>
      <c r="H61">
        <v>68740</v>
      </c>
      <c r="I61">
        <v>70506</v>
      </c>
      <c r="J61">
        <v>73077</v>
      </c>
      <c r="K61">
        <v>78489</v>
      </c>
    </row>
    <row r="62" spans="1:11" x14ac:dyDescent="0.3">
      <c r="A62" s="11" t="s">
        <v>37</v>
      </c>
      <c r="B62">
        <v>2821.01</v>
      </c>
      <c r="C62">
        <v>3258</v>
      </c>
      <c r="D62">
        <v>4419</v>
      </c>
      <c r="E62">
        <v>4528</v>
      </c>
      <c r="F62">
        <v>4715</v>
      </c>
      <c r="G62">
        <v>5479</v>
      </c>
      <c r="H62">
        <v>51443</v>
      </c>
      <c r="I62">
        <v>51473</v>
      </c>
      <c r="J62">
        <v>52678</v>
      </c>
      <c r="K62">
        <v>53744</v>
      </c>
    </row>
    <row r="63" spans="1:11" x14ac:dyDescent="0.3">
      <c r="A63" s="11" t="s">
        <v>38</v>
      </c>
      <c r="B63">
        <v>516.29999999999995</v>
      </c>
      <c r="C63">
        <v>408</v>
      </c>
      <c r="D63">
        <v>229</v>
      </c>
      <c r="E63">
        <v>461</v>
      </c>
      <c r="F63">
        <v>406</v>
      </c>
      <c r="G63">
        <v>597</v>
      </c>
      <c r="H63">
        <v>745</v>
      </c>
      <c r="I63">
        <v>1313</v>
      </c>
      <c r="J63">
        <v>1132</v>
      </c>
      <c r="K63">
        <v>1025</v>
      </c>
    </row>
    <row r="64" spans="1:11" x14ac:dyDescent="0.3">
      <c r="A64" s="11" t="s">
        <v>39</v>
      </c>
      <c r="B64">
        <v>3025.08</v>
      </c>
      <c r="C64">
        <v>2592</v>
      </c>
      <c r="D64">
        <v>3794</v>
      </c>
      <c r="E64">
        <v>2873</v>
      </c>
      <c r="F64">
        <v>2716</v>
      </c>
      <c r="G64">
        <v>1255</v>
      </c>
      <c r="H64">
        <v>2709</v>
      </c>
      <c r="I64">
        <v>3521</v>
      </c>
      <c r="J64">
        <v>2882</v>
      </c>
      <c r="K64">
        <v>4625</v>
      </c>
    </row>
    <row r="65" spans="1:11" x14ac:dyDescent="0.3">
      <c r="A65" s="11" t="s">
        <v>40</v>
      </c>
      <c r="B65">
        <v>8067.14</v>
      </c>
      <c r="C65">
        <v>8535</v>
      </c>
      <c r="D65">
        <v>7264</v>
      </c>
      <c r="E65">
        <v>10000</v>
      </c>
      <c r="F65">
        <v>10792</v>
      </c>
      <c r="G65">
        <v>12822</v>
      </c>
      <c r="H65">
        <v>13843</v>
      </c>
      <c r="I65">
        <v>14199</v>
      </c>
      <c r="J65">
        <v>16385</v>
      </c>
      <c r="K65">
        <v>19095</v>
      </c>
    </row>
    <row r="66" spans="1:11" x14ac:dyDescent="0.3">
      <c r="A66" s="8" t="s">
        <v>36</v>
      </c>
      <c r="B66">
        <v>14429.53</v>
      </c>
      <c r="C66">
        <v>14793</v>
      </c>
      <c r="D66">
        <v>15706</v>
      </c>
      <c r="E66">
        <v>17862</v>
      </c>
      <c r="F66">
        <v>18629</v>
      </c>
      <c r="G66">
        <v>20153</v>
      </c>
      <c r="H66">
        <v>68740</v>
      </c>
      <c r="I66">
        <v>70506</v>
      </c>
      <c r="J66">
        <v>73077</v>
      </c>
      <c r="K66">
        <v>78489</v>
      </c>
    </row>
    <row r="67" spans="1:11" x14ac:dyDescent="0.3">
      <c r="A67" s="11" t="s">
        <v>41</v>
      </c>
      <c r="B67">
        <v>1010.28</v>
      </c>
      <c r="C67">
        <v>1264</v>
      </c>
      <c r="D67">
        <v>1085</v>
      </c>
      <c r="E67">
        <v>1310</v>
      </c>
      <c r="F67">
        <v>1816</v>
      </c>
      <c r="G67">
        <v>1149</v>
      </c>
      <c r="H67">
        <v>1758</v>
      </c>
      <c r="I67">
        <v>2236</v>
      </c>
      <c r="J67">
        <v>3079</v>
      </c>
      <c r="K67">
        <v>2997</v>
      </c>
    </row>
    <row r="68" spans="1:11" x14ac:dyDescent="0.3">
      <c r="A68" s="11" t="s">
        <v>42</v>
      </c>
      <c r="B68">
        <v>2848.79</v>
      </c>
      <c r="C68">
        <v>2726</v>
      </c>
      <c r="D68">
        <v>2541</v>
      </c>
      <c r="E68">
        <v>2513</v>
      </c>
      <c r="F68">
        <v>2574</v>
      </c>
      <c r="G68">
        <v>2767</v>
      </c>
      <c r="H68">
        <v>3579</v>
      </c>
      <c r="I68">
        <v>4096</v>
      </c>
      <c r="J68">
        <v>4251</v>
      </c>
      <c r="K68">
        <v>4022</v>
      </c>
    </row>
    <row r="69" spans="1:11" x14ac:dyDescent="0.3">
      <c r="A69" s="10" t="s">
        <v>43</v>
      </c>
      <c r="B69">
        <v>2689.49</v>
      </c>
      <c r="C69">
        <v>3009</v>
      </c>
      <c r="D69">
        <v>1828</v>
      </c>
      <c r="E69">
        <v>3485</v>
      </c>
      <c r="F69">
        <v>3757</v>
      </c>
      <c r="G69">
        <v>5113</v>
      </c>
      <c r="H69">
        <v>4471</v>
      </c>
      <c r="I69">
        <v>3846</v>
      </c>
      <c r="J69">
        <v>4678</v>
      </c>
      <c r="K69">
        <v>7559</v>
      </c>
    </row>
    <row r="70" spans="1:11" x14ac:dyDescent="0.3">
      <c r="A70" s="10" t="s">
        <v>44</v>
      </c>
      <c r="B70">
        <v>2163464851</v>
      </c>
      <c r="C70">
        <v>2163936971</v>
      </c>
      <c r="D70">
        <v>2164349639</v>
      </c>
      <c r="E70">
        <v>2164528777</v>
      </c>
      <c r="F70">
        <v>2164704405</v>
      </c>
      <c r="G70">
        <v>2164704405</v>
      </c>
      <c r="H70">
        <v>2349567819</v>
      </c>
      <c r="I70">
        <v>2349591262</v>
      </c>
      <c r="J70">
        <v>2349591262</v>
      </c>
      <c r="K70">
        <v>2349591262</v>
      </c>
    </row>
    <row r="71" spans="1:11" x14ac:dyDescent="0.3">
      <c r="A71" s="10" t="s">
        <v>45</v>
      </c>
    </row>
    <row r="72" spans="1:11" x14ac:dyDescent="0.3">
      <c r="A72" s="10" t="s">
        <v>46</v>
      </c>
      <c r="B72">
        <v>1</v>
      </c>
      <c r="C72">
        <v>1</v>
      </c>
      <c r="D72">
        <v>1</v>
      </c>
      <c r="E72">
        <v>1</v>
      </c>
      <c r="F72">
        <v>1</v>
      </c>
      <c r="G72">
        <v>1</v>
      </c>
      <c r="H72">
        <v>1</v>
      </c>
      <c r="I72">
        <v>1</v>
      </c>
      <c r="J72">
        <v>1</v>
      </c>
      <c r="K72">
        <v>1</v>
      </c>
    </row>
    <row r="74" spans="1:11" x14ac:dyDescent="0.3">
      <c r="A74" s="11"/>
    </row>
    <row r="75" spans="1:11" x14ac:dyDescent="0.3">
      <c r="A75" s="11"/>
    </row>
    <row r="76" spans="1:11" x14ac:dyDescent="0.3">
      <c r="A76" s="11"/>
    </row>
    <row r="77" spans="1:11" x14ac:dyDescent="0.3">
      <c r="A77" s="11"/>
    </row>
    <row r="78" spans="1:11" x14ac:dyDescent="0.3">
      <c r="A78" s="11"/>
    </row>
    <row r="79" spans="1:11" x14ac:dyDescent="0.3">
      <c r="A79" s="11"/>
    </row>
    <row r="80" spans="1:11" x14ac:dyDescent="0.3">
      <c r="A80" s="8" t="s">
        <v>47</v>
      </c>
    </row>
    <row r="81" spans="1:11" x14ac:dyDescent="0.3">
      <c r="A81" s="13" t="s">
        <v>12</v>
      </c>
      <c r="B81" s="12">
        <v>42094</v>
      </c>
      <c r="C81" s="12">
        <v>42460</v>
      </c>
      <c r="D81" s="12">
        <v>42825</v>
      </c>
      <c r="E81" s="12">
        <v>43190</v>
      </c>
      <c r="F81" s="12">
        <v>43555</v>
      </c>
      <c r="G81" s="12">
        <v>43921</v>
      </c>
      <c r="H81" s="12">
        <v>44286</v>
      </c>
      <c r="I81" s="12">
        <v>44651</v>
      </c>
      <c r="J81" s="12">
        <v>45016</v>
      </c>
      <c r="K81" s="12">
        <v>45382</v>
      </c>
    </row>
    <row r="82" spans="1:11" x14ac:dyDescent="0.3">
      <c r="A82" s="11" t="s">
        <v>48</v>
      </c>
      <c r="B82">
        <v>3291.91</v>
      </c>
      <c r="C82">
        <v>4171</v>
      </c>
      <c r="D82">
        <v>5185</v>
      </c>
      <c r="E82">
        <v>6059</v>
      </c>
      <c r="F82">
        <v>5800</v>
      </c>
      <c r="G82">
        <v>7623</v>
      </c>
      <c r="H82">
        <v>9163</v>
      </c>
      <c r="I82">
        <v>9048</v>
      </c>
      <c r="J82">
        <v>9991</v>
      </c>
      <c r="K82">
        <v>15469</v>
      </c>
    </row>
    <row r="83" spans="1:11" x14ac:dyDescent="0.3">
      <c r="A83" s="11" t="s">
        <v>49</v>
      </c>
      <c r="B83">
        <v>137.97</v>
      </c>
      <c r="C83">
        <v>-282</v>
      </c>
      <c r="D83">
        <v>-1173</v>
      </c>
      <c r="E83">
        <v>-1063</v>
      </c>
      <c r="F83">
        <v>-438</v>
      </c>
      <c r="G83">
        <v>1791</v>
      </c>
      <c r="H83">
        <v>-1228</v>
      </c>
      <c r="I83">
        <v>-1728</v>
      </c>
      <c r="J83">
        <v>-1484</v>
      </c>
      <c r="K83">
        <v>-5324</v>
      </c>
    </row>
    <row r="84" spans="1:11" x14ac:dyDescent="0.3">
      <c r="A84" s="11" t="s">
        <v>50</v>
      </c>
      <c r="B84">
        <v>-3462.42</v>
      </c>
      <c r="C84">
        <v>-3864</v>
      </c>
      <c r="D84">
        <v>-4214</v>
      </c>
      <c r="E84">
        <v>-4975</v>
      </c>
      <c r="F84">
        <v>-5390</v>
      </c>
      <c r="G84">
        <v>-6819</v>
      </c>
      <c r="H84">
        <v>-9309</v>
      </c>
      <c r="I84">
        <v>-8015</v>
      </c>
      <c r="J84">
        <v>-8953</v>
      </c>
      <c r="K84">
        <v>-10034</v>
      </c>
    </row>
    <row r="85" spans="1:11" x14ac:dyDescent="0.3">
      <c r="A85" s="11" t="s">
        <v>51</v>
      </c>
      <c r="B85">
        <v>-32.54</v>
      </c>
      <c r="C85">
        <v>25</v>
      </c>
      <c r="D85">
        <v>-202</v>
      </c>
      <c r="E85">
        <v>21</v>
      </c>
      <c r="F85">
        <v>-28</v>
      </c>
      <c r="G85">
        <v>2595</v>
      </c>
      <c r="H85">
        <v>-1374</v>
      </c>
      <c r="I85">
        <v>-695</v>
      </c>
      <c r="J85">
        <v>-446</v>
      </c>
      <c r="K85">
        <v>111</v>
      </c>
    </row>
    <row r="86" spans="1:11" x14ac:dyDescent="0.3">
      <c r="A86" s="11"/>
    </row>
    <row r="87" spans="1:11" x14ac:dyDescent="0.3">
      <c r="A87" s="11"/>
    </row>
    <row r="88" spans="1:11" x14ac:dyDescent="0.3">
      <c r="A88" s="11"/>
    </row>
    <row r="89" spans="1:11" x14ac:dyDescent="0.3">
      <c r="A89" s="11"/>
    </row>
    <row r="90" spans="1:11" x14ac:dyDescent="0.3">
      <c r="A90" s="8" t="s">
        <v>52</v>
      </c>
      <c r="B90">
        <v>873.55</v>
      </c>
      <c r="C90">
        <v>869.5</v>
      </c>
      <c r="D90">
        <v>911.75</v>
      </c>
      <c r="E90">
        <v>1333.35</v>
      </c>
      <c r="F90">
        <v>1706.8</v>
      </c>
      <c r="G90">
        <v>2298.5</v>
      </c>
      <c r="H90">
        <v>2431.5</v>
      </c>
      <c r="I90">
        <v>2048.65</v>
      </c>
      <c r="J90">
        <v>2560.35</v>
      </c>
      <c r="K90">
        <v>2264.35</v>
      </c>
    </row>
    <row r="92" spans="1:11" x14ac:dyDescent="0.3">
      <c r="A92" s="8" t="s">
        <v>53</v>
      </c>
      <c r="B92" s="8"/>
      <c r="C92" s="8"/>
      <c r="D92" s="8"/>
      <c r="E92" s="8"/>
      <c r="F92" s="8"/>
      <c r="G92" s="8"/>
      <c r="H92" s="8"/>
      <c r="I92" s="8"/>
      <c r="J92" s="8"/>
      <c r="K92" s="8"/>
    </row>
    <row r="93" spans="1:11" x14ac:dyDescent="0.3">
      <c r="A93" s="10" t="s">
        <v>54</v>
      </c>
      <c r="B93" s="10">
        <v>216.35</v>
      </c>
      <c r="C93" s="10">
        <v>216.39</v>
      </c>
      <c r="D93" s="10">
        <v>216.43</v>
      </c>
      <c r="E93" s="10">
        <v>216.45</v>
      </c>
      <c r="F93" s="10">
        <v>216.47</v>
      </c>
      <c r="G93" s="10">
        <v>216.48</v>
      </c>
      <c r="H93" s="10">
        <v>234.96</v>
      </c>
      <c r="I93" s="10">
        <v>234.96</v>
      </c>
      <c r="J93" s="10">
        <v>234.96</v>
      </c>
      <c r="K93" s="10">
        <v>234.96</v>
      </c>
    </row>
  </sheetData>
  <mergeCells count="2">
    <mergeCell ref="E1:K1"/>
    <mergeCell ref="E2:K2"/>
  </mergeCells>
  <hyperlinks>
    <hyperlink ref="E1:K1" r:id="rId1" display="https://www.screener.in/excel/"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FSM</vt:lpstr>
      <vt:lpstr>DCF</vt:lpstr>
      <vt:lpstr>Data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dc:creator>
  <cp:lastModifiedBy>Lokesh Kumar</cp:lastModifiedBy>
  <dcterms:created xsi:type="dcterms:W3CDTF">2015-06-05T18:17:20Z</dcterms:created>
  <dcterms:modified xsi:type="dcterms:W3CDTF">2024-10-24T07:16:49Z</dcterms:modified>
</cp:coreProperties>
</file>