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Kumkum\"/>
    </mc:Choice>
  </mc:AlternateContent>
  <bookViews>
    <workbookView xWindow="0" yWindow="0" windowWidth="21600" windowHeight="8775" activeTab="3"/>
  </bookViews>
  <sheets>
    <sheet name="Assignment1" sheetId="1" r:id="rId1"/>
    <sheet name="Assignment2" sheetId="2" r:id="rId2"/>
    <sheet name="Assignment 3" sheetId="3" r:id="rId3"/>
    <sheet name="Assignment4" sheetId="4" r:id="rId4"/>
    <sheet name="Assignment5" sheetId="5" r:id="rId5"/>
    <sheet name="Assignment7" sheetId="6" r:id="rId6"/>
    <sheet name="Assignment6" sheetId="7" r:id="rId7"/>
    <sheet name="Assignment8" sheetId="8" r:id="rId8"/>
    <sheet name="Assignment9" sheetId="9" r:id="rId9"/>
    <sheet name="Assignment10" sheetId="10" r:id="rId10"/>
    <sheet name="Assignment11" sheetId="11" r:id="rId11"/>
    <sheet name="Assignment12" sheetId="12" r:id="rId12"/>
    <sheet name="Assignment13" sheetId="13" r:id="rId13"/>
    <sheet name="Assignment14" sheetId="14" r:id="rId14"/>
    <sheet name="Assignment15" sheetId="15" r:id="rId15"/>
    <sheet name="Assignment16" sheetId="16" r:id="rId16"/>
    <sheet name="Assignment17" sheetId="17" r:id="rId17"/>
    <sheet name="Assignment18" sheetId="18" r:id="rId18"/>
    <sheet name="Assignment19" sheetId="19" r:id="rId19"/>
    <sheet name="Assignment20" sheetId="20" r:id="rId20"/>
    <sheet name="Assignment21" sheetId="21" r:id="rId21"/>
    <sheet name="Assignment22" sheetId="22" r:id="rId22"/>
    <sheet name="Assignment23" sheetId="23" r:id="rId23"/>
    <sheet name="Assignment24" sheetId="24" r:id="rId24"/>
    <sheet name="Assignment25" sheetId="25" r:id="rId25"/>
    <sheet name="Assignment26" sheetId="26" r:id="rId26"/>
    <sheet name="Assignment27" sheetId="27" r:id="rId27"/>
    <sheet name="Assignment28" sheetId="28" r:id="rId28"/>
    <sheet name="Assignment29" sheetId="29" r:id="rId29"/>
    <sheet name="Assignment30" sheetId="30" r:id="rId30"/>
    <sheet name="Assignment31" sheetId="31" r:id="rId31"/>
    <sheet name="Assignment32" sheetId="32" r:id="rId32"/>
    <sheet name="MERGE" sheetId="33" r:id="rId33"/>
    <sheet name="Assignment34" sheetId="34" r:id="rId34"/>
    <sheet name="Assignment35" sheetId="35" r:id="rId35"/>
    <sheet name="Assignment36" sheetId="36" r:id="rId36"/>
    <sheet name="Assignment37" sheetId="37" r:id="rId37"/>
    <sheet name="Assignment38" sheetId="38" r:id="rId38"/>
    <sheet name="Assignment39" sheetId="39" r:id="rId39"/>
    <sheet name="Assignment40" sheetId="40" r:id="rId40"/>
    <sheet name="Assignment41" sheetId="41" r:id="rId41"/>
    <sheet name="Assignment42" sheetId="42" r:id="rId42"/>
    <sheet name="Assignment43" sheetId="43" r:id="rId43"/>
    <sheet name="Assignment44" sheetId="44" r:id="rId44"/>
    <sheet name="Assignment45" sheetId="45" r:id="rId45"/>
    <sheet name="Assignment46" sheetId="46" r:id="rId46"/>
    <sheet name="Assignment47" sheetId="47" r:id="rId47"/>
    <sheet name="Assignment48" sheetId="48" r:id="rId48"/>
    <sheet name="Assignment49" sheetId="49" r:id="rId49"/>
    <sheet name="Assignment50" sheetId="50" r:id="rId50"/>
  </sheets>
  <definedNames>
    <definedName name="_xlnm._FilterDatabase" localSheetId="19" hidden="1">Assignment20!$A$31</definedName>
    <definedName name="_xlnm._FilterDatabase" localSheetId="6" hidden="1">Assignment6!$A$4:$C$23</definedName>
  </definedNames>
  <calcPr calcId="152511"/>
  <extLst>
    <ext uri="GoogleSheetsCustomDataVersion2">
      <go:sheetsCustomData xmlns:go="http://customooxmlschemas.google.com/" r:id="rId54" roundtripDataChecksum="CaZMZO/AQ3lTONYm1ATocq5MKWw8bWyKzQISzshljYY="/>
    </ext>
  </extLst>
</workbook>
</file>

<file path=xl/calcChain.xml><?xml version="1.0" encoding="utf-8"?>
<calcChain xmlns="http://schemas.openxmlformats.org/spreadsheetml/2006/main">
  <c r="L6" i="4" l="1"/>
  <c r="L7" i="4"/>
  <c r="L8" i="4"/>
  <c r="L9" i="4"/>
  <c r="L10" i="4"/>
  <c r="L11" i="4"/>
  <c r="L12" i="4"/>
  <c r="L13" i="4"/>
  <c r="L14" i="4"/>
  <c r="I12" i="4"/>
  <c r="J14" i="4"/>
  <c r="J15" i="4"/>
  <c r="H6" i="3"/>
  <c r="H7" i="3"/>
  <c r="H8" i="3"/>
  <c r="H9" i="3"/>
  <c r="H10" i="3"/>
  <c r="H11" i="3"/>
  <c r="H12" i="3"/>
  <c r="H13" i="3"/>
  <c r="H5" i="3"/>
  <c r="I16" i="3"/>
  <c r="I15" i="3"/>
  <c r="M6" i="3"/>
  <c r="M5" i="3"/>
  <c r="M4" i="3"/>
  <c r="L7" i="9"/>
  <c r="L6" i="9"/>
  <c r="J4" i="3"/>
  <c r="L20" i="3"/>
  <c r="L19" i="3"/>
  <c r="N19" i="3"/>
  <c r="M18" i="3"/>
  <c r="G6" i="3" l="1"/>
  <c r="G7" i="3"/>
  <c r="G8" i="3"/>
  <c r="G9" i="3"/>
  <c r="G10" i="3"/>
  <c r="G11" i="3"/>
  <c r="G12" i="3"/>
  <c r="G13" i="3"/>
  <c r="F24" i="1" l="1"/>
  <c r="E24" i="1"/>
  <c r="G26" i="47" l="1"/>
  <c r="G25" i="47"/>
  <c r="G24" i="47"/>
  <c r="B21" i="47"/>
  <c r="B14" i="47"/>
  <c r="B15" i="47"/>
  <c r="B16" i="47"/>
  <c r="B17" i="47"/>
  <c r="B18" i="47"/>
  <c r="B19" i="47"/>
  <c r="B20" i="47"/>
  <c r="B22" i="47"/>
  <c r="B23" i="47"/>
  <c r="B24" i="47"/>
  <c r="B25" i="47"/>
  <c r="B13" i="47"/>
  <c r="C9" i="47"/>
  <c r="C8" i="47"/>
  <c r="C7" i="47"/>
  <c r="C6" i="47"/>
  <c r="C5" i="47"/>
  <c r="C31" i="46"/>
  <c r="C30" i="46"/>
  <c r="C29" i="46"/>
  <c r="C28" i="46"/>
  <c r="B24" i="46"/>
  <c r="B23" i="46"/>
  <c r="B22" i="46"/>
  <c r="B21" i="46"/>
  <c r="B20" i="46"/>
  <c r="C9" i="46"/>
  <c r="C8" i="46"/>
  <c r="C7" i="46"/>
  <c r="C6" i="46"/>
  <c r="C16" i="46"/>
  <c r="C15" i="46"/>
  <c r="C14" i="46"/>
  <c r="C13" i="46"/>
  <c r="D17" i="50"/>
  <c r="H17" i="6"/>
  <c r="E6" i="50"/>
  <c r="F6" i="50" s="1"/>
  <c r="E7" i="50"/>
  <c r="F7" i="50" s="1"/>
  <c r="E8" i="50"/>
  <c r="F8" i="50" s="1"/>
  <c r="E9" i="50"/>
  <c r="F9" i="50" s="1"/>
  <c r="E10" i="50"/>
  <c r="F10" i="50" s="1"/>
  <c r="E11" i="50"/>
  <c r="F11" i="50" s="1"/>
  <c r="E12" i="50"/>
  <c r="F12" i="50" s="1"/>
  <c r="E13" i="50"/>
  <c r="F13" i="50" s="1"/>
  <c r="E14" i="50"/>
  <c r="F18" i="50" s="1"/>
  <c r="E15" i="50"/>
  <c r="F15" i="50" s="1"/>
  <c r="C6" i="50"/>
  <c r="D6" i="50" s="1"/>
  <c r="C5" i="50"/>
  <c r="D5" i="50" s="1"/>
  <c r="C7" i="50"/>
  <c r="D7" i="50" s="1"/>
  <c r="C8" i="50"/>
  <c r="D8" i="50" s="1"/>
  <c r="C9" i="50"/>
  <c r="D9" i="50" s="1"/>
  <c r="C10" i="50"/>
  <c r="D10" i="50" s="1"/>
  <c r="C11" i="50"/>
  <c r="D11" i="50" s="1"/>
  <c r="C12" i="50"/>
  <c r="D12" i="50" s="1"/>
  <c r="C13" i="50"/>
  <c r="D13" i="50" s="1"/>
  <c r="C14" i="50"/>
  <c r="D14" i="50" s="1"/>
  <c r="C15" i="50"/>
  <c r="D15" i="50" s="1"/>
  <c r="K21" i="48"/>
  <c r="J21" i="48"/>
  <c r="E23" i="1"/>
  <c r="K20" i="48"/>
  <c r="K19" i="48"/>
  <c r="K17" i="48"/>
  <c r="E5" i="50"/>
  <c r="F5" i="50" s="1"/>
  <c r="L17" i="49"/>
  <c r="L16" i="49"/>
  <c r="H15" i="49"/>
  <c r="J15" i="49" s="1"/>
  <c r="H14" i="49"/>
  <c r="J14" i="49" s="1"/>
  <c r="H13" i="49"/>
  <c r="J13" i="49" s="1"/>
  <c r="H12" i="49"/>
  <c r="J12" i="49" s="1"/>
  <c r="H11" i="49"/>
  <c r="J11" i="49" s="1"/>
  <c r="H10" i="49"/>
  <c r="J10" i="49" s="1"/>
  <c r="H9" i="49"/>
  <c r="J9" i="49" s="1"/>
  <c r="H8" i="49"/>
  <c r="J8" i="49" s="1"/>
  <c r="N7" i="49"/>
  <c r="J7" i="49"/>
  <c r="H7" i="49"/>
  <c r="J6" i="49"/>
  <c r="H6" i="49"/>
  <c r="J5" i="49"/>
  <c r="H5" i="49"/>
  <c r="L4" i="49"/>
  <c r="H15" i="48"/>
  <c r="K15" i="48" s="1"/>
  <c r="H14" i="48"/>
  <c r="L14" i="48" s="1"/>
  <c r="H13" i="48"/>
  <c r="K13" i="48" s="1"/>
  <c r="H12" i="48"/>
  <c r="K12" i="48" s="1"/>
  <c r="H11" i="48"/>
  <c r="K11" i="48" s="1"/>
  <c r="K10" i="48"/>
  <c r="H10" i="48"/>
  <c r="L10" i="48" s="1"/>
  <c r="H9" i="48"/>
  <c r="K9" i="48" s="1"/>
  <c r="H8" i="48"/>
  <c r="K8" i="48" s="1"/>
  <c r="H7" i="48"/>
  <c r="K7" i="48" s="1"/>
  <c r="H6" i="48"/>
  <c r="L6" i="48" s="1"/>
  <c r="H5" i="48"/>
  <c r="J5" i="48" s="1"/>
  <c r="C38" i="45"/>
  <c r="C37" i="45"/>
  <c r="C36" i="45"/>
  <c r="B27" i="45"/>
  <c r="B19" i="45"/>
  <c r="B15" i="45"/>
  <c r="B14" i="45"/>
  <c r="B13" i="45"/>
  <c r="C9" i="45"/>
  <c r="C8" i="45"/>
  <c r="C7" i="45"/>
  <c r="C6" i="45"/>
  <c r="C5" i="45"/>
  <c r="D48" i="44"/>
  <c r="D47" i="44"/>
  <c r="D41" i="44"/>
  <c r="D40" i="44"/>
  <c r="D39" i="44"/>
  <c r="D17" i="44"/>
  <c r="D16" i="44"/>
  <c r="D15" i="44"/>
  <c r="D14" i="44"/>
  <c r="D13" i="44"/>
  <c r="C10" i="44"/>
  <c r="C9" i="44"/>
  <c r="C8" i="44"/>
  <c r="C7" i="44"/>
  <c r="C6" i="44"/>
  <c r="G5" i="44"/>
  <c r="C5" i="44"/>
  <c r="D49" i="43"/>
  <c r="C27" i="43"/>
  <c r="H20" i="43"/>
  <c r="H19" i="43"/>
  <c r="H18" i="43"/>
  <c r="H17" i="43"/>
  <c r="H16" i="43"/>
  <c r="H15" i="43"/>
  <c r="H14" i="43"/>
  <c r="H13" i="43"/>
  <c r="D42" i="43" s="1"/>
  <c r="H12" i="43"/>
  <c r="H11" i="43"/>
  <c r="H10" i="43"/>
  <c r="H9" i="43"/>
  <c r="D56" i="43" s="1"/>
  <c r="H8" i="43"/>
  <c r="H7" i="43"/>
  <c r="H6" i="43"/>
  <c r="H5" i="43"/>
  <c r="D27" i="43" s="1"/>
  <c r="D42" i="42"/>
  <c r="C26" i="42"/>
  <c r="H19" i="42"/>
  <c r="H18" i="42"/>
  <c r="H17" i="42"/>
  <c r="H16" i="42"/>
  <c r="H15" i="42"/>
  <c r="H14" i="42"/>
  <c r="D52" i="42" s="1"/>
  <c r="H13" i="42"/>
  <c r="H12" i="42"/>
  <c r="D45" i="42" s="1"/>
  <c r="H11" i="42"/>
  <c r="H10" i="42"/>
  <c r="H9" i="42"/>
  <c r="H8" i="42"/>
  <c r="D59" i="42" s="1"/>
  <c r="H7" i="42"/>
  <c r="H6" i="42"/>
  <c r="H5" i="42"/>
  <c r="H4" i="42"/>
  <c r="D26" i="42" s="1"/>
  <c r="D61" i="41"/>
  <c r="D53" i="41"/>
  <c r="D46" i="41"/>
  <c r="D42" i="41"/>
  <c r="D27" i="41"/>
  <c r="C27" i="41"/>
  <c r="H20" i="41"/>
  <c r="H19" i="41"/>
  <c r="H18" i="41"/>
  <c r="H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D60" i="40"/>
  <c r="D53" i="40"/>
  <c r="D46" i="40"/>
  <c r="D42" i="40"/>
  <c r="D27" i="40"/>
  <c r="C27" i="40"/>
  <c r="H20" i="40"/>
  <c r="H19" i="40"/>
  <c r="H18" i="40"/>
  <c r="H17" i="40"/>
  <c r="H16" i="40"/>
  <c r="H15" i="40"/>
  <c r="H14" i="40"/>
  <c r="H13" i="40"/>
  <c r="H12" i="40"/>
  <c r="H11" i="40"/>
  <c r="H10" i="40"/>
  <c r="H9" i="40"/>
  <c r="H8" i="40"/>
  <c r="H7" i="40"/>
  <c r="H6" i="40"/>
  <c r="H5" i="40"/>
  <c r="D55" i="39"/>
  <c r="C55" i="39"/>
  <c r="D48" i="39"/>
  <c r="C48" i="39"/>
  <c r="D41" i="39"/>
  <c r="D37" i="39"/>
  <c r="C37" i="39"/>
  <c r="D28" i="39"/>
  <c r="C28" i="39"/>
  <c r="H21" i="39"/>
  <c r="H20" i="39"/>
  <c r="H19" i="39"/>
  <c r="H18" i="39"/>
  <c r="H17" i="39"/>
  <c r="H16" i="39"/>
  <c r="H15" i="39"/>
  <c r="H14" i="39"/>
  <c r="H13" i="39"/>
  <c r="H12" i="39"/>
  <c r="H11" i="39"/>
  <c r="H10" i="39"/>
  <c r="H9" i="39"/>
  <c r="H8" i="39"/>
  <c r="H7" i="39"/>
  <c r="H6" i="39"/>
  <c r="B42" i="38"/>
  <c r="C39" i="38"/>
  <c r="C38" i="38"/>
  <c r="C37" i="38"/>
  <c r="D10" i="38"/>
  <c r="D9" i="38"/>
  <c r="D8" i="38"/>
  <c r="D7" i="38"/>
  <c r="D6" i="38"/>
  <c r="D5" i="38"/>
  <c r="E9" i="37"/>
  <c r="F8" i="37"/>
  <c r="E8" i="37"/>
  <c r="R29" i="36"/>
  <c r="R27" i="36"/>
  <c r="I23" i="36"/>
  <c r="H23" i="36"/>
  <c r="G23" i="36"/>
  <c r="I22" i="36"/>
  <c r="H22" i="36"/>
  <c r="G22" i="36"/>
  <c r="I21" i="36"/>
  <c r="H21" i="36"/>
  <c r="G21" i="36"/>
  <c r="I20" i="36"/>
  <c r="H20" i="36"/>
  <c r="G20" i="36"/>
  <c r="I19" i="36"/>
  <c r="H19" i="36"/>
  <c r="G19" i="36"/>
  <c r="I18" i="36"/>
  <c r="H18" i="36"/>
  <c r="G18" i="36"/>
  <c r="I17" i="36"/>
  <c r="H17" i="36"/>
  <c r="G17" i="36"/>
  <c r="I16" i="36"/>
  <c r="H16" i="36"/>
  <c r="G16" i="36"/>
  <c r="I15" i="36"/>
  <c r="H15" i="36"/>
  <c r="G15" i="36"/>
  <c r="I14" i="36"/>
  <c r="H14" i="36"/>
  <c r="G14" i="36"/>
  <c r="I13" i="36"/>
  <c r="H13" i="36"/>
  <c r="G13" i="36"/>
  <c r="I12" i="36"/>
  <c r="H12" i="36"/>
  <c r="G12" i="36"/>
  <c r="I11" i="36"/>
  <c r="H11" i="36"/>
  <c r="G11" i="36"/>
  <c r="I10" i="36"/>
  <c r="H10" i="36"/>
  <c r="G10" i="36"/>
  <c r="I9" i="36"/>
  <c r="H9" i="36"/>
  <c r="G9" i="36"/>
  <c r="I8" i="36"/>
  <c r="H8" i="36"/>
  <c r="G8" i="36"/>
  <c r="J7" i="36"/>
  <c r="I7" i="36"/>
  <c r="H7" i="36"/>
  <c r="G7" i="36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C10" i="35"/>
  <c r="E4" i="35"/>
  <c r="C22" i="34"/>
  <c r="C31" i="34" s="1"/>
  <c r="G18" i="34"/>
  <c r="G16" i="34"/>
  <c r="G14" i="34"/>
  <c r="C14" i="34"/>
  <c r="C5" i="34"/>
  <c r="C17" i="34" s="1"/>
  <c r="D48" i="33"/>
  <c r="C48" i="33"/>
  <c r="D47" i="33"/>
  <c r="C47" i="33"/>
  <c r="D46" i="33"/>
  <c r="C46" i="33"/>
  <c r="D45" i="33"/>
  <c r="C45" i="33"/>
  <c r="D44" i="33"/>
  <c r="C44" i="33"/>
  <c r="D43" i="33"/>
  <c r="C43" i="33"/>
  <c r="D42" i="33"/>
  <c r="C42" i="33"/>
  <c r="D41" i="33"/>
  <c r="C41" i="33"/>
  <c r="D40" i="33"/>
  <c r="C40" i="33"/>
  <c r="D39" i="33"/>
  <c r="C39" i="33"/>
  <c r="D38" i="33"/>
  <c r="C38" i="33"/>
  <c r="D37" i="33"/>
  <c r="C37" i="33"/>
  <c r="D36" i="33"/>
  <c r="C36" i="33"/>
  <c r="D35" i="33"/>
  <c r="C35" i="33"/>
  <c r="D34" i="33"/>
  <c r="C34" i="33"/>
  <c r="D33" i="33"/>
  <c r="C33" i="33"/>
  <c r="D32" i="33"/>
  <c r="C32" i="33"/>
  <c r="D31" i="33"/>
  <c r="C31" i="33"/>
  <c r="D30" i="33"/>
  <c r="C30" i="33"/>
  <c r="D29" i="33"/>
  <c r="C29" i="33"/>
  <c r="H18" i="32"/>
  <c r="C13" i="32"/>
  <c r="C12" i="32"/>
  <c r="C11" i="32"/>
  <c r="C10" i="32"/>
  <c r="C9" i="32"/>
  <c r="C8" i="32"/>
  <c r="C7" i="32"/>
  <c r="C6" i="32"/>
  <c r="C5" i="32"/>
  <c r="G17" i="31"/>
  <c r="F17" i="31"/>
  <c r="E17" i="31"/>
  <c r="D17" i="31"/>
  <c r="C17" i="31"/>
  <c r="B8" i="31"/>
  <c r="J11" i="30"/>
  <c r="K30" i="29"/>
  <c r="J30" i="29"/>
  <c r="I30" i="29"/>
  <c r="H30" i="29"/>
  <c r="K29" i="29"/>
  <c r="J29" i="29"/>
  <c r="I29" i="29"/>
  <c r="H29" i="29"/>
  <c r="K28" i="29"/>
  <c r="J28" i="29"/>
  <c r="I28" i="29"/>
  <c r="H28" i="29"/>
  <c r="K27" i="29"/>
  <c r="J27" i="29"/>
  <c r="I27" i="29"/>
  <c r="H27" i="29"/>
  <c r="K26" i="29"/>
  <c r="J26" i="29"/>
  <c r="I26" i="29"/>
  <c r="H26" i="29"/>
  <c r="K25" i="29"/>
  <c r="J25" i="29"/>
  <c r="I25" i="29"/>
  <c r="H25" i="29"/>
  <c r="K24" i="29"/>
  <c r="J24" i="29"/>
  <c r="I24" i="29"/>
  <c r="H24" i="29"/>
  <c r="K23" i="29"/>
  <c r="J23" i="29"/>
  <c r="I23" i="29"/>
  <c r="H23" i="29"/>
  <c r="K22" i="29"/>
  <c r="J22" i="29"/>
  <c r="I22" i="29"/>
  <c r="H22" i="29"/>
  <c r="K21" i="29"/>
  <c r="J21" i="29"/>
  <c r="I21" i="29"/>
  <c r="H21" i="29"/>
  <c r="B21" i="29"/>
  <c r="C21" i="29" s="1"/>
  <c r="D21" i="29" s="1"/>
  <c r="E21" i="29" s="1"/>
  <c r="L14" i="28" a="1"/>
  <c r="L14" i="28" s="1"/>
  <c r="M5" i="28"/>
  <c r="I5" i="28"/>
  <c r="D21" i="27"/>
  <c r="D20" i="27"/>
  <c r="D19" i="27"/>
  <c r="D18" i="27"/>
  <c r="D17" i="27"/>
  <c r="D16" i="27"/>
  <c r="D10" i="27"/>
  <c r="D9" i="27"/>
  <c r="D8" i="27"/>
  <c r="D7" i="27"/>
  <c r="D6" i="27"/>
  <c r="D5" i="27"/>
  <c r="C22" i="26"/>
  <c r="C21" i="26"/>
  <c r="C20" i="26"/>
  <c r="C19" i="26"/>
  <c r="C18" i="26"/>
  <c r="C17" i="26"/>
  <c r="G12" i="26"/>
  <c r="G11" i="26"/>
  <c r="G10" i="26"/>
  <c r="G9" i="26"/>
  <c r="C9" i="26"/>
  <c r="G8" i="26"/>
  <c r="C8" i="26"/>
  <c r="G7" i="26"/>
  <c r="C7" i="26"/>
  <c r="G6" i="26"/>
  <c r="C6" i="26"/>
  <c r="G5" i="26"/>
  <c r="C5" i="26"/>
  <c r="G37" i="24"/>
  <c r="A37" i="24"/>
  <c r="G36" i="24"/>
  <c r="B19" i="24"/>
  <c r="B18" i="24"/>
  <c r="E14" i="24"/>
  <c r="E13" i="24"/>
  <c r="F6" i="23"/>
  <c r="F5" i="23"/>
  <c r="H8" i="22"/>
  <c r="H7" i="22"/>
  <c r="H6" i="22" a="1"/>
  <c r="H6" i="22"/>
  <c r="H5" i="22"/>
  <c r="H5" i="21" a="1"/>
  <c r="H5" i="21"/>
  <c r="A13" i="19"/>
  <c r="C13" i="19" s="1"/>
  <c r="C12" i="19"/>
  <c r="A12" i="19"/>
  <c r="A11" i="19"/>
  <c r="C11" i="19" s="1"/>
  <c r="C10" i="19" a="1"/>
  <c r="C10" i="19" s="1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H7" i="18"/>
  <c r="L5" i="18"/>
  <c r="J21" i="16"/>
  <c r="J20" i="16"/>
  <c r="I19" i="16"/>
  <c r="H19" i="16"/>
  <c r="H18" i="16"/>
  <c r="H17" i="16"/>
  <c r="I38" i="15"/>
  <c r="H37" i="15"/>
  <c r="J36" i="15"/>
  <c r="I36" i="15"/>
  <c r="H36" i="15"/>
  <c r="N30" i="15"/>
  <c r="M30" i="15"/>
  <c r="N29" i="15"/>
  <c r="M29" i="15"/>
  <c r="H16" i="12"/>
  <c r="G14" i="12"/>
  <c r="P12" i="12"/>
  <c r="O8" i="12"/>
  <c r="N8" i="12"/>
  <c r="O7" i="12"/>
  <c r="N7" i="12"/>
  <c r="J6" i="12"/>
  <c r="J5" i="12"/>
  <c r="C27" i="11"/>
  <c r="B27" i="11"/>
  <c r="A27" i="11"/>
  <c r="C26" i="11"/>
  <c r="B26" i="11"/>
  <c r="A26" i="11"/>
  <c r="C25" i="11"/>
  <c r="F20" i="11"/>
  <c r="B20" i="11"/>
  <c r="F19" i="11"/>
  <c r="B19" i="11"/>
  <c r="F18" i="11"/>
  <c r="B18" i="11"/>
  <c r="B34" i="10"/>
  <c r="F31" i="10"/>
  <c r="F30" i="10"/>
  <c r="G29" i="10"/>
  <c r="F29" i="10"/>
  <c r="G28" i="10"/>
  <c r="F28" i="10"/>
  <c r="F27" i="10"/>
  <c r="I19" i="9"/>
  <c r="H19" i="9"/>
  <c r="I18" i="9"/>
  <c r="H18" i="9"/>
  <c r="I17" i="9"/>
  <c r="H17" i="9"/>
  <c r="I16" i="9"/>
  <c r="H16" i="9"/>
  <c r="I15" i="9"/>
  <c r="H15" i="9"/>
  <c r="I14" i="9"/>
  <c r="H14" i="9"/>
  <c r="I13" i="9"/>
  <c r="H13" i="9"/>
  <c r="I12" i="9"/>
  <c r="H12" i="9"/>
  <c r="I11" i="9"/>
  <c r="H11" i="9"/>
  <c r="I10" i="9"/>
  <c r="H10" i="9"/>
  <c r="I9" i="9"/>
  <c r="H9" i="9"/>
  <c r="I8" i="9"/>
  <c r="H8" i="9"/>
  <c r="I7" i="9"/>
  <c r="H7" i="9"/>
  <c r="G19" i="8"/>
  <c r="G17" i="8"/>
  <c r="I15" i="8"/>
  <c r="E15" i="8"/>
  <c r="I14" i="8"/>
  <c r="J15" i="8" s="1"/>
  <c r="E14" i="8"/>
  <c r="I13" i="8" s="1"/>
  <c r="J14" i="8" s="1"/>
  <c r="E13" i="8"/>
  <c r="I12" i="8" s="1"/>
  <c r="J13" i="8" s="1"/>
  <c r="E12" i="8"/>
  <c r="I11" i="8"/>
  <c r="J12" i="8" s="1"/>
  <c r="E11" i="8"/>
  <c r="I10" i="8"/>
  <c r="J11" i="8" s="1"/>
  <c r="E10" i="8"/>
  <c r="I9" i="8" s="1"/>
  <c r="J10" i="8" s="1"/>
  <c r="E9" i="8"/>
  <c r="I8" i="8" s="1"/>
  <c r="J9" i="8" s="1"/>
  <c r="E8" i="8"/>
  <c r="I7" i="8"/>
  <c r="J8" i="8" s="1"/>
  <c r="E7" i="8"/>
  <c r="I6" i="8"/>
  <c r="J7" i="8" s="1"/>
  <c r="E6" i="8"/>
  <c r="F6" i="8" s="1"/>
  <c r="G6" i="8" s="1"/>
  <c r="I5" i="8"/>
  <c r="E27" i="7"/>
  <c r="E26" i="7"/>
  <c r="E25" i="7"/>
  <c r="D23" i="7"/>
  <c r="D22" i="7"/>
  <c r="D21" i="7"/>
  <c r="D20" i="7"/>
  <c r="D19" i="7"/>
  <c r="D18" i="7"/>
  <c r="D17" i="7"/>
  <c r="D16" i="7"/>
  <c r="D15" i="7"/>
  <c r="D14" i="7"/>
  <c r="D13" i="7"/>
  <c r="K12" i="7"/>
  <c r="D12" i="7"/>
  <c r="K11" i="7"/>
  <c r="K13" i="7" s="1"/>
  <c r="D11" i="7"/>
  <c r="D10" i="7"/>
  <c r="D9" i="7"/>
  <c r="D8" i="7"/>
  <c r="D7" i="7"/>
  <c r="D6" i="7"/>
  <c r="D5" i="7"/>
  <c r="I17" i="6"/>
  <c r="E15" i="6"/>
  <c r="F15" i="6" s="1"/>
  <c r="E14" i="6"/>
  <c r="F14" i="6" s="1"/>
  <c r="E13" i="6"/>
  <c r="F13" i="6" s="1"/>
  <c r="E12" i="6"/>
  <c r="F12" i="6" s="1"/>
  <c r="E11" i="6"/>
  <c r="F11" i="6" s="1"/>
  <c r="E10" i="6"/>
  <c r="F10" i="6" s="1"/>
  <c r="E9" i="6"/>
  <c r="F9" i="6" s="1"/>
  <c r="E8" i="6"/>
  <c r="F8" i="6" s="1"/>
  <c r="E7" i="6"/>
  <c r="F7" i="6" s="1"/>
  <c r="E6" i="6"/>
  <c r="F6" i="6" s="1"/>
  <c r="E5" i="6"/>
  <c r="D5" i="6"/>
  <c r="C5" i="6"/>
  <c r="M18" i="5"/>
  <c r="H15" i="5"/>
  <c r="N15" i="5" s="1"/>
  <c r="N14" i="5"/>
  <c r="J14" i="5"/>
  <c r="H14" i="5"/>
  <c r="N13" i="5"/>
  <c r="J13" i="5"/>
  <c r="H13" i="5"/>
  <c r="J12" i="5"/>
  <c r="H12" i="5"/>
  <c r="N12" i="5" s="1"/>
  <c r="H11" i="5"/>
  <c r="N11" i="5" s="1"/>
  <c r="N10" i="5"/>
  <c r="J10" i="5"/>
  <c r="H10" i="5"/>
  <c r="N9" i="5"/>
  <c r="J9" i="5"/>
  <c r="H9" i="5"/>
  <c r="J8" i="5"/>
  <c r="H8" i="5"/>
  <c r="N8" i="5" s="1"/>
  <c r="H7" i="5"/>
  <c r="N7" i="5" s="1"/>
  <c r="N6" i="5"/>
  <c r="J6" i="5"/>
  <c r="H6" i="5"/>
  <c r="N5" i="5"/>
  <c r="J5" i="5"/>
  <c r="H5" i="5"/>
  <c r="N4" i="5"/>
  <c r="K12" i="4"/>
  <c r="G12" i="4"/>
  <c r="F12" i="4"/>
  <c r="E12" i="4"/>
  <c r="H12" i="4" s="1"/>
  <c r="K11" i="4"/>
  <c r="H11" i="4"/>
  <c r="I11" i="4" s="1"/>
  <c r="G11" i="4"/>
  <c r="F11" i="4"/>
  <c r="H10" i="4"/>
  <c r="I10" i="4" s="1"/>
  <c r="G10" i="4"/>
  <c r="F10" i="4"/>
  <c r="K9" i="4"/>
  <c r="G9" i="4"/>
  <c r="F9" i="4"/>
  <c r="H9" i="4" s="1"/>
  <c r="I9" i="4" s="1"/>
  <c r="G8" i="4"/>
  <c r="F8" i="4"/>
  <c r="H8" i="4" s="1"/>
  <c r="I8" i="4" s="1"/>
  <c r="K7" i="4"/>
  <c r="G7" i="4"/>
  <c r="H7" i="4" s="1"/>
  <c r="I7" i="4" s="1"/>
  <c r="J9" i="4" s="1"/>
  <c r="F7" i="4"/>
  <c r="G6" i="4"/>
  <c r="H6" i="4" s="1"/>
  <c r="I6" i="4" s="1"/>
  <c r="F6" i="4"/>
  <c r="E6" i="4"/>
  <c r="L5" i="4"/>
  <c r="K5" i="4"/>
  <c r="J5" i="4"/>
  <c r="G5" i="4"/>
  <c r="H5" i="4" s="1"/>
  <c r="I5" i="4" s="1"/>
  <c r="F5" i="4"/>
  <c r="E5" i="4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F5" i="3"/>
  <c r="E5" i="3"/>
  <c r="L18" i="3" s="1"/>
  <c r="H14" i="2"/>
  <c r="F14" i="2"/>
  <c r="E14" i="2"/>
  <c r="M14" i="2" s="1"/>
  <c r="H13" i="2"/>
  <c r="F13" i="2"/>
  <c r="E13" i="2"/>
  <c r="M13" i="2" s="1"/>
  <c r="H12" i="2"/>
  <c r="F12" i="2"/>
  <c r="E12" i="2"/>
  <c r="M12" i="2" s="1"/>
  <c r="H11" i="2"/>
  <c r="F11" i="2"/>
  <c r="E11" i="2"/>
  <c r="M11" i="2" s="1"/>
  <c r="H10" i="2"/>
  <c r="F10" i="2"/>
  <c r="E10" i="2"/>
  <c r="M10" i="2" s="1"/>
  <c r="H9" i="2"/>
  <c r="F9" i="2"/>
  <c r="E9" i="2"/>
  <c r="M9" i="2" s="1"/>
  <c r="H8" i="2"/>
  <c r="F8" i="2"/>
  <c r="E8" i="2"/>
  <c r="M8" i="2" s="1"/>
  <c r="H7" i="2"/>
  <c r="F7" i="2"/>
  <c r="E7" i="2"/>
  <c r="M7" i="2" s="1"/>
  <c r="L6" i="2"/>
  <c r="K6" i="2"/>
  <c r="J6" i="2"/>
  <c r="H6" i="2"/>
  <c r="F6" i="2"/>
  <c r="E6" i="2"/>
  <c r="M6" i="2" s="1"/>
  <c r="L5" i="2"/>
  <c r="K5" i="2"/>
  <c r="J5" i="2"/>
  <c r="I5" i="2"/>
  <c r="H5" i="2"/>
  <c r="F5" i="2"/>
  <c r="E5" i="2"/>
  <c r="M5" i="2" s="1"/>
  <c r="F23" i="1"/>
  <c r="L14" i="1"/>
  <c r="K14" i="1"/>
  <c r="I14" i="1"/>
  <c r="M14" i="1" s="1"/>
  <c r="L13" i="1"/>
  <c r="K13" i="1"/>
  <c r="J13" i="1"/>
  <c r="I13" i="1"/>
  <c r="M13" i="1" s="1"/>
  <c r="H13" i="1"/>
  <c r="L12" i="1"/>
  <c r="K12" i="1"/>
  <c r="I12" i="1"/>
  <c r="J12" i="1" s="1"/>
  <c r="H12" i="1"/>
  <c r="L11" i="1"/>
  <c r="K11" i="1"/>
  <c r="J11" i="1"/>
  <c r="I11" i="1"/>
  <c r="M11" i="1" s="1"/>
  <c r="H11" i="1"/>
  <c r="L10" i="1"/>
  <c r="K10" i="1"/>
  <c r="J10" i="1"/>
  <c r="I10" i="1"/>
  <c r="H10" i="1"/>
  <c r="L9" i="1"/>
  <c r="K9" i="1"/>
  <c r="I9" i="1"/>
  <c r="M9" i="1" s="1"/>
  <c r="H9" i="1"/>
  <c r="L8" i="1"/>
  <c r="K8" i="1"/>
  <c r="J8" i="1"/>
  <c r="I8" i="1"/>
  <c r="M8" i="1" s="1"/>
  <c r="H8" i="1"/>
  <c r="L7" i="1"/>
  <c r="K7" i="1"/>
  <c r="I7" i="1"/>
  <c r="J7" i="1" s="1"/>
  <c r="H7" i="1"/>
  <c r="L6" i="1"/>
  <c r="K6" i="1"/>
  <c r="J6" i="1"/>
  <c r="I6" i="1"/>
  <c r="M6" i="1" s="1"/>
  <c r="H6" i="1"/>
  <c r="P5" i="1"/>
  <c r="O5" i="1"/>
  <c r="L5" i="1"/>
  <c r="K5" i="1"/>
  <c r="J5" i="1"/>
  <c r="I5" i="1"/>
  <c r="M5" i="1" s="1"/>
  <c r="H5" i="1"/>
  <c r="Q4" i="1"/>
  <c r="X14" i="20"/>
  <c r="S9" i="20"/>
  <c r="W10" i="20"/>
  <c r="W9" i="20"/>
  <c r="Z9" i="20"/>
  <c r="S14" i="20"/>
  <c r="Q14" i="20"/>
  <c r="N4" i="20"/>
  <c r="V5" i="20"/>
  <c r="O4" i="20"/>
  <c r="Y10" i="20"/>
  <c r="V14" i="20"/>
  <c r="X10" i="20"/>
  <c r="O14" i="20"/>
  <c r="Y13" i="20"/>
  <c r="Q10" i="20"/>
  <c r="R5" i="20"/>
  <c r="P14" i="20"/>
  <c r="V9" i="20"/>
  <c r="V4" i="20"/>
  <c r="U10" i="20"/>
  <c r="W14" i="20"/>
  <c r="X13" i="20"/>
  <c r="S5" i="20"/>
  <c r="Q13" i="20"/>
  <c r="Q4" i="20"/>
  <c r="U13" i="20"/>
  <c r="V10" i="20"/>
  <c r="P4" i="20"/>
  <c r="Z10" i="20"/>
  <c r="P9" i="20"/>
  <c r="Q5" i="20"/>
  <c r="S10" i="20"/>
  <c r="X5" i="20"/>
  <c r="X9" i="20"/>
  <c r="Y9" i="20"/>
  <c r="N5" i="20"/>
  <c r="U9" i="20"/>
  <c r="S13" i="20"/>
  <c r="V13" i="20"/>
  <c r="X4" i="20"/>
  <c r="U14" i="20"/>
  <c r="R9" i="20"/>
  <c r="T9" i="20"/>
  <c r="W5" i="20"/>
  <c r="T4" i="20"/>
  <c r="T13" i="20"/>
  <c r="U5" i="20"/>
  <c r="Q9" i="20"/>
  <c r="O5" i="20"/>
  <c r="O13" i="20"/>
  <c r="S4" i="20"/>
  <c r="T14" i="20"/>
  <c r="U4" i="20"/>
  <c r="W13" i="20"/>
  <c r="R4" i="20"/>
  <c r="P10" i="20"/>
  <c r="P13" i="20"/>
  <c r="W4" i="20"/>
  <c r="T10" i="20"/>
  <c r="P5" i="20"/>
  <c r="R13" i="20"/>
  <c r="R14" i="20"/>
  <c r="Y14" i="20"/>
  <c r="R10" i="20"/>
  <c r="T5" i="20"/>
  <c r="G19" i="50" l="1"/>
  <c r="G21" i="50"/>
  <c r="F14" i="50"/>
  <c r="H18" i="6"/>
  <c r="K6" i="48"/>
  <c r="K5" i="48"/>
  <c r="L12" i="48"/>
  <c r="J13" i="48"/>
  <c r="L15" i="48"/>
  <c r="L13" i="48"/>
  <c r="J10" i="48"/>
  <c r="J12" i="48"/>
  <c r="L20" i="48" s="1"/>
  <c r="L7" i="48"/>
  <c r="L9" i="48"/>
  <c r="L5" i="48"/>
  <c r="J9" i="48"/>
  <c r="J14" i="48"/>
  <c r="L8" i="48"/>
  <c r="K14" i="48"/>
  <c r="L11" i="48"/>
  <c r="J6" i="48"/>
  <c r="J8" i="48"/>
  <c r="L19" i="48" s="1"/>
  <c r="I21" i="6"/>
  <c r="H21" i="8"/>
  <c r="G18" i="8"/>
  <c r="D38" i="43"/>
  <c r="J7" i="48"/>
  <c r="J11" i="48"/>
  <c r="L17" i="48" s="1"/>
  <c r="J15" i="48"/>
  <c r="M7" i="1"/>
  <c r="O6" i="1"/>
  <c r="J9" i="1"/>
  <c r="N6" i="1" s="1"/>
  <c r="M12" i="1"/>
  <c r="J14" i="1"/>
  <c r="J7" i="5"/>
  <c r="N20" i="5" s="1"/>
  <c r="J11" i="5"/>
  <c r="O4" i="5" s="1"/>
  <c r="J15" i="5"/>
  <c r="F5" i="6"/>
  <c r="H19" i="6"/>
  <c r="J6" i="8"/>
  <c r="D41" i="42"/>
  <c r="P6" i="1"/>
  <c r="N5" i="1" l="1"/>
  <c r="G20" i="5"/>
</calcChain>
</file>

<file path=xl/sharedStrings.xml><?xml version="1.0" encoding="utf-8"?>
<sst xmlns="http://schemas.openxmlformats.org/spreadsheetml/2006/main" count="3030" uniqueCount="1206">
  <si>
    <t xml:space="preserve">Assignment -1 </t>
  </si>
  <si>
    <t xml:space="preserve">Use of Formulas Sum, Average, If, Count, Counta, Countif &amp; Sumif 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</si>
  <si>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</si>
  <si>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</si>
  <si>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</si>
  <si>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</si>
  <si>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</si>
  <si>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</si>
  <si>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</si>
  <si>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</si>
  <si>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</si>
  <si>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 xml:space="preserve">Grade </t>
  </si>
  <si>
    <t>MANOJ</t>
  </si>
  <si>
    <t>ASHOK</t>
  </si>
  <si>
    <t xml:space="preserve">RAM </t>
  </si>
  <si>
    <t>RAJESH</t>
  </si>
  <si>
    <t xml:space="preserve">RANJANA </t>
  </si>
  <si>
    <t>POOJA</t>
  </si>
  <si>
    <t>E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</si>
  <si>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</si>
  <si>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</si>
  <si>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</si>
  <si>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</si>
  <si>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</si>
  <si>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</si>
  <si>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</si>
  <si>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>Use of Countif</t>
  </si>
  <si>
    <t xml:space="preserve">Q.4 Student Ashok and Manoj Total Number and Average </t>
  </si>
  <si>
    <t>Use of Sumif</t>
  </si>
  <si>
    <t xml:space="preserve">Q.5 Count how many Students </t>
  </si>
  <si>
    <t>Use of Counta</t>
  </si>
  <si>
    <t xml:space="preserve">Q.6 How Many Student Hindi &amp; English Subject Number Grater Then &gt; 20 and &lt;15 </t>
  </si>
  <si>
    <t>&gt;20</t>
  </si>
  <si>
    <t>&lt;20</t>
  </si>
  <si>
    <t>Use of Formulas - Product, If, Counta, Countif, Sumif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</si>
  <si>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</si>
  <si>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</si>
  <si>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</si>
  <si>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</si>
  <si>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</si>
  <si>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</si>
  <si>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</si>
  <si>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</si>
  <si>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</si>
  <si>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</si>
  <si>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>TV</t>
  </si>
  <si>
    <t>COMPUTER</t>
  </si>
  <si>
    <t>KEYBOARD</t>
  </si>
  <si>
    <t>MOUSE</t>
  </si>
  <si>
    <t>PRINTER</t>
  </si>
  <si>
    <t xml:space="preserve">Q.1 Using of Product Fomula for Calculate Amount = Qty*Rate </t>
  </si>
  <si>
    <t xml:space="preserve">Q.2 How Many Items in a List </t>
  </si>
  <si>
    <t xml:space="preserve">Q.3 How Many Items qty Greate Then &gt; 20 and Less Then &lt;20 </t>
  </si>
  <si>
    <t xml:space="preserve">Q.4 Calculate Item Computer Qty, Rate and Amount using Sumif Formula </t>
  </si>
  <si>
    <t xml:space="preserve">Q.5 If Items Amount is Greater &gt; 500000, Then Items "Expensive" otherwise "Lets Buy it". </t>
  </si>
  <si>
    <t xml:space="preserve">Assignment -3 </t>
  </si>
  <si>
    <t>Use of Formulas - Sum, NestedIf, Counta, Countif, Sumif, Vlookup</t>
  </si>
  <si>
    <t>SUBJECT</t>
  </si>
  <si>
    <t>1ST</t>
  </si>
  <si>
    <t>2ND</t>
  </si>
  <si>
    <t>3RD</t>
  </si>
  <si>
    <t>TOTAL</t>
  </si>
  <si>
    <t xml:space="preserve">AVERAGE 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</si>
  <si>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</si>
  <si>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</si>
  <si>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</si>
  <si>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</si>
  <si>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</si>
  <si>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</si>
  <si>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</si>
  <si>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</si>
  <si>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 xml:space="preserve">BOTANY </t>
  </si>
  <si>
    <t xml:space="preserve">Q.1 HOW MANY SUBJECT ? </t>
  </si>
  <si>
    <t xml:space="preserve">Q.2 HOW MANY SUBJECT 1 PAPER GREATER THAN 20 ? </t>
  </si>
  <si>
    <t xml:space="preserve">Q.3 SUBJECT HINDI, MATH &amp; ENGLISH TOTAL NO. &amp; GRADE </t>
  </si>
  <si>
    <t>Use of Vlookup</t>
  </si>
  <si>
    <t>Total No.</t>
  </si>
  <si>
    <t>Grade</t>
  </si>
  <si>
    <t>Q.4 IF AVE. GREATHER THAN 20 THEN "A", IF AVE. GREATEHR THAN 15 AVE. "B" OTHERWISE "C"</t>
  </si>
  <si>
    <t xml:space="preserve">Q.5 SUBJECT PHYSICS, MATHS &amp; ENGLISH TOTAL /AVERAGE </t>
  </si>
  <si>
    <t>Assignment -4  (Salary Sheet)</t>
  </si>
  <si>
    <t>NAME</t>
  </si>
  <si>
    <t>DEPARTMENT</t>
  </si>
  <si>
    <t>POST</t>
  </si>
  <si>
    <t xml:space="preserve">BASIC </t>
  </si>
  <si>
    <t>DA 2.5%</t>
  </si>
  <si>
    <t>HRA 3.5%</t>
  </si>
  <si>
    <t>PF 1.5%</t>
  </si>
  <si>
    <t>FINANCE</t>
  </si>
  <si>
    <t>ELECTRICAL</t>
  </si>
  <si>
    <t>RAM</t>
  </si>
  <si>
    <t>MANAGER</t>
  </si>
  <si>
    <t>SHYAM</t>
  </si>
  <si>
    <t>SUPERVISOR</t>
  </si>
  <si>
    <t>PION</t>
  </si>
  <si>
    <t>GUARD</t>
  </si>
  <si>
    <t>RAHUL</t>
  </si>
  <si>
    <t>CASHER</t>
  </si>
  <si>
    <t>RAKESH</t>
  </si>
  <si>
    <t>ACCOUNTANT</t>
  </si>
  <si>
    <t>ASHISH</t>
  </si>
  <si>
    <t xml:space="preserve">MANISH </t>
  </si>
  <si>
    <t xml:space="preserve">Q.1 HOW MANY EMPLOYEE IN COMPUTER, FINANCE, ELECTRICAL DEPARTMENT </t>
  </si>
  <si>
    <t xml:space="preserve">Q.2 HOW MANY BASIC SALARY IN COMPUTER DFPARTMENT ONLY? </t>
  </si>
  <si>
    <t>Q.3 MANOJ, ASHISH POST &amp; GRADE</t>
  </si>
  <si>
    <t>Q.4 IF TOTAL SALALRY IS GREATER THEN 20000 THEN "A", IF TOTAL SALARY GREATER THEN 10000 THEN "B", OTHERWISE "C"</t>
  </si>
  <si>
    <t xml:space="preserve">Q.5 HOW MANY EMPLOYEE IS MANAGER &amp; GUARD? </t>
  </si>
  <si>
    <t>Assignment -5  (Sales Report)</t>
  </si>
  <si>
    <t>Use of Formulas - Sum, If, Counta, Countif, Sumif, Vlookup, Lookup</t>
  </si>
  <si>
    <t>SALESMAN</t>
  </si>
  <si>
    <t xml:space="preserve">JAN 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</si>
  <si>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</si>
  <si>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</si>
  <si>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</si>
  <si>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</si>
  <si>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</si>
  <si>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</si>
  <si>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</si>
  <si>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</si>
  <si>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</si>
  <si>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</si>
  <si>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</si>
  <si>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</si>
  <si>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</si>
  <si>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</si>
  <si>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</t>
  </si>
  <si>
    <t>Use of Counta and Vlookup</t>
  </si>
  <si>
    <t>Q.2 If Sales Greater Than Target Then Target Achived otherwise Not Achived</t>
  </si>
  <si>
    <t>Use of If Function</t>
  </si>
  <si>
    <t>Q.3 Rahul Pooja &amp; Ashok Targest &amp; result?</t>
  </si>
  <si>
    <t>Q.4 How Many Salesman Achived Target.</t>
  </si>
  <si>
    <t>Q.5 Which Sales Man Jan Sales 2000, &amp; Feb Sales is 2500?</t>
  </si>
  <si>
    <t>Use of Lookup Function</t>
  </si>
  <si>
    <t>Assignment -7  (Calculate Date of Birth)</t>
  </si>
  <si>
    <t>Use of Formulas -  Counta, Countif, Sumif, if &amp; Datedif</t>
  </si>
  <si>
    <t>DATE OF BIRTH</t>
  </si>
  <si>
    <t xml:space="preserve">DAY </t>
  </si>
  <si>
    <t>MONTH</t>
  </si>
  <si>
    <t>YEAR</t>
  </si>
  <si>
    <t>?</t>
  </si>
  <si>
    <t>Q.1 HOW MANY STUDENT?</t>
  </si>
  <si>
    <t xml:space="preserve">Q.2 STUDENT SURENDRA IS HOW MANY YEAR OLD? </t>
  </si>
  <si>
    <t>Q.3 HOW MANY STUDENT AGE GREATER THEN 20 YEARS?</t>
  </si>
  <si>
    <t>Q.4 IF STUDENT AGE IS GREATHER THEN 20 THEN STUDENT ADULT / CHILD?</t>
  </si>
  <si>
    <t>Q.5 HOW MANY STUDENT AGE IS &gt;= 25 YEARS?</t>
  </si>
  <si>
    <t>Use of Formulas -  Counta, Countif, Sumif, Hlookup, Conditional Formatting</t>
  </si>
  <si>
    <t>Items</t>
  </si>
  <si>
    <t>Date</t>
  </si>
  <si>
    <t>Cost</t>
  </si>
  <si>
    <t>countif</t>
  </si>
  <si>
    <t>BRAKES</t>
  </si>
  <si>
    <t>TYRES</t>
  </si>
  <si>
    <t>SERVICE</t>
  </si>
  <si>
    <t>WINDOW</t>
  </si>
  <si>
    <t>CLUTCH</t>
  </si>
  <si>
    <t>countifs(and)</t>
  </si>
  <si>
    <t>Q.1 HOW MANY ITEMS ?</t>
  </si>
  <si>
    <t>Q.2 HOW MANY BRAKE, WINDOW &amp; TYRES HAVE BEEN BOUGHTS?</t>
  </si>
  <si>
    <t>Q.3 HOW MANY ITEMS COST IS &gt;1000 &amp; BELOW &gt; = 1000?</t>
  </si>
  <si>
    <t>Q.4 HIGHLIGHT TYRES ITESM &amp; 500 BETWEEN 2000 COST.</t>
  </si>
  <si>
    <t>Use of Conditional F</t>
  </si>
  <si>
    <t>Q.5 ITEMS COLOUMN IS 15, 18 &amp; 20 ITEMS NAME?</t>
  </si>
  <si>
    <t>Use of Hlookup</t>
  </si>
  <si>
    <t xml:space="preserve">Q.6 Total Cost of Window and Brakes Items? </t>
  </si>
  <si>
    <t xml:space="preserve">Assignment -8  </t>
  </si>
  <si>
    <t>Use of Formulas -  Sum, Average, Counta, Countif, Sumif, &amp; If</t>
  </si>
  <si>
    <t xml:space="preserve">Student Name </t>
  </si>
  <si>
    <t>Subject</t>
  </si>
  <si>
    <t>Result</t>
  </si>
  <si>
    <t>Name</t>
  </si>
  <si>
    <t>Maths</t>
  </si>
  <si>
    <t>PERCENTAGE</t>
  </si>
  <si>
    <t>Alan</t>
  </si>
  <si>
    <t>Bob</t>
  </si>
  <si>
    <t>Carol</t>
  </si>
  <si>
    <t>oor</t>
  </si>
  <si>
    <t>David</t>
  </si>
  <si>
    <t>Eric</t>
  </si>
  <si>
    <t>Absent</t>
  </si>
  <si>
    <t>Fred</t>
  </si>
  <si>
    <t>Gail</t>
  </si>
  <si>
    <t>Harry</t>
  </si>
  <si>
    <t>Ian</t>
  </si>
  <si>
    <t>Janice</t>
  </si>
  <si>
    <t xml:space="preserve">Q.1 How Many Student? </t>
  </si>
  <si>
    <t xml:space="preserve">Use Formula Counta </t>
  </si>
  <si>
    <t>Q.2 How Many Student Percentage Greather Then &gt; 50</t>
  </si>
  <si>
    <t>Use Formula Countif</t>
  </si>
  <si>
    <t xml:space="preserve">Q.3 Student Bob and Eric Total Number? </t>
  </si>
  <si>
    <t>Use Formula Sumif</t>
  </si>
  <si>
    <t>Q.4 If Percentage Greater Then &gt;70 Then "Excellent", If Percentage Greater Then &gt;50,"Good", Otherwise "Bed"</t>
  </si>
  <si>
    <t xml:space="preserve">Q.5 How Many Student Good and Bed in a list </t>
  </si>
  <si>
    <t xml:space="preserve">Assignment -9  </t>
  </si>
  <si>
    <t>Use of Formulas -  LOOKUP</t>
  </si>
  <si>
    <t xml:space="preserve">LOOKUP FUNCTION SYNTAX </t>
  </si>
  <si>
    <t>LOOKUP(LOOKUP_value,lookup_vector,[result_vector])</t>
  </si>
  <si>
    <t>Empoyee ID</t>
  </si>
  <si>
    <t>Last Name</t>
  </si>
  <si>
    <t>First Name</t>
  </si>
  <si>
    <t>Pay</t>
  </si>
  <si>
    <t>First N.</t>
  </si>
  <si>
    <t>Last N.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</si>
  <si>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</si>
  <si>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</si>
  <si>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</si>
  <si>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</si>
  <si>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</si>
  <si>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</si>
  <si>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</si>
  <si>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</si>
  <si>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</si>
  <si>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</si>
  <si>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</si>
  <si>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</si>
  <si>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</si>
  <si>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</si>
  <si>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</si>
  <si>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</si>
  <si>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</si>
  <si>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</si>
  <si>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</si>
  <si>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</si>
  <si>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</si>
  <si>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</si>
  <si>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</si>
  <si>
    <t>P</t>
  </si>
  <si>
    <t>Use of Formulas -  Counta, Countif, Sumif, &amp; Vlookup</t>
  </si>
  <si>
    <t>Assignment -10</t>
  </si>
  <si>
    <t>Employee ID</t>
  </si>
  <si>
    <t>Full Name</t>
  </si>
  <si>
    <t>SSN</t>
  </si>
  <si>
    <t>Department</t>
  </si>
  <si>
    <t>Start Date</t>
  </si>
  <si>
    <t>Earnings</t>
  </si>
  <si>
    <t>EMP002</t>
  </si>
  <si>
    <t>EMP003</t>
  </si>
  <si>
    <t>EMP001</t>
  </si>
  <si>
    <t>Faith K. Macias</t>
  </si>
  <si>
    <t>Marketing</t>
  </si>
  <si>
    <t>Lucian Q. Franklin</t>
  </si>
  <si>
    <t>IT/IS</t>
  </si>
  <si>
    <t>Blaze V. Bridges</t>
  </si>
  <si>
    <t>EMP004</t>
  </si>
  <si>
    <t>Denton Q. Dale</t>
  </si>
  <si>
    <t>EMP005</t>
  </si>
  <si>
    <t>Blossom K. Fox</t>
  </si>
  <si>
    <t>Engineering</t>
  </si>
  <si>
    <t>EMP006</t>
  </si>
  <si>
    <t>Kerry V. David</t>
  </si>
  <si>
    <t>Finance</t>
  </si>
  <si>
    <t>EMP007</t>
  </si>
  <si>
    <t>Melanie X. Baker</t>
  </si>
  <si>
    <t>EMP008</t>
  </si>
  <si>
    <t>Adele M. Fulton</t>
  </si>
  <si>
    <t>EMP009</t>
  </si>
  <si>
    <t>Justina O. Jensen</t>
  </si>
  <si>
    <t>EMP010</t>
  </si>
  <si>
    <t>Yoshi J. England</t>
  </si>
  <si>
    <t>EMP011</t>
  </si>
  <si>
    <t>Brooke Y. Mccarty</t>
  </si>
  <si>
    <t>EMP012</t>
  </si>
  <si>
    <t>Kay G. Colon</t>
  </si>
  <si>
    <t>EMP013</t>
  </si>
  <si>
    <t>Callie I. Forbes</t>
  </si>
  <si>
    <t>Human Resources</t>
  </si>
  <si>
    <t>EMP014</t>
  </si>
  <si>
    <t>Zachery O. Mann</t>
  </si>
  <si>
    <t xml:space="preserve">Q.1 How Many Employee in a List ? </t>
  </si>
  <si>
    <t>Use of Formula Counta</t>
  </si>
  <si>
    <t xml:space="preserve">Q.2 How Many Employee work in Finance and Marketing Department? </t>
  </si>
  <si>
    <t>Use of Formula Countif</t>
  </si>
  <si>
    <t xml:space="preserve">Q.3 Employee Blossom K. Fox Department and Earnings? </t>
  </si>
  <si>
    <t xml:space="preserve">Q.4 Employee Blossom K. SSN No.? </t>
  </si>
  <si>
    <t xml:space="preserve">Q.5 How Many Amount Earnings Marketing Department? </t>
  </si>
  <si>
    <t>Assignment -11</t>
  </si>
  <si>
    <t>Use of Formulas -  Match and Vlookup With Match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</si>
  <si>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</si>
  <si>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</si>
  <si>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</si>
  <si>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</si>
  <si>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</si>
  <si>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</si>
  <si>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</si>
  <si>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</si>
  <si>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</si>
  <si>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</si>
  <si>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</si>
  <si>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</si>
  <si>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</si>
  <si>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column number for the size Grande,Tall, Venti?</t>
  </si>
  <si>
    <t xml:space="preserve">Use of Match Formula </t>
  </si>
  <si>
    <t>Grande</t>
  </si>
  <si>
    <t>Use of Match Function</t>
  </si>
  <si>
    <t>Question: What is the price of a Caffe Mocha, size Grande,Tall, Venti?</t>
  </si>
  <si>
    <t xml:space="preserve">Use of Vlookup with Match Formula </t>
  </si>
  <si>
    <t>Assignment -12</t>
  </si>
  <si>
    <t xml:space="preserve">Use of Formulas -  Counta and Vlookup </t>
  </si>
  <si>
    <t>Product Name</t>
  </si>
  <si>
    <t>Jan</t>
  </si>
  <si>
    <t xml:space="preserve">Feb </t>
  </si>
  <si>
    <t>Mar</t>
  </si>
  <si>
    <t>Apr</t>
  </si>
  <si>
    <t>May</t>
  </si>
  <si>
    <t>Jun</t>
  </si>
  <si>
    <t>Jul</t>
  </si>
  <si>
    <t>Aug</t>
  </si>
  <si>
    <t>Total Sales</t>
  </si>
  <si>
    <t>Apples</t>
  </si>
  <si>
    <t>Grapefruit</t>
  </si>
  <si>
    <t>Lemons</t>
  </si>
  <si>
    <t>Lime</t>
  </si>
  <si>
    <t>Pineapples</t>
  </si>
  <si>
    <t>Oranges</t>
  </si>
  <si>
    <t>Peaches</t>
  </si>
  <si>
    <t>Pears</t>
  </si>
  <si>
    <t xml:space="preserve">Q.1 How Many Fruits? </t>
  </si>
  <si>
    <t xml:space="preserve">Q.2 Fruits Lemons and Pineapples sales in Mar and Jul ? </t>
  </si>
  <si>
    <t>Pineapple</t>
  </si>
  <si>
    <t>Assignment -13</t>
  </si>
  <si>
    <t>Create Pivot Table Using Data</t>
  </si>
  <si>
    <t>Sales</t>
  </si>
  <si>
    <t>Country</t>
  </si>
  <si>
    <t>Quarter</t>
  </si>
  <si>
    <t>UK</t>
  </si>
  <si>
    <t>Qtr 3</t>
  </si>
  <si>
    <t>Johnson</t>
  </si>
  <si>
    <t>USA</t>
  </si>
  <si>
    <t>Qtr 4</t>
  </si>
  <si>
    <t>Qtr 2</t>
  </si>
  <si>
    <t>Jones</t>
  </si>
  <si>
    <t>Brown</t>
  </si>
  <si>
    <t>Qtr 1</t>
  </si>
  <si>
    <t>Assignment -14</t>
  </si>
  <si>
    <t>Use of Formulas -  Countif, Countifs and Sumifs</t>
  </si>
  <si>
    <t>Season</t>
  </si>
  <si>
    <t>Year</t>
  </si>
  <si>
    <t>Type</t>
  </si>
  <si>
    <t>State</t>
  </si>
  <si>
    <t>Sales $</t>
  </si>
  <si>
    <t>Fall</t>
  </si>
  <si>
    <t>Amber Ale</t>
  </si>
  <si>
    <t>California</t>
  </si>
  <si>
    <t>Hefeweizen</t>
  </si>
  <si>
    <t>Pale Ale</t>
  </si>
  <si>
    <t>Pilsner</t>
  </si>
  <si>
    <t>Porter</t>
  </si>
  <si>
    <t>Stout</t>
  </si>
  <si>
    <t>Oregon</t>
  </si>
  <si>
    <t>Washington</t>
  </si>
  <si>
    <t>Spring</t>
  </si>
  <si>
    <t xml:space="preserve">Q.1 How Many Spring and Fall Season? </t>
  </si>
  <si>
    <t>Using Formula Countif</t>
  </si>
  <si>
    <t xml:space="preserve">Q.2 How Many Fall Season in California and Washington? </t>
  </si>
  <si>
    <t>Using Formula Countifs</t>
  </si>
  <si>
    <t xml:space="preserve">Q.3 Total Sales if Spring Season in Washngton and California? </t>
  </si>
  <si>
    <t>using Formula Sumifs</t>
  </si>
  <si>
    <t xml:space="preserve">Q.4 How Many Spring Season in Washington only? </t>
  </si>
  <si>
    <t xml:space="preserve">Q.5 Create Pivot Table Using Data? </t>
  </si>
  <si>
    <t>Assignment -15</t>
  </si>
  <si>
    <t xml:space="preserve">Create Pivot Table Using Data Separate Fruit and Vegetables </t>
  </si>
  <si>
    <t>Order ID</t>
  </si>
  <si>
    <t>Product</t>
  </si>
  <si>
    <t>Category</t>
  </si>
  <si>
    <t>Amount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</si>
  <si>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</si>
  <si>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</si>
  <si>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</si>
  <si>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</si>
  <si>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</si>
  <si>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</si>
  <si>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</si>
  <si>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</si>
  <si>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</si>
  <si>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</si>
  <si>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</si>
  <si>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</si>
  <si>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</si>
  <si>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</si>
  <si>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</si>
  <si>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</si>
  <si>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fruit</t>
  </si>
  <si>
    <t>veg</t>
  </si>
  <si>
    <t>banana</t>
  </si>
  <si>
    <t xml:space="preserve">Q.1 How Many Fruits and Vegetables Items in a List? </t>
  </si>
  <si>
    <t xml:space="preserve">Q.2 Total Apple and Banana Amount? </t>
  </si>
  <si>
    <t>Use of Formula Sumif</t>
  </si>
  <si>
    <t>Q.3 How Many Product in a list?</t>
  </si>
  <si>
    <t xml:space="preserve">Q.4 How Many Apple and Banana Use in Canada &amp; United Kingdom? </t>
  </si>
  <si>
    <t>Use of Countifs</t>
  </si>
  <si>
    <t xml:space="preserve">Q.5 Apple and Banana Sales in United States ? </t>
  </si>
  <si>
    <t>Use of Sumifs</t>
  </si>
  <si>
    <t>Assignment -16</t>
  </si>
  <si>
    <t>Use of Formulas -  Countif, Countifs and Sumifs and Vlookup</t>
  </si>
  <si>
    <t>Gender</t>
  </si>
  <si>
    <t>Score</t>
  </si>
  <si>
    <t>Richard</t>
  </si>
  <si>
    <t>Male</t>
  </si>
  <si>
    <t>Jennifer</t>
  </si>
  <si>
    <t>Female</t>
  </si>
  <si>
    <t>James</t>
  </si>
  <si>
    <t>Lisa</t>
  </si>
  <si>
    <t>Sharon</t>
  </si>
  <si>
    <t>Elizabeth</t>
  </si>
  <si>
    <t>Mark</t>
  </si>
  <si>
    <t>Susan</t>
  </si>
  <si>
    <t xml:space="preserve">Q.1 How Many Male and Female Candidate in a List? </t>
  </si>
  <si>
    <t xml:space="preserve">Q.2 How Many Male Employee in United States? </t>
  </si>
  <si>
    <t>Use of Formula Countifs</t>
  </si>
  <si>
    <t xml:space="preserve">Q.3 Lisa and John Which Country Belong? </t>
  </si>
  <si>
    <t xml:space="preserve">Q.4 United States Male and Female Candidate Scores?  </t>
  </si>
  <si>
    <t>Use if Formula Sumifs</t>
  </si>
  <si>
    <t xml:space="preserve">Q.5 How Many Male Candidate Belong Country United State Total Score? </t>
  </si>
  <si>
    <t>Use of Formula Sumifs</t>
  </si>
  <si>
    <t>Assignment -17</t>
  </si>
  <si>
    <t>Use of Formulas - Vlookup</t>
  </si>
  <si>
    <t>ID</t>
  </si>
  <si>
    <t>Brand</t>
  </si>
  <si>
    <t xml:space="preserve">Brand </t>
  </si>
  <si>
    <t xml:space="preserve">Product </t>
  </si>
  <si>
    <t>Dell</t>
  </si>
  <si>
    <t>Computer</t>
  </si>
  <si>
    <t>Logitech</t>
  </si>
  <si>
    <t>Keyboard</t>
  </si>
  <si>
    <t>Mouse</t>
  </si>
  <si>
    <t>HP</t>
  </si>
  <si>
    <t>Printer</t>
  </si>
  <si>
    <t>Use of Vlookup Function ?</t>
  </si>
  <si>
    <t>Assignment -18</t>
  </si>
  <si>
    <t>Use of Formulas - Hlookup</t>
  </si>
  <si>
    <t>Assignment -19</t>
  </si>
  <si>
    <t>Use of Formulas - Index with Match</t>
  </si>
  <si>
    <t>Region</t>
  </si>
  <si>
    <t>Feb</t>
  </si>
  <si>
    <t>North</t>
  </si>
  <si>
    <t>South</t>
  </si>
  <si>
    <t>East</t>
  </si>
  <si>
    <t>West</t>
  </si>
  <si>
    <t>Assignment -20</t>
  </si>
  <si>
    <t xml:space="preserve">Use of Advance Filter </t>
  </si>
  <si>
    <t>Order Id</t>
  </si>
  <si>
    <t>Order Date</t>
  </si>
  <si>
    <t>Employee Name</t>
  </si>
  <si>
    <t>Reporting Manager</t>
  </si>
  <si>
    <t>Customer Name</t>
  </si>
  <si>
    <t>Customer Contact</t>
  </si>
  <si>
    <t>Customer Email</t>
  </si>
  <si>
    <t>Product Price</t>
  </si>
  <si>
    <t>Product Qty</t>
  </si>
  <si>
    <t>Order Total</t>
  </si>
  <si>
    <t>Chloe Jones</t>
  </si>
  <si>
    <t>Abhay Gaurav</t>
  </si>
  <si>
    <t>Aakash Harit</t>
  </si>
  <si>
    <t>919-555-8658</t>
  </si>
  <si>
    <t>lo@email.com</t>
  </si>
  <si>
    <t>Nisha Kumari</t>
  </si>
  <si>
    <t>Brett Newkirk</t>
  </si>
  <si>
    <t>919-555-7653</t>
  </si>
  <si>
    <t>newkb@email.com</t>
  </si>
  <si>
    <t>Tracey Beckham</t>
  </si>
  <si>
    <t>919-555-2314</t>
  </si>
  <si>
    <t>beck@email.com</t>
  </si>
  <si>
    <t>Nishu Kumari</t>
  </si>
  <si>
    <t>Lucinda George</t>
  </si>
  <si>
    <t>919-555-4534</t>
  </si>
  <si>
    <t>lugeo@email.com</t>
  </si>
  <si>
    <t>Jerrod Smith</t>
  </si>
  <si>
    <t>919-555-4564</t>
  </si>
  <si>
    <t>texj@email.com</t>
  </si>
  <si>
    <t>Grapes</t>
  </si>
  <si>
    <t>Vishal Kumar</t>
  </si>
  <si>
    <t>Divya Sharma</t>
  </si>
  <si>
    <t>Assignment -21</t>
  </si>
  <si>
    <t>Use of Formulas - Index + Match</t>
  </si>
  <si>
    <t>Emp Name</t>
  </si>
  <si>
    <t>Salary</t>
  </si>
  <si>
    <t>Emp ID</t>
  </si>
  <si>
    <t>Raju</t>
  </si>
  <si>
    <t>Prd001</t>
  </si>
  <si>
    <t>Ramesh</t>
  </si>
  <si>
    <t>Operations</t>
  </si>
  <si>
    <t>Prd002</t>
  </si>
  <si>
    <t>Ramila</t>
  </si>
  <si>
    <t>Prd003</t>
  </si>
  <si>
    <t>Rajeshwari</t>
  </si>
  <si>
    <t>HR</t>
  </si>
  <si>
    <t>Prd004</t>
  </si>
  <si>
    <t>Karan</t>
  </si>
  <si>
    <t>Prd005</t>
  </si>
  <si>
    <t>Rohith</t>
  </si>
  <si>
    <t>IT</t>
  </si>
  <si>
    <t>Prd006</t>
  </si>
  <si>
    <t>Jacob</t>
  </si>
  <si>
    <t>Prd007</t>
  </si>
  <si>
    <t>Fleming</t>
  </si>
  <si>
    <t>Prd008</t>
  </si>
  <si>
    <t>Navya</t>
  </si>
  <si>
    <t>Prd009</t>
  </si>
  <si>
    <t>Kavya</t>
  </si>
  <si>
    <t>Prd010</t>
  </si>
  <si>
    <t>Santosh</t>
  </si>
  <si>
    <t>Prd011</t>
  </si>
  <si>
    <t>Shankar</t>
  </si>
  <si>
    <t>Prd012</t>
  </si>
  <si>
    <t>Rajesh</t>
  </si>
  <si>
    <t>Prd013</t>
  </si>
  <si>
    <t>Mahesh</t>
  </si>
  <si>
    <t>Prd014</t>
  </si>
  <si>
    <t>Hemaraj</t>
  </si>
  <si>
    <t>Prd015</t>
  </si>
  <si>
    <t>Nagaraj</t>
  </si>
  <si>
    <t>Prd016</t>
  </si>
  <si>
    <t>Johson</t>
  </si>
  <si>
    <t>Prd017</t>
  </si>
  <si>
    <t>Prd018</t>
  </si>
  <si>
    <t>Anderson</t>
  </si>
  <si>
    <t>Prd019</t>
  </si>
  <si>
    <t>Prd020</t>
  </si>
  <si>
    <t xml:space="preserve">Use of Formulas - Lookup </t>
  </si>
  <si>
    <t>Assignment -22</t>
  </si>
  <si>
    <t xml:space="preserve">Q.1 How Many Employee in Work HR, IT, Marketing Department ? </t>
  </si>
  <si>
    <t xml:space="preserve">Q.2 Employee Santosh Salary? </t>
  </si>
  <si>
    <t xml:space="preserve">Q.3 IT &amp; Marketing Department Total Salary? </t>
  </si>
  <si>
    <t>Assignment -23</t>
  </si>
  <si>
    <t>Use of Formulas - AND</t>
  </si>
  <si>
    <t>MATHS</t>
  </si>
  <si>
    <t>BIOLOGY</t>
  </si>
  <si>
    <t>PASSED THE EXAM 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</si>
  <si>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</si>
  <si>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</si>
  <si>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</si>
  <si>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</si>
  <si>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</si>
  <si>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</si>
  <si>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</si>
  <si>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</si>
  <si>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</si>
  <si>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</si>
  <si>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IN THIS EXAMPLE, IF STUDENT PASSES ALL THE SUBJECT, THEN HE HAS PASSED THE EXAM</t>
  </si>
  <si>
    <t>Assignment -24</t>
  </si>
  <si>
    <t>Use of Formulas - Averageif</t>
  </si>
  <si>
    <t>Units sold</t>
  </si>
  <si>
    <t>Student</t>
  </si>
  <si>
    <t>Semester</t>
  </si>
  <si>
    <t>A</t>
  </si>
  <si>
    <t>second</t>
  </si>
  <si>
    <t>D</t>
  </si>
  <si>
    <t>gary</t>
  </si>
  <si>
    <t>Third</t>
  </si>
  <si>
    <t>Richa</t>
  </si>
  <si>
    <t>B</t>
  </si>
  <si>
    <t>Hari</t>
  </si>
  <si>
    <t>C</t>
  </si>
  <si>
    <t>Tom</t>
  </si>
  <si>
    <t>Will</t>
  </si>
  <si>
    <t>F</t>
  </si>
  <si>
    <t>Average semester score</t>
  </si>
  <si>
    <t>Second</t>
  </si>
  <si>
    <t>Average of B</t>
  </si>
  <si>
    <t>Average of D</t>
  </si>
  <si>
    <t>Zone</t>
  </si>
  <si>
    <t>City</t>
  </si>
  <si>
    <t>Chennai</t>
  </si>
  <si>
    <t xml:space="preserve">East </t>
  </si>
  <si>
    <t>Patna</t>
  </si>
  <si>
    <t>Delhi</t>
  </si>
  <si>
    <t>Kanpur</t>
  </si>
  <si>
    <t>Gandhinagar</t>
  </si>
  <si>
    <t>Hubli</t>
  </si>
  <si>
    <t>Manglore</t>
  </si>
  <si>
    <t>Chandigarh</t>
  </si>
  <si>
    <t>Pune</t>
  </si>
  <si>
    <t>south</t>
  </si>
  <si>
    <t>Hyderabad</t>
  </si>
  <si>
    <t>Meerut</t>
  </si>
  <si>
    <t>Nagpur</t>
  </si>
  <si>
    <t>Average of West zone</t>
  </si>
  <si>
    <t>Avg of Units Sold above 250</t>
  </si>
  <si>
    <t>Avg of Units Sold below 100</t>
  </si>
  <si>
    <t>Assignment -25</t>
  </si>
  <si>
    <t xml:space="preserve">Use of Developer Tab -Draw Check Box </t>
  </si>
  <si>
    <t>Tasks</t>
  </si>
  <si>
    <t>Completion</t>
  </si>
  <si>
    <t>Task</t>
  </si>
  <si>
    <t>Status</t>
  </si>
  <si>
    <t>Book flight tickets</t>
  </si>
  <si>
    <t>Clean the house</t>
  </si>
  <si>
    <t>Book Hotel</t>
  </si>
  <si>
    <t>Prepare Guest List</t>
  </si>
  <si>
    <t>Book a table in Restaurant</t>
  </si>
  <si>
    <t>Plan Activities</t>
  </si>
  <si>
    <t>Book Return Flight Tickets</t>
  </si>
  <si>
    <t>Plan Menu for Food</t>
  </si>
  <si>
    <t>Plan Drinks</t>
  </si>
  <si>
    <t>Decorate Home</t>
  </si>
  <si>
    <t>Make Bed After Waking Up</t>
  </si>
  <si>
    <t>Invite Friends</t>
  </si>
  <si>
    <t>Make Coffee</t>
  </si>
  <si>
    <t>Water Plants</t>
  </si>
  <si>
    <t>Feed the Cat</t>
  </si>
  <si>
    <t>Read Mail</t>
  </si>
  <si>
    <t>Do Laundry</t>
  </si>
  <si>
    <t>Assignment -26</t>
  </si>
  <si>
    <t>Use of If and Vlookup -Compare List 1 to List 2</t>
  </si>
  <si>
    <t>List 1</t>
  </si>
  <si>
    <t>List 2</t>
  </si>
  <si>
    <t>Raj</t>
  </si>
  <si>
    <t>Ankita</t>
  </si>
  <si>
    <t>Rohit</t>
  </si>
  <si>
    <t>Kajal</t>
  </si>
  <si>
    <t>Abhay</t>
  </si>
  <si>
    <t>Rohan</t>
  </si>
  <si>
    <t>Akshay</t>
  </si>
  <si>
    <t>Puneet</t>
  </si>
  <si>
    <t>IF(A9=B9,"Matching","Not Matching")</t>
  </si>
  <si>
    <t>VLOOKUP(F12,E5:E12,1,0)</t>
  </si>
  <si>
    <t>Color List-1</t>
  </si>
  <si>
    <t>Color List-2</t>
  </si>
  <si>
    <t>Red</t>
  </si>
  <si>
    <t>Yellow</t>
  </si>
  <si>
    <t>Green</t>
  </si>
  <si>
    <t>Grey</t>
  </si>
  <si>
    <t>Blue</t>
  </si>
  <si>
    <t>White</t>
  </si>
  <si>
    <t>Black</t>
  </si>
  <si>
    <t>VLOOKUP(A17,E17:E22,1,FALSE)</t>
  </si>
  <si>
    <t>Assignment -27</t>
  </si>
  <si>
    <t xml:space="preserve">Use of Concatenate </t>
  </si>
  <si>
    <t>D21</t>
  </si>
  <si>
    <t>Vishal</t>
  </si>
  <si>
    <t>Mohan</t>
  </si>
  <si>
    <t>D22</t>
  </si>
  <si>
    <t>Mathew</t>
  </si>
  <si>
    <t>D23</t>
  </si>
  <si>
    <t>Jamemah</t>
  </si>
  <si>
    <t>Powel</t>
  </si>
  <si>
    <t>D24</t>
  </si>
  <si>
    <t>Arundhati</t>
  </si>
  <si>
    <t>Swaminathan</t>
  </si>
  <si>
    <t>D25</t>
  </si>
  <si>
    <t>Potter</t>
  </si>
  <si>
    <t>D26</t>
  </si>
  <si>
    <t>Roger</t>
  </si>
  <si>
    <t>=</t>
  </si>
  <si>
    <t>CONCATENATE(B5," ",C5)</t>
  </si>
  <si>
    <t>B16&amp;" "&amp;C16</t>
  </si>
  <si>
    <t>Assignment -28</t>
  </si>
  <si>
    <t>Use of Counta, Countif, Countifs, Vlookup and Index with Match</t>
  </si>
  <si>
    <t>Employee Database</t>
  </si>
  <si>
    <t>Emp Id</t>
  </si>
  <si>
    <t>Designation</t>
  </si>
  <si>
    <t>KRA</t>
  </si>
  <si>
    <t>ARUN</t>
  </si>
  <si>
    <t>MIS-OPERATION</t>
  </si>
  <si>
    <t>OPERATION</t>
  </si>
  <si>
    <t>PHP</t>
  </si>
  <si>
    <t>BISWAS</t>
  </si>
  <si>
    <t>SOFTWARE ENG</t>
  </si>
  <si>
    <t>JAVA</t>
  </si>
  <si>
    <t>DINESH</t>
  </si>
  <si>
    <t>SME</t>
  </si>
  <si>
    <t>MAILS</t>
  </si>
  <si>
    <t>ESHWAR</t>
  </si>
  <si>
    <t>PROGRAMMER</t>
  </si>
  <si>
    <t>C++</t>
  </si>
  <si>
    <t>FAHAD</t>
  </si>
  <si>
    <t>DOT NET</t>
  </si>
  <si>
    <t>GANGA</t>
  </si>
  <si>
    <t>SOFTWARE ASSOCIATE</t>
  </si>
  <si>
    <t>TESTING</t>
  </si>
  <si>
    <t>HEMA</t>
  </si>
  <si>
    <t>NETWORK ENG</t>
  </si>
  <si>
    <t>SERVER</t>
  </si>
  <si>
    <t>EMID</t>
  </si>
  <si>
    <t>FARZANA</t>
  </si>
  <si>
    <t>SALES EXECUTIVE</t>
  </si>
  <si>
    <t>ABHISHEK</t>
  </si>
  <si>
    <t>ABHISEK</t>
  </si>
  <si>
    <t>AYESH</t>
  </si>
  <si>
    <t>AMAZON</t>
  </si>
  <si>
    <t>PRAVEEN</t>
  </si>
  <si>
    <t>VISHAL</t>
  </si>
  <si>
    <t>GROFFERS</t>
  </si>
  <si>
    <t>VISHNU</t>
  </si>
  <si>
    <t>PAYTM</t>
  </si>
  <si>
    <t>NULL</t>
  </si>
  <si>
    <t>KRISHNA</t>
  </si>
  <si>
    <t>MYNTRA</t>
  </si>
  <si>
    <t>FARZANA BANU</t>
  </si>
  <si>
    <t>VAMSEE KRISHNA</t>
  </si>
  <si>
    <t>BRAND MANAGER</t>
  </si>
  <si>
    <t>MARKETING</t>
  </si>
  <si>
    <t xml:space="preserve">Q.1 How Many Employee? </t>
  </si>
  <si>
    <t xml:space="preserve">Q.2 How Many Employee in Sales Executive? </t>
  </si>
  <si>
    <t>Q.3 How Many Employee Sales Executive in Amazone and Myntra?</t>
  </si>
  <si>
    <t xml:space="preserve">Q.4 Employee Dinesh and Vishal Post and KRA? </t>
  </si>
  <si>
    <t>use of Vlookup</t>
  </si>
  <si>
    <t xml:space="preserve">Q.5 Employee Abhishek and Hema Emp id? </t>
  </si>
  <si>
    <t xml:space="preserve">Use of Index with Match </t>
  </si>
  <si>
    <t>Assignment -29</t>
  </si>
  <si>
    <t xml:space="preserve">Use of Vlookup One Sheet to Another Sheet </t>
  </si>
  <si>
    <t>Sheet 1- Data</t>
  </si>
  <si>
    <t>Location</t>
  </si>
  <si>
    <t>Donald</t>
  </si>
  <si>
    <t>Patrick</t>
  </si>
  <si>
    <t>Banglore</t>
  </si>
  <si>
    <t>Samuel</t>
  </si>
  <si>
    <t>Samson</t>
  </si>
  <si>
    <t>Henry</t>
  </si>
  <si>
    <t>Madrid</t>
  </si>
  <si>
    <t>Ronica</t>
  </si>
  <si>
    <t>Brave</t>
  </si>
  <si>
    <t>Christine</t>
  </si>
  <si>
    <t>Salvi</t>
  </si>
  <si>
    <t>Andrew</t>
  </si>
  <si>
    <t>Baisley</t>
  </si>
  <si>
    <t>Erica</t>
  </si>
  <si>
    <t>Irons</t>
  </si>
  <si>
    <t xml:space="preserve">Sheet 2- Use of Vlookup </t>
  </si>
  <si>
    <t>Assignment -30</t>
  </si>
  <si>
    <t xml:space="preserve">Get Pivot Table </t>
  </si>
  <si>
    <t>Pivot Table Result</t>
  </si>
  <si>
    <t>Date of Sale</t>
  </si>
  <si>
    <t>Month</t>
  </si>
  <si>
    <t>Sales Amt</t>
  </si>
  <si>
    <t>(All)</t>
  </si>
  <si>
    <t>January</t>
  </si>
  <si>
    <t>Sum of Sales Amt</t>
  </si>
  <si>
    <t>February</t>
  </si>
  <si>
    <t>Grand Total</t>
  </si>
  <si>
    <t>Assignment -31</t>
  </si>
  <si>
    <t xml:space="preserve">USE OF HLOOKUP </t>
  </si>
  <si>
    <t>Months</t>
  </si>
  <si>
    <t>March</t>
  </si>
  <si>
    <t>April</t>
  </si>
  <si>
    <t>June</t>
  </si>
  <si>
    <t>Sale</t>
  </si>
  <si>
    <t>Mat</t>
  </si>
  <si>
    <t>Jim</t>
  </si>
  <si>
    <t>Cole</t>
  </si>
  <si>
    <t>Ricky</t>
  </si>
  <si>
    <t>Mary</t>
  </si>
  <si>
    <t>Science</t>
  </si>
  <si>
    <t xml:space="preserve">English </t>
  </si>
  <si>
    <t>Marks in English</t>
  </si>
  <si>
    <t xml:space="preserve">Marks in Maths </t>
  </si>
  <si>
    <t>EMP</t>
  </si>
  <si>
    <t>FIS6067</t>
  </si>
  <si>
    <t>FIS5228</t>
  </si>
  <si>
    <t>FIS6799</t>
  </si>
  <si>
    <t>FIS1149</t>
  </si>
  <si>
    <t>FIS5834</t>
  </si>
  <si>
    <t>SALES1</t>
  </si>
  <si>
    <t>SALES2</t>
  </si>
  <si>
    <t>SALES3</t>
  </si>
  <si>
    <t>SALES4</t>
  </si>
  <si>
    <t>SALES5</t>
  </si>
  <si>
    <t xml:space="preserve">EMP </t>
  </si>
  <si>
    <t>Sales 4</t>
  </si>
  <si>
    <t>Temperarture (In Celsius)</t>
  </si>
  <si>
    <t>Cities</t>
  </si>
  <si>
    <t>New Delhi</t>
  </si>
  <si>
    <t>Mumbai</t>
  </si>
  <si>
    <t>Bangalore</t>
  </si>
  <si>
    <t>Temperature</t>
  </si>
  <si>
    <t>Employee</t>
  </si>
  <si>
    <t>Albert</t>
  </si>
  <si>
    <t>Aaron</t>
  </si>
  <si>
    <t>Albama</t>
  </si>
  <si>
    <t>Abeey</t>
  </si>
  <si>
    <t>Cathy</t>
  </si>
  <si>
    <t>Cat</t>
  </si>
  <si>
    <t>Assignment -32</t>
  </si>
  <si>
    <t>USE OF NESTEDIF</t>
  </si>
  <si>
    <t>Total Numbers Earned</t>
  </si>
  <si>
    <t>Grade earned</t>
  </si>
  <si>
    <t>Condition List</t>
  </si>
  <si>
    <t>John Wilkins</t>
  </si>
  <si>
    <t>90-100</t>
  </si>
  <si>
    <t>A+</t>
  </si>
  <si>
    <t>Steve Harrington</t>
  </si>
  <si>
    <t>85 - &lt; 90</t>
  </si>
  <si>
    <t>Edward Clark</t>
  </si>
  <si>
    <t>80 - &lt; 85</t>
  </si>
  <si>
    <t>B+</t>
  </si>
  <si>
    <t>Jimmy Chemberlin</t>
  </si>
  <si>
    <t>75 - &lt; 80</t>
  </si>
  <si>
    <t> B</t>
  </si>
  <si>
    <t>Alex Wilkins</t>
  </si>
  <si>
    <t>70 - &lt; 75</t>
  </si>
  <si>
    <t>C+</t>
  </si>
  <si>
    <t>Patty Scott</t>
  </si>
  <si>
    <t>65 - &lt; 70</t>
  </si>
  <si>
    <t>Andrew Williams</t>
  </si>
  <si>
    <t>60 - &lt; 65</t>
  </si>
  <si>
    <t>D+</t>
  </si>
  <si>
    <t>Emilia johnson</t>
  </si>
  <si>
    <t>50 - &lt; 60</t>
  </si>
  <si>
    <t>Anthony Rogers</t>
  </si>
  <si>
    <t>&lt; 50</t>
  </si>
  <si>
    <t>Sl #</t>
  </si>
  <si>
    <t>Month Number</t>
  </si>
  <si>
    <t>=VLOOKUP(H2,$A$2:$C$13,3,0)</t>
  </si>
  <si>
    <t>July</t>
  </si>
  <si>
    <t>August</t>
  </si>
  <si>
    <t>September</t>
  </si>
  <si>
    <t>October</t>
  </si>
  <si>
    <t>November</t>
  </si>
  <si>
    <t>December</t>
  </si>
  <si>
    <t>Assignment -33</t>
  </si>
  <si>
    <t>Merge Table 1,2 &amp; 3 Using Vlookup</t>
  </si>
  <si>
    <t>Table 1</t>
  </si>
  <si>
    <t>Table 2</t>
  </si>
  <si>
    <t>Table 3</t>
  </si>
  <si>
    <t>Dept</t>
  </si>
  <si>
    <t xml:space="preserve">Result </t>
  </si>
  <si>
    <t>Assignment -34</t>
  </si>
  <si>
    <t>Owner</t>
  </si>
  <si>
    <t>Product Class</t>
  </si>
  <si>
    <t>Quantity  Sold</t>
  </si>
  <si>
    <t>Ben</t>
  </si>
  <si>
    <t>A1</t>
  </si>
  <si>
    <t>Jeff</t>
  </si>
  <si>
    <t>A4</t>
  </si>
  <si>
    <t>C3</t>
  </si>
  <si>
    <t>C14</t>
  </si>
  <si>
    <t>Jenny</t>
  </si>
  <si>
    <t>A12</t>
  </si>
  <si>
    <t>B3</t>
  </si>
  <si>
    <t>B7</t>
  </si>
  <si>
    <t>B11</t>
  </si>
  <si>
    <t xml:space="preserve">Total Quantity Sold             By Ben </t>
  </si>
  <si>
    <t>Total Quantity Sold             By Jenny</t>
  </si>
  <si>
    <t>Total Quantity Sold             By Ben  &amp; Jenny</t>
  </si>
  <si>
    <t>SUMIF(A2:A9,"Ben",C2:C9)+SUMIF(A2:A9,"Jenny",C2:C9)</t>
  </si>
  <si>
    <t>Total Quantity Sold             By Jeff  &amp; Jenny</t>
  </si>
  <si>
    <t>Assignment -35</t>
  </si>
  <si>
    <t>Use of SUMPRODUCT &amp; VLOOKUP</t>
  </si>
  <si>
    <t>Qt.</t>
  </si>
  <si>
    <t>Price</t>
  </si>
  <si>
    <t>Bulb</t>
  </si>
  <si>
    <t>Tube light</t>
  </si>
  <si>
    <t>Heater</t>
  </si>
  <si>
    <t>CFL</t>
  </si>
  <si>
    <t>charger</t>
  </si>
  <si>
    <t>RESULT</t>
  </si>
  <si>
    <t>SUMPRODUCT(B5:B9,C5:C9)</t>
  </si>
  <si>
    <t>USE OF VLOOKUP</t>
  </si>
  <si>
    <t>TABLE 1 TO TABLE 2</t>
  </si>
  <si>
    <t>City Code</t>
  </si>
  <si>
    <t>Pin Code</t>
  </si>
  <si>
    <t>U_362</t>
  </si>
  <si>
    <t>Z_143</t>
  </si>
  <si>
    <t>F_103</t>
  </si>
  <si>
    <t>N_148</t>
  </si>
  <si>
    <t>L_120</t>
  </si>
  <si>
    <t>G_455</t>
  </si>
  <si>
    <t>E_195</t>
  </si>
  <si>
    <t>E_41</t>
  </si>
  <si>
    <t>O_62</t>
  </si>
  <si>
    <t>B_277</t>
  </si>
  <si>
    <t>V_318</t>
  </si>
  <si>
    <t>J_446</t>
  </si>
  <si>
    <t>P_18</t>
  </si>
  <si>
    <t>T_84</t>
  </si>
  <si>
    <t>J_264</t>
  </si>
  <si>
    <t>X_296</t>
  </si>
  <si>
    <t>X_112</t>
  </si>
  <si>
    <t>J_430</t>
  </si>
  <si>
    <t>I_159</t>
  </si>
  <si>
    <t>F_10</t>
  </si>
  <si>
    <t>Assignment -36</t>
  </si>
  <si>
    <t>Emp</t>
  </si>
  <si>
    <t>Branch</t>
  </si>
  <si>
    <t>INCENTIVE</t>
  </si>
  <si>
    <t>Bonus</t>
  </si>
  <si>
    <t>TA</t>
  </si>
  <si>
    <t>Raja</t>
  </si>
  <si>
    <t>north</t>
  </si>
  <si>
    <t>Ferozepur</t>
  </si>
  <si>
    <t>Suman</t>
  </si>
  <si>
    <t>east</t>
  </si>
  <si>
    <t>Cuttack</t>
  </si>
  <si>
    <t>Mktg</t>
  </si>
  <si>
    <t>Beena</t>
  </si>
  <si>
    <t>R&amp;D</t>
  </si>
  <si>
    <t>Seema</t>
  </si>
  <si>
    <t>Julie</t>
  </si>
  <si>
    <t>Mathura</t>
  </si>
  <si>
    <t>Admin</t>
  </si>
  <si>
    <t>Neena</t>
  </si>
  <si>
    <t>Agra</t>
  </si>
  <si>
    <t>Director</t>
  </si>
  <si>
    <t>Pankaj</t>
  </si>
  <si>
    <t>Ambala</t>
  </si>
  <si>
    <t>Personal</t>
  </si>
  <si>
    <t>Andre</t>
  </si>
  <si>
    <t>Darjeeling</t>
  </si>
  <si>
    <t>CCD</t>
  </si>
  <si>
    <t>Sujay</t>
  </si>
  <si>
    <t>west</t>
  </si>
  <si>
    <t>Shilpa</t>
  </si>
  <si>
    <t>Jammu</t>
  </si>
  <si>
    <t>Meera</t>
  </si>
  <si>
    <t>Calcutta</t>
  </si>
  <si>
    <t>Sheetal</t>
  </si>
  <si>
    <t>cochin</t>
  </si>
  <si>
    <t>K. Sita</t>
  </si>
  <si>
    <t>Priya</t>
  </si>
  <si>
    <t>Jaipur</t>
  </si>
  <si>
    <t>Aalok</t>
  </si>
  <si>
    <t>Aakash</t>
  </si>
  <si>
    <t>Nasik</t>
  </si>
  <si>
    <t>Parvati</t>
  </si>
  <si>
    <t xml:space="preserve">Q.1 How many Emloyee in Sales and Mktg Department. </t>
  </si>
  <si>
    <t xml:space="preserve">Q.2 How Many salary in Sales Department. </t>
  </si>
  <si>
    <t xml:space="preserve">Q.3 How many Employee Department Sales, North Region Salary. </t>
  </si>
  <si>
    <t>employee in sales department</t>
  </si>
  <si>
    <t xml:space="preserve">Q.4 How many Employee Department Sales and Region north. </t>
  </si>
  <si>
    <t>Q.5 If Salary Greater Then 15000, "A", if salary Greater Then 10000, "B" otherwise "C".</t>
  </si>
  <si>
    <t>north region salary</t>
  </si>
  <si>
    <t>Assignment -37</t>
  </si>
  <si>
    <t>WITH CONDITION TRUE/FALSE</t>
  </si>
  <si>
    <t xml:space="preserve">CONDITION </t>
  </si>
  <si>
    <t>Empcode</t>
  </si>
  <si>
    <t>Incentive</t>
  </si>
  <si>
    <t>salary slab</t>
  </si>
  <si>
    <t>incentive</t>
  </si>
  <si>
    <t>grade</t>
  </si>
  <si>
    <t>G</t>
  </si>
  <si>
    <t>H</t>
  </si>
  <si>
    <t>Farhan</t>
  </si>
  <si>
    <t>Satinder Kaur</t>
  </si>
  <si>
    <t>Suchita</t>
  </si>
  <si>
    <t>Shazia</t>
  </si>
  <si>
    <t>Pooja</t>
  </si>
  <si>
    <t>Jasbinder</t>
  </si>
  <si>
    <t>Bharat</t>
  </si>
  <si>
    <t>Rishi</t>
  </si>
  <si>
    <t>Mala</t>
  </si>
  <si>
    <t>Hajra</t>
  </si>
  <si>
    <t>Aalam</t>
  </si>
  <si>
    <t>Giriraj</t>
  </si>
  <si>
    <t>Ankur</t>
  </si>
  <si>
    <t>Tapan</t>
  </si>
  <si>
    <t>Zarina</t>
  </si>
  <si>
    <t>Arun</t>
  </si>
  <si>
    <t>Chitra</t>
  </si>
  <si>
    <t>Kirtikar</t>
  </si>
  <si>
    <t>Assignment -38</t>
  </si>
  <si>
    <t xml:space="preserve">USE OF DATEDIF FORMULAS CALCULATE DOB </t>
  </si>
  <si>
    <t>FirstDate</t>
  </si>
  <si>
    <t>SecondDate</t>
  </si>
  <si>
    <t>Interval</t>
  </si>
  <si>
    <t>Difference</t>
  </si>
  <si>
    <t>days</t>
  </si>
  <si>
    <t xml:space="preserve"> =DATEDIF(C4,D4,"d")</t>
  </si>
  <si>
    <t>months</t>
  </si>
  <si>
    <t xml:space="preserve"> =DATEDIF(C5,D5,"m")</t>
  </si>
  <si>
    <t>years</t>
  </si>
  <si>
    <t xml:space="preserve"> =DATEDIF(C6,D6,"y")</t>
  </si>
  <si>
    <t>yeardays</t>
  </si>
  <si>
    <t xml:space="preserve"> =DATEDIF(C7,D7,"yd")</t>
  </si>
  <si>
    <t>yearmonths</t>
  </si>
  <si>
    <t xml:space="preserve"> =DATEDIF(C8,D8,"ym")</t>
  </si>
  <si>
    <t>monthdays</t>
  </si>
  <si>
    <t xml:space="preserve"> =DATEDIF(C9,D9,"md")</t>
  </si>
  <si>
    <t>What Does It Do?</t>
  </si>
  <si>
    <t>This function calculates the difference between two dates.</t>
  </si>
  <si>
    <t>It can show the result in weeks, months or years.</t>
  </si>
  <si>
    <t>Syntax</t>
  </si>
  <si>
    <t xml:space="preserve"> =DATEDIF(FirstDate,SecondDate,"Interval")</t>
  </si>
  <si>
    <t>FirstDate : This is the earliest of the two dates.</t>
  </si>
  <si>
    <t>SecondDate : This is the most recent of the two dates.</t>
  </si>
  <si>
    <t>"Interval" : This indicates what you want to calculate.</t>
  </si>
  <si>
    <t>These are the available intervals.</t>
  </si>
  <si>
    <t>"d"</t>
  </si>
  <si>
    <t>Days between the two dates.</t>
  </si>
  <si>
    <t>"m"</t>
  </si>
  <si>
    <t>Months between the two dates.</t>
  </si>
  <si>
    <t>"y"</t>
  </si>
  <si>
    <t>Years between the two dates.</t>
  </si>
  <si>
    <t>"yd"</t>
  </si>
  <si>
    <t>Days between the dates, as if the dates were in the same year.</t>
  </si>
  <si>
    <t>"ym"</t>
  </si>
  <si>
    <t>Months between the dates, as if the dates were in the same year.</t>
  </si>
  <si>
    <t>"md"</t>
  </si>
  <si>
    <t>Days between the two dates, as if the dates were in the same month and year.</t>
  </si>
  <si>
    <t>Formatting</t>
  </si>
  <si>
    <t>No special formatting is needed.</t>
  </si>
  <si>
    <t>Birth date :</t>
  </si>
  <si>
    <t>Years lived :</t>
  </si>
  <si>
    <t xml:space="preserve"> =DATEDIF(C8,TODAY(),"y")</t>
  </si>
  <si>
    <t>and the months :</t>
  </si>
  <si>
    <t xml:space="preserve"> =DATEDIF(C8,TODAY(),"ym")</t>
  </si>
  <si>
    <t>and the days :</t>
  </si>
  <si>
    <t xml:space="preserve"> =DATEDIF(C8,TODAY(),"md")</t>
  </si>
  <si>
    <t>You can put this all together in one calculation, which creates a text version.</t>
  </si>
  <si>
    <t xml:space="preserve"> ="Age is "&amp;DATEDIF(C8,TODAY(),"y")&amp;" Years, "&amp;DATEDIF(C8,TODAY(),"ym")&amp;" Months and "&amp;DATEDIF(C8,TODAY(),"md")&amp;" Days"</t>
  </si>
  <si>
    <t>Assignment -39</t>
  </si>
  <si>
    <t>USE OF DAVERAGE</t>
  </si>
  <si>
    <t>Wattage</t>
  </si>
  <si>
    <t>Life Hours</t>
  </si>
  <si>
    <t>Unit Cost</t>
  </si>
  <si>
    <t>Box Quantity</t>
  </si>
  <si>
    <t>Boxes In Stock</t>
  </si>
  <si>
    <t>Value Of Stock</t>
  </si>
  <si>
    <t>Horizon</t>
  </si>
  <si>
    <t>Neon</t>
  </si>
  <si>
    <t>Spot</t>
  </si>
  <si>
    <t>Other</t>
  </si>
  <si>
    <t>Sunbeam</t>
  </si>
  <si>
    <t>unknown</t>
  </si>
  <si>
    <t>To calculate the Average cost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</si>
  <si>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</si>
  <si>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Type the brand name : </t>
  </si>
  <si>
    <t>sunbeam</t>
  </si>
  <si>
    <t xml:space="preserve"> =DAVERAGE(B3:I19,F3,E23:E24)</t>
  </si>
  <si>
    <t>Examples</t>
  </si>
  <si>
    <t>The average Unit Cost of a particular Product of a particular Brand.</t>
  </si>
  <si>
    <t xml:space="preserve"> =DAVERAGE(B3:I19,F3,E49:F50)</t>
  </si>
  <si>
    <t>This is the same calculation but using the actual name "Unit Cost" instead of the cell address.</t>
  </si>
  <si>
    <t xml:space="preserve"> =DAVERAGE(B3:I19,"Unit Cost",E49:F50)</t>
  </si>
  <si>
    <t>The average Unit Cost of a Bulb equal to a particular Wattage.</t>
  </si>
  <si>
    <t xml:space="preserve"> =DAVERAGE(B3:I19,"Unit Cost",E60:F61)</t>
  </si>
  <si>
    <t>The average Unit Cost of a Bulb less then a particular Wattage.</t>
  </si>
  <si>
    <t>&lt;100</t>
  </si>
  <si>
    <t xml:space="preserve"> =DAVERAGE(B3:I19,"Unit Cost",E67:F68)</t>
  </si>
  <si>
    <t>Assignment -40</t>
  </si>
  <si>
    <t>USE OF DCOUNT</t>
  </si>
  <si>
    <t>Count the number of products of a particular Brand which have a Life Hours rating.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</si>
  <si>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</si>
  <si>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=DCOUNT(B3:I19,D3,E23:E24)</t>
  </si>
  <si>
    <t>What Does It Do ?</t>
  </si>
  <si>
    <t>This function examines a list of information and counts the values in a specified column.</t>
  </si>
  <si>
    <t>It can only count values, the text items and blank cells are ignored.</t>
  </si>
  <si>
    <t>=DCOUNT(DatabaseRange,FieldName,CriteriaRange)</t>
  </si>
  <si>
    <t>The count of a particular product, with a specific number of boxes in stock.</t>
  </si>
  <si>
    <t xml:space="preserve">The number of products is : </t>
  </si>
  <si>
    <t xml:space="preserve"> =DCOUNT(B3:I19,H3,E50:F51)</t>
  </si>
  <si>
    <t>This is the same calculation but using the name "Boxes In Stock" instead of the cell address.</t>
  </si>
  <si>
    <t xml:space="preserve"> =DCOUNT(B3:I19,"Boxes In Stock",E50:F51)</t>
  </si>
  <si>
    <t>The count of the number of  Bulb products equal to a particular Wattage.</t>
  </si>
  <si>
    <t xml:space="preserve">The count is : </t>
  </si>
  <si>
    <t xml:space="preserve"> =DCOUNT(B3:I19,"Boxes In Stock",E61:F62)</t>
  </si>
  <si>
    <t>The count of Bulb products between two Wattage values.</t>
  </si>
  <si>
    <t>&gt;=80</t>
  </si>
  <si>
    <t>&lt;=100</t>
  </si>
  <si>
    <t xml:space="preserve"> =DCOUNT(B3:I19,"Boxes In Stock",E68:G69)</t>
  </si>
  <si>
    <t>Assignment -41</t>
  </si>
  <si>
    <t>USE OF DCOUNTA</t>
  </si>
  <si>
    <t>Count the number of products of a particular Brand.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</si>
  <si>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</si>
  <si>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>This function examines a list of information and counts the non blank cells in a specified column.</t>
  </si>
  <si>
    <t>It counts values and text items, but blank cells are ignored.</t>
  </si>
  <si>
    <t>=DCOUNTA(DatabaseRange,FieldName,CriteriaRange)</t>
  </si>
  <si>
    <t>The count of a product with an unknown Life Hours value.</t>
  </si>
  <si>
    <t>This is the same calculation but using the name "Life Hours" instead of the cell address.</t>
  </si>
  <si>
    <t>The count of the number of  particular product of a specific brand.</t>
  </si>
  <si>
    <t>The count of particular products from specific brands.</t>
  </si>
  <si>
    <t>Assignment -42</t>
  </si>
  <si>
    <t>USE OF DMAX</t>
  </si>
  <si>
    <t>To calculate largest Value Of Stock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</si>
  <si>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</si>
  <si>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>This function examines a list of information and produces the largest value from a specified column.</t>
  </si>
  <si>
    <t>=DMAX(DatabaseRange,FieldName,CriteriaRange)</t>
  </si>
  <si>
    <t>The largest Value Of Stock of a particular Product of a particular Brand.</t>
  </si>
  <si>
    <t xml:space="preserve">The largest value is : </t>
  </si>
  <si>
    <t>This is the same calculation but using the name "Value Of Stock" instead of the cell address.</t>
  </si>
  <si>
    <t>The largest Value Of Stock of a Bulb equal to a particular Wattage.</t>
  </si>
  <si>
    <t xml:space="preserve">The largest Value Of Stock is : </t>
  </si>
  <si>
    <t>The largest Value Of Stock of a Bulb less than a particular Wattage.</t>
  </si>
  <si>
    <t>Assignment -43</t>
  </si>
  <si>
    <t>USE OF DSUM</t>
  </si>
  <si>
    <t>To calculate the total Value Of Stock of a particular Brand of bulb.</t>
  </si>
  <si>
    <r>
      <rPr>
        <i/>
        <sz val="10"/>
        <color theme="1"/>
        <rFont val="Arial"/>
      </rPr>
      <t xml:space="preserve">These two cells are the </t>
    </r>
    <r>
      <rPr>
        <b/>
        <i/>
        <sz val="10"/>
        <color theme="1"/>
        <rFont val="Arial"/>
      </rPr>
      <t>Criteria</t>
    </r>
    <r>
      <rPr>
        <i/>
        <sz val="10"/>
        <color theme="1"/>
        <rFont val="Arial"/>
      </rPr>
      <t xml:space="preserve"> range.</t>
    </r>
  </si>
  <si>
    <t xml:space="preserve"> =DSUM(B3:I19,I3,E23:E24)</t>
  </si>
  <si>
    <t>=DSUM(DatabaseRange,FieldName,CriteriaRange)</t>
  </si>
  <si>
    <t>The total Value Of Stock of a particular Product of a particular Brand.</t>
  </si>
  <si>
    <t xml:space="preserve">Total stock value is : </t>
  </si>
  <si>
    <t xml:space="preserve"> =DSUM(B3:I19,I3,E49:F50)</t>
  </si>
  <si>
    <t xml:space="preserve"> =DSUM(B3:I19,"Value Of Stock",E49:F50)</t>
  </si>
  <si>
    <t>The total Value Of Stock of a Bulb equal to a particular Wattage.</t>
  </si>
  <si>
    <t xml:space="preserve">Total Value Of Stock is : </t>
  </si>
  <si>
    <t xml:space="preserve"> =DSUM(B3:I19,"Value Of Stock",E60:F61)</t>
  </si>
  <si>
    <t>The total Value Of Stock of a Bulb less than a particular Wattage.</t>
  </si>
  <si>
    <t xml:space="preserve"> =DSUM(B3:I19,"Value Of Stock",E67:F68)</t>
  </si>
  <si>
    <t>Assignment -44</t>
  </si>
  <si>
    <t>USE OF FIND &amp; LARGE FORMULA</t>
  </si>
  <si>
    <t>Text</t>
  </si>
  <si>
    <t>Letter To Find</t>
  </si>
  <si>
    <t>Position Of Letter</t>
  </si>
  <si>
    <t>Hello</t>
  </si>
  <si>
    <t>e</t>
  </si>
  <si>
    <t xml:space="preserve"> =FIND(D4,C4)</t>
  </si>
  <si>
    <t xml:space="preserve"> =FIND(D5,C5)</t>
  </si>
  <si>
    <t>o</t>
  </si>
  <si>
    <t xml:space="preserve"> =FIND(D6,C6)</t>
  </si>
  <si>
    <t>Alan Williams</t>
  </si>
  <si>
    <t>a</t>
  </si>
  <si>
    <t xml:space="preserve"> =FIND(D7,C7)</t>
  </si>
  <si>
    <t xml:space="preserve"> =FIND(D8,C8,6)</t>
  </si>
  <si>
    <t>T</t>
  </si>
  <si>
    <t xml:space="preserve"> =FIND(D9,C9)</t>
  </si>
  <si>
    <t>Values</t>
  </si>
  <si>
    <t>Highest Value</t>
  </si>
  <si>
    <t xml:space="preserve"> =LARGE(C4:C8,1)</t>
  </si>
  <si>
    <t>2nd Highest Value</t>
  </si>
  <si>
    <t xml:space="preserve"> =LARGE(C4:C8,2)</t>
  </si>
  <si>
    <t>3rd Highest Value</t>
  </si>
  <si>
    <t xml:space="preserve"> =LARGE(C4:C8,3)</t>
  </si>
  <si>
    <t>4th Highest Value</t>
  </si>
  <si>
    <t xml:space="preserve"> =LARGE(C4:C8,4)</t>
  </si>
  <si>
    <t>5th Highest Value</t>
  </si>
  <si>
    <t xml:space="preserve"> =LARGE(C4:C8,5)</t>
  </si>
  <si>
    <t>This function examines a list of values and picks the value at a user specified position</t>
  </si>
  <si>
    <t>in the list.</t>
  </si>
  <si>
    <t>=LARGE(ListOfNumbersToExamine,PositionToPickFrom)</t>
  </si>
  <si>
    <t>Example</t>
  </si>
  <si>
    <t>The following table was used to calculate the top 3 sales figures between Jan, Feb and Mar.</t>
  </si>
  <si>
    <t xml:space="preserve"> =LARGE(D24:F27,1)</t>
  </si>
  <si>
    <t xml:space="preserve"> =LARGE(D24:F27,2)</t>
  </si>
  <si>
    <t xml:space="preserve"> =LARGE(D24:F27,3)</t>
  </si>
  <si>
    <t>Note</t>
  </si>
  <si>
    <t>Another way to find the Highest and Lowest values would have been to use</t>
  </si>
  <si>
    <t>the =MAX() and =MIN() functions.</t>
  </si>
  <si>
    <t>Highest</t>
  </si>
  <si>
    <t xml:space="preserve"> =MAX(D24:F27)</t>
  </si>
  <si>
    <t>Lowest</t>
  </si>
  <si>
    <t xml:space="preserve"> =MIN(D24:F27)</t>
  </si>
  <si>
    <t>Assignment -45</t>
  </si>
  <si>
    <t>USE OF LEFT, FIND, LEN,LOWER, NETWORKDAYS</t>
  </si>
  <si>
    <t xml:space="preserve">USE OF LEFT </t>
  </si>
  <si>
    <t>Number Of
Characters Required</t>
  </si>
  <si>
    <t>Left String</t>
  </si>
  <si>
    <t>Alan Jones</t>
  </si>
  <si>
    <t>Cardiff</t>
  </si>
  <si>
    <t>ABC123</t>
  </si>
  <si>
    <t>USE OF LEFT AND FIND</t>
  </si>
  <si>
    <t>Bob Smith</t>
  </si>
  <si>
    <t>Carol Williams</t>
  </si>
  <si>
    <t>USE OF LEN</t>
  </si>
  <si>
    <t>Length</t>
  </si>
  <si>
    <t>USE OF LOWER</t>
  </si>
  <si>
    <t>Upper Case Text</t>
  </si>
  <si>
    <t>Lower Case</t>
  </si>
  <si>
    <t>ALAN JONES</t>
  </si>
  <si>
    <t>BOB SMITH</t>
  </si>
  <si>
    <t>CAROL WILLIAMS</t>
  </si>
  <si>
    <t>CARDIFF</t>
  </si>
  <si>
    <t>USE OF NETWORKDAYS</t>
  </si>
  <si>
    <t>End Date</t>
  </si>
  <si>
    <t>Work Days</t>
  </si>
  <si>
    <t>Assignment -46</t>
  </si>
  <si>
    <t>USE OF POWER, PRODUCT, PROPER, REPT</t>
  </si>
  <si>
    <t xml:space="preserve">USE OF POWER </t>
  </si>
  <si>
    <t>Number</t>
  </si>
  <si>
    <t>Power</t>
  </si>
  <si>
    <t>USE OF PRODUCT</t>
  </si>
  <si>
    <t>Numbers</t>
  </si>
  <si>
    <t>USE OF PROPER</t>
  </si>
  <si>
    <t>Original Text</t>
  </si>
  <si>
    <t>Proper</t>
  </si>
  <si>
    <t>USE OF REPT</t>
  </si>
  <si>
    <t>Text To
Repeat</t>
  </si>
  <si>
    <t>Number Of
Repeats</t>
  </si>
  <si>
    <t>Repeated
Text</t>
  </si>
  <si>
    <t>AB</t>
  </si>
  <si>
    <t>-</t>
  </si>
  <si>
    <t>|</t>
  </si>
  <si>
    <t>Assignment -47</t>
  </si>
  <si>
    <t>USE OF RIGHT, ROMAN &amp; SMALL</t>
  </si>
  <si>
    <t>Original
Text</t>
  </si>
  <si>
    <t>Right
String</t>
  </si>
  <si>
    <t>USE OF ROMAN</t>
  </si>
  <si>
    <t>Roman</t>
  </si>
  <si>
    <t xml:space="preserve">USE OF SMALL </t>
  </si>
  <si>
    <t>Lowest Value</t>
  </si>
  <si>
    <t>2nd Lowest Value</t>
  </si>
  <si>
    <t>3rd Lowest Value</t>
  </si>
  <si>
    <t>Assignment -48</t>
  </si>
  <si>
    <t>comission</t>
  </si>
  <si>
    <t>target</t>
  </si>
  <si>
    <t>USE OF COUNTA AND VLOOKUP</t>
  </si>
  <si>
    <t>Ajeet</t>
  </si>
  <si>
    <t>USE OF COUNTIF</t>
  </si>
  <si>
    <t>USE OF LOOKUP</t>
  </si>
  <si>
    <t>Q.6 How Many sales Man sales Jan Months Sales &gt;2000 &amp; March Sales &lt;=1500 ?</t>
  </si>
  <si>
    <t>USE OF COUNTIFS</t>
  </si>
  <si>
    <t>Q.7 Jan to Target Highlights 2000 between 5000, Font Red &amp; Background Yeloow?</t>
  </si>
  <si>
    <t>Q.8 If sales Greter then Target then Comission 10% otherwise 5% ?</t>
  </si>
  <si>
    <t>Assignment -49</t>
  </si>
  <si>
    <t>rank</t>
  </si>
  <si>
    <t>USE OF CONDITIONAL FORMATTING</t>
  </si>
  <si>
    <t>Assignment -50</t>
  </si>
  <si>
    <t>USE OF DATEDIF</t>
  </si>
  <si>
    <t>#N/A</t>
  </si>
  <si>
    <t>if funcation</t>
  </si>
  <si>
    <t>pooja</t>
  </si>
  <si>
    <t>ashok</t>
  </si>
  <si>
    <t>kanchan</t>
  </si>
  <si>
    <t>anjali</t>
  </si>
  <si>
    <t>tanisha</t>
  </si>
  <si>
    <t>kumkum</t>
  </si>
  <si>
    <t>shama</t>
  </si>
  <si>
    <t>parul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</si>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</sst>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$&quot;#,##0_);[Red]\(&quot;$&quot;#,##0\)"/>
    <numFmt numFmtId="8" formatCode="&quot;$&quot;#,##0.00_);[Red]\(&quot;$&quot;#,##0.00\)"/>
    <numFmt numFmtId="164" formatCode="0.0"/>
    <numFmt numFmtId="165" formatCode="dd\-mm\-yyyy"/>
    <numFmt numFmtId="166" formatCode="d\-m\-yyyy"/>
    <numFmt numFmtId="167" formatCode="d/m/yyyy"/>
    <numFmt numFmtId="168" formatCode="_(&quot;$&quot;* #,##0_);_(&quot;$&quot;* \(#,##0\);_(&quot;$&quot;* &quot;-&quot;??_);_(@_)"/>
    <numFmt numFmtId="169" formatCode="000\-00\-0000"/>
    <numFmt numFmtId="170" formatCode="[$Rs]#,##0.00"/>
    <numFmt numFmtId="171" formatCode="&quot;$&quot;#,##0"/>
    <numFmt numFmtId="172" formatCode="&quot;$&quot;#,##0.00"/>
    <numFmt numFmtId="173" formatCode="_(* #,##0_);_(* \(#,##0\);_(* &quot;-&quot;??_);_(@_)"/>
    <numFmt numFmtId="174" formatCode="&quot;₹&quot;\ #,##0.00"/>
    <numFmt numFmtId="175" formatCode="_ [$रु-439]\ * #,##0.00_ ;_ [$रु-439]\ * \-#,##0.00_ ;_ [$रु-439]\ * &quot;-&quot;??_ ;_ @_ "/>
    <numFmt numFmtId="176" formatCode="_ &quot;रु&quot;\ * #,##0.00_ ;_ &quot;रु&quot;\ * \-#,##0.00_ ;_ &quot;रु&quot;\ * &quot;-&quot;??_ ;_ @_ "/>
    <numFmt numFmtId="177" formatCode="_ * #,##0_ ;_ * \-#,##0_ ;_ * &quot;-&quot;??_ ;_ @_ "/>
    <numFmt numFmtId="178" formatCode="0.000"/>
    <numFmt numFmtId="179" formatCode="&quot;£&quot;#,##0.00_);[Red]\(&quot;£&quot;#,##0.00\)"/>
    <numFmt numFmtId="180" formatCode="&quot;£&quot;#,##0_);[Red]\(&quot;£&quot;#,##0\)"/>
  </numFmts>
  <fonts count="40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rgb="FFFF0000"/>
      <name val="Calibri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  <font>
      <sz val="10"/>
      <color rgb="FF800080"/>
      <name val="Arial"/>
    </font>
    <font>
      <sz val="10"/>
      <color rgb="FF0000FF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b/>
      <u/>
      <sz val="11"/>
      <color rgb="FFFF0000"/>
      <name val="Calibri"/>
    </font>
    <font>
      <b/>
      <sz val="11"/>
      <color rgb="FFFF0000"/>
      <name val="Calibri"/>
    </font>
    <font>
      <b/>
      <sz val="11"/>
      <color theme="0"/>
      <name val="Calibri"/>
    </font>
    <font>
      <sz val="9"/>
      <color rgb="FF000000"/>
      <name val="&quot;Google Sans Mono&quot;"/>
    </font>
    <font>
      <b/>
      <sz val="10"/>
      <color rgb="FFFFFFFF"/>
      <name val="Arial"/>
    </font>
    <font>
      <sz val="12"/>
      <color rgb="FFFF0000"/>
      <name val="Calibri"/>
    </font>
    <font>
      <b/>
      <sz val="11"/>
      <color rgb="FFFFFFFF"/>
      <name val="Calibri"/>
    </font>
    <font>
      <sz val="10"/>
      <color theme="1"/>
      <name val="Verdana"/>
    </font>
    <font>
      <b/>
      <u/>
      <sz val="16"/>
      <color theme="1"/>
      <name val="Arimo"/>
    </font>
    <font>
      <sz val="11"/>
      <color rgb="FFFFFF00"/>
      <name val="Calibri"/>
    </font>
    <font>
      <b/>
      <sz val="11"/>
      <color rgb="FFFFFF00"/>
      <name val="Calibri"/>
    </font>
    <font>
      <b/>
      <i/>
      <u/>
      <sz val="14"/>
      <color theme="1"/>
      <name val="Calibri"/>
    </font>
    <font>
      <b/>
      <i/>
      <u/>
      <sz val="11"/>
      <color theme="1"/>
      <name val="Calibri"/>
    </font>
    <font>
      <b/>
      <sz val="11"/>
      <color theme="1"/>
      <name val="Arial"/>
    </font>
    <font>
      <b/>
      <sz val="10"/>
      <color rgb="FF000000"/>
      <name val="Arial"/>
    </font>
    <font>
      <sz val="8"/>
      <color rgb="FF0000FF"/>
      <name val="Arial Narrow"/>
    </font>
    <font>
      <i/>
      <sz val="10"/>
      <color theme="1"/>
      <name val="Arial"/>
    </font>
    <font>
      <b/>
      <sz val="10"/>
      <color rgb="FFFF0000"/>
      <name val="Arial"/>
    </font>
    <font>
      <b/>
      <i/>
      <sz val="10"/>
      <color theme="1"/>
      <name val="Arial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0"/>
      <color rgb="FF80008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800000"/>
        <bgColor rgb="FF800000"/>
      </patternFill>
    </fill>
    <fill>
      <patternFill patternType="solid">
        <fgColor rgb="FF000000"/>
        <bgColor rgb="FF000000"/>
      </patternFill>
    </fill>
    <fill>
      <patternFill patternType="solid">
        <fgColor rgb="FF00CCFF"/>
        <bgColor rgb="FF00CCFF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008000"/>
        <bgColor rgb="FF008000"/>
      </patternFill>
    </fill>
    <fill>
      <patternFill patternType="solid">
        <fgColor rgb="FFFFCC00"/>
        <bgColor rgb="FFFFCC00"/>
      </patternFill>
    </fill>
    <fill>
      <patternFill patternType="solid">
        <fgColor theme="5"/>
        <bgColor theme="5"/>
      </patternFill>
    </fill>
    <fill>
      <patternFill patternType="solid">
        <fgColor rgb="FFF2DBDB"/>
        <bgColor rgb="FFF2DBDB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rgb="FFFFFF00"/>
      </patternFill>
    </fill>
  </fills>
  <borders count="4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9594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uble">
        <color rgb="FF008000"/>
      </left>
      <right style="thin">
        <color rgb="FF000000"/>
      </right>
      <top style="double">
        <color rgb="FF008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8000"/>
      </top>
      <bottom style="thin">
        <color rgb="FF000000"/>
      </bottom>
      <diagonal/>
    </border>
    <border>
      <left style="thin">
        <color rgb="FF000000"/>
      </left>
      <right style="double">
        <color rgb="FF008000"/>
      </right>
      <top style="double">
        <color rgb="FF008000"/>
      </top>
      <bottom style="thin">
        <color rgb="FF000000"/>
      </bottom>
      <diagonal/>
    </border>
    <border>
      <left style="double">
        <color rgb="FF008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8000"/>
      </right>
      <top style="thin">
        <color rgb="FF000000"/>
      </top>
      <bottom style="thin">
        <color rgb="FF000000"/>
      </bottom>
      <diagonal/>
    </border>
    <border>
      <left style="double">
        <color rgb="FF008000"/>
      </left>
      <right style="thin">
        <color rgb="FF000000"/>
      </right>
      <top style="thin">
        <color rgb="FF000000"/>
      </top>
      <bottom style="double">
        <color rgb="FF008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8000"/>
      </bottom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thin">
        <color rgb="FF000000"/>
      </bottom>
      <diagonal/>
    </border>
    <border>
      <left style="double">
        <color rgb="FFFF00FF"/>
      </left>
      <right style="double">
        <color rgb="FFFF00FF"/>
      </right>
      <top style="thin">
        <color rgb="FF000000"/>
      </top>
      <bottom style="double">
        <color rgb="FFFF00FF"/>
      </bottom>
      <diagonal/>
    </border>
    <border>
      <left style="double">
        <color rgb="FFFF00FF"/>
      </left>
      <right style="thin">
        <color rgb="FF000000"/>
      </right>
      <top style="double">
        <color rgb="FFFF00FF"/>
      </top>
      <bottom style="thin">
        <color rgb="FF000000"/>
      </bottom>
      <diagonal/>
    </border>
    <border>
      <left style="thin">
        <color rgb="FF000000"/>
      </left>
      <right style="double">
        <color rgb="FFFF00FF"/>
      </right>
      <top style="double">
        <color rgb="FFFF00FF"/>
      </top>
      <bottom style="thin">
        <color rgb="FF000000"/>
      </bottom>
      <diagonal/>
    </border>
    <border>
      <left style="double">
        <color rgb="FFFF00FF"/>
      </left>
      <right style="thin">
        <color rgb="FF000000"/>
      </right>
      <top style="thin">
        <color rgb="FF000000"/>
      </top>
      <bottom style="double">
        <color rgb="FFFF00FF"/>
      </bottom>
      <diagonal/>
    </border>
    <border>
      <left style="thin">
        <color rgb="FF000000"/>
      </left>
      <right style="double">
        <color rgb="FFFF00FF"/>
      </right>
      <top style="thin">
        <color rgb="FF000000"/>
      </top>
      <bottom style="double">
        <color rgb="FFFF00FF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FF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FF00FF"/>
      </bottom>
      <diagonal/>
    </border>
    <border>
      <left style="double">
        <color rgb="FFFF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FF00FF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0" xfId="0" applyFont="1" applyAlignment="1"/>
    <xf numFmtId="0" fontId="4" fillId="0" borderId="0" xfId="0" applyFo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4" fillId="0" borderId="0" xfId="0" applyNumberFormat="1" applyFont="1"/>
    <xf numFmtId="0" fontId="5" fillId="0" borderId="7" xfId="0" applyFont="1" applyBorder="1" applyAlignment="1"/>
    <xf numFmtId="0" fontId="5" fillId="0" borderId="8" xfId="0" applyFont="1" applyBorder="1" applyAlignment="1"/>
    <xf numFmtId="0" fontId="3" fillId="0" borderId="0" xfId="0" applyFont="1" applyAlignment="1"/>
    <xf numFmtId="0" fontId="4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0" fontId="4" fillId="0" borderId="5" xfId="0" applyFont="1" applyBorder="1"/>
    <xf numFmtId="0" fontId="5" fillId="0" borderId="6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5" fontId="4" fillId="0" borderId="0" xfId="0" applyNumberFormat="1" applyFont="1" applyAlignment="1"/>
    <xf numFmtId="166" fontId="4" fillId="0" borderId="0" xfId="0" applyNumberFormat="1" applyFont="1" applyAlignment="1"/>
    <xf numFmtId="167" fontId="5" fillId="0" borderId="5" xfId="0" applyNumberFormat="1" applyFont="1" applyBorder="1" applyAlignment="1"/>
    <xf numFmtId="167" fontId="5" fillId="0" borderId="8" xfId="0" applyNumberFormat="1" applyFont="1" applyBorder="1" applyAlignment="1"/>
    <xf numFmtId="0" fontId="5" fillId="0" borderId="8" xfId="0" applyFont="1" applyBorder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3" fillId="3" borderId="15" xfId="0" applyFont="1" applyFill="1" applyBorder="1" applyAlignment="1"/>
    <xf numFmtId="0" fontId="14" fillId="4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168" fontId="5" fillId="0" borderId="5" xfId="0" applyNumberFormat="1" applyFont="1" applyBorder="1" applyAlignment="1">
      <alignment horizontal="left"/>
    </xf>
    <xf numFmtId="0" fontId="3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 applyAlignment="1"/>
    <xf numFmtId="169" fontId="15" fillId="0" borderId="5" xfId="0" applyNumberFormat="1" applyFont="1" applyBorder="1" applyAlignment="1">
      <alignment horizontal="center"/>
    </xf>
    <xf numFmtId="167" fontId="15" fillId="0" borderId="5" xfId="0" applyNumberFormat="1" applyFont="1" applyBorder="1" applyAlignment="1"/>
    <xf numFmtId="170" fontId="15" fillId="0" borderId="5" xfId="0" applyNumberFormat="1" applyFont="1" applyBorder="1" applyAlignment="1"/>
    <xf numFmtId="0" fontId="16" fillId="0" borderId="0" xfId="0" applyFont="1" applyAlignment="1">
      <alignment horizontal="left"/>
    </xf>
    <xf numFmtId="169" fontId="4" fillId="0" borderId="0" xfId="0" applyNumberFormat="1" applyFo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5" fillId="0" borderId="0" xfId="0" applyFont="1" applyAlignment="1"/>
    <xf numFmtId="8" fontId="5" fillId="0" borderId="0" xfId="0" applyNumberFormat="1" applyFont="1" applyAlignment="1">
      <alignment horizontal="center"/>
    </xf>
    <xf numFmtId="0" fontId="3" fillId="9" borderId="15" xfId="0" applyFont="1" applyFill="1" applyBorder="1" applyAlignment="1"/>
    <xf numFmtId="0" fontId="5" fillId="9" borderId="15" xfId="0" applyFont="1" applyFill="1" applyBorder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8" fontId="5" fillId="0" borderId="0" xfId="0" applyNumberFormat="1" applyFont="1" applyAlignment="1"/>
    <xf numFmtId="0" fontId="19" fillId="10" borderId="5" xfId="0" applyFont="1" applyFill="1" applyBorder="1" applyAlignment="1"/>
    <xf numFmtId="0" fontId="19" fillId="10" borderId="5" xfId="0" applyFont="1" applyFill="1" applyBorder="1" applyAlignment="1">
      <alignment horizontal="center"/>
    </xf>
    <xf numFmtId="0" fontId="19" fillId="10" borderId="16" xfId="0" applyFont="1" applyFill="1" applyBorder="1" applyAlignment="1">
      <alignment horizontal="center"/>
    </xf>
    <xf numFmtId="0" fontId="5" fillId="5" borderId="5" xfId="0" applyFont="1" applyFill="1" applyBorder="1" applyAlignment="1"/>
    <xf numFmtId="171" fontId="5" fillId="0" borderId="5" xfId="0" applyNumberFormat="1" applyFont="1" applyBorder="1" applyAlignment="1"/>
    <xf numFmtId="171" fontId="5" fillId="0" borderId="5" xfId="0" applyNumberFormat="1" applyFont="1" applyBorder="1" applyAlignment="1">
      <alignment horizontal="center"/>
    </xf>
    <xf numFmtId="171" fontId="4" fillId="0" borderId="0" xfId="0" applyNumberFormat="1" applyFont="1"/>
    <xf numFmtId="0" fontId="20" fillId="11" borderId="0" xfId="0" applyFont="1" applyFill="1" applyAlignment="1">
      <alignment horizontal="left"/>
    </xf>
    <xf numFmtId="0" fontId="5" fillId="5" borderId="15" xfId="0" applyFont="1" applyFill="1" applyBorder="1" applyAlignment="1"/>
    <xf numFmtId="0" fontId="3" fillId="3" borderId="5" xfId="0" applyFont="1" applyFill="1" applyBorder="1" applyAlignment="1">
      <alignment horizontal="center"/>
    </xf>
    <xf numFmtId="172" fontId="5" fillId="0" borderId="5" xfId="0" applyNumberFormat="1" applyFont="1" applyBorder="1" applyAlignment="1">
      <alignment horizontal="center"/>
    </xf>
    <xf numFmtId="0" fontId="21" fillId="12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6" fontId="10" fillId="0" borderId="5" xfId="0" applyNumberFormat="1" applyFont="1" applyBorder="1" applyAlignment="1">
      <alignment horizontal="center"/>
    </xf>
    <xf numFmtId="0" fontId="5" fillId="0" borderId="5" xfId="0" applyFont="1" applyBorder="1" applyAlignment="1"/>
    <xf numFmtId="0" fontId="5" fillId="0" borderId="17" xfId="0" applyFont="1" applyBorder="1" applyAlignment="1"/>
    <xf numFmtId="171" fontId="5" fillId="0" borderId="8" xfId="0" applyNumberFormat="1" applyFont="1" applyBorder="1" applyAlignment="1"/>
    <xf numFmtId="0" fontId="5" fillId="0" borderId="12" xfId="0" applyFont="1" applyBorder="1" applyAlignment="1"/>
    <xf numFmtId="0" fontId="3" fillId="0" borderId="5" xfId="0" applyFont="1" applyBorder="1" applyAlignment="1"/>
    <xf numFmtId="0" fontId="3" fillId="3" borderId="5" xfId="0" applyFont="1" applyFill="1" applyBorder="1" applyAlignment="1"/>
    <xf numFmtId="0" fontId="18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9" fillId="13" borderId="5" xfId="0" applyFont="1" applyFill="1" applyBorder="1" applyAlignment="1"/>
    <xf numFmtId="0" fontId="19" fillId="13" borderId="5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 vertical="center"/>
    </xf>
    <xf numFmtId="173" fontId="18" fillId="3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73" fontId="5" fillId="0" borderId="5" xfId="0" applyNumberFormat="1" applyFont="1" applyBorder="1" applyAlignment="1">
      <alignment vertical="center"/>
    </xf>
    <xf numFmtId="173" fontId="18" fillId="3" borderId="5" xfId="0" applyNumberFormat="1" applyFont="1" applyFill="1" applyBorder="1" applyAlignment="1">
      <alignment vertical="center"/>
    </xf>
    <xf numFmtId="173" fontId="5" fillId="0" borderId="5" xfId="0" applyNumberFormat="1" applyFont="1" applyBorder="1" applyAlignment="1">
      <alignment horizontal="center"/>
    </xf>
    <xf numFmtId="173" fontId="4" fillId="0" borderId="0" xfId="0" applyNumberFormat="1" applyFont="1"/>
    <xf numFmtId="0" fontId="3" fillId="14" borderId="18" xfId="0" applyFont="1" applyFill="1" applyBorder="1" applyAlignment="1">
      <alignment horizontal="center" vertical="center" wrapText="1"/>
    </xf>
    <xf numFmtId="174" fontId="3" fillId="14" borderId="18" xfId="0" applyNumberFormat="1" applyFont="1" applyFill="1" applyBorder="1" applyAlignment="1">
      <alignment horizontal="center" vertical="center" wrapText="1"/>
    </xf>
    <xf numFmtId="167" fontId="4" fillId="0" borderId="0" xfId="0" applyNumberFormat="1" applyFont="1"/>
    <xf numFmtId="175" fontId="4" fillId="0" borderId="0" xfId="0" applyNumberFormat="1" applyFont="1"/>
    <xf numFmtId="4" fontId="4" fillId="0" borderId="0" xfId="0" applyNumberFormat="1" applyFont="1"/>
    <xf numFmtId="176" fontId="4" fillId="0" borderId="0" xfId="0" applyNumberFormat="1" applyFont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3" fillId="14" borderId="5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wrapText="1"/>
    </xf>
    <xf numFmtId="174" fontId="3" fillId="14" borderId="5" xfId="0" applyNumberFormat="1" applyFont="1" applyFill="1" applyBorder="1" applyAlignment="1">
      <alignment wrapText="1"/>
    </xf>
    <xf numFmtId="175" fontId="5" fillId="0" borderId="5" xfId="0" applyNumberFormat="1" applyFont="1" applyBorder="1" applyAlignment="1"/>
    <xf numFmtId="4" fontId="5" fillId="0" borderId="5" xfId="0" applyNumberFormat="1" applyFont="1" applyBorder="1" applyAlignment="1"/>
    <xf numFmtId="176" fontId="5" fillId="0" borderId="5" xfId="0" applyNumberFormat="1" applyFont="1" applyBorder="1" applyAlignment="1"/>
    <xf numFmtId="0" fontId="2" fillId="1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177" fontId="6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177" fontId="22" fillId="0" borderId="0" xfId="0" applyNumberFormat="1" applyFont="1" applyAlignment="1">
      <alignment horizontal="center"/>
    </xf>
    <xf numFmtId="0" fontId="3" fillId="14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9" fillId="15" borderId="5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2" fontId="5" fillId="16" borderId="5" xfId="0" applyNumberFormat="1" applyFont="1" applyFill="1" applyBorder="1" applyAlignment="1">
      <alignment horizontal="center"/>
    </xf>
    <xf numFmtId="0" fontId="19" fillId="17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" fillId="14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19" fillId="15" borderId="5" xfId="0" applyFont="1" applyFill="1" applyBorder="1" applyAlignment="1">
      <alignment horizontal="center" vertical="center" wrapText="1"/>
    </xf>
    <xf numFmtId="0" fontId="19" fillId="15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5" fontId="5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/>
    <xf numFmtId="0" fontId="3" fillId="19" borderId="5" xfId="0" applyFont="1" applyFill="1" applyBorder="1" applyAlignment="1">
      <alignment horizontal="center"/>
    </xf>
    <xf numFmtId="0" fontId="5" fillId="20" borderId="5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5" fillId="21" borderId="5" xfId="0" applyFont="1" applyFill="1" applyBorder="1" applyAlignment="1">
      <alignment horizontal="center"/>
    </xf>
    <xf numFmtId="0" fontId="4" fillId="2" borderId="5" xfId="0" applyFont="1" applyFill="1" applyBorder="1"/>
    <xf numFmtId="0" fontId="4" fillId="22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3" borderId="5" xfId="0" applyFont="1" applyFill="1" applyBorder="1"/>
    <xf numFmtId="177" fontId="5" fillId="0" borderId="5" xfId="0" applyNumberFormat="1" applyFont="1" applyBorder="1" applyAlignment="1">
      <alignment horizontal="center"/>
    </xf>
    <xf numFmtId="177" fontId="5" fillId="0" borderId="0" xfId="0" applyNumberFormat="1" applyFont="1" applyAlignment="1"/>
    <xf numFmtId="0" fontId="3" fillId="14" borderId="5" xfId="0" applyFont="1" applyFill="1" applyBorder="1" applyAlignment="1"/>
    <xf numFmtId="177" fontId="3" fillId="14" borderId="5" xfId="0" applyNumberFormat="1" applyFont="1" applyFill="1" applyBorder="1" applyAlignment="1"/>
    <xf numFmtId="167" fontId="5" fillId="0" borderId="5" xfId="0" applyNumberFormat="1" applyFont="1" applyBorder="1" applyAlignment="1">
      <alignment horizontal="left"/>
    </xf>
    <xf numFmtId="177" fontId="5" fillId="0" borderId="5" xfId="0" applyNumberFormat="1" applyFont="1" applyBorder="1" applyAlignment="1"/>
    <xf numFmtId="177" fontId="3" fillId="16" borderId="15" xfId="0" applyNumberFormat="1" applyFont="1" applyFill="1" applyBorder="1" applyAlignment="1">
      <alignment wrapText="1"/>
    </xf>
    <xf numFmtId="0" fontId="5" fillId="16" borderId="5" xfId="0" applyFont="1" applyFill="1" applyBorder="1" applyAlignment="1"/>
    <xf numFmtId="0" fontId="19" fillId="15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4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77" fontId="15" fillId="0" borderId="5" xfId="0" applyNumberFormat="1" applyFont="1" applyBorder="1" applyAlignment="1">
      <alignment horizontal="center" vertical="center"/>
    </xf>
    <xf numFmtId="0" fontId="16" fillId="17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49" fontId="5" fillId="0" borderId="5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/>
    </xf>
    <xf numFmtId="49" fontId="24" fillId="0" borderId="5" xfId="0" applyNumberFormat="1" applyFont="1" applyBorder="1" applyAlignment="1">
      <alignment horizontal="center" wrapText="1"/>
    </xf>
    <xf numFmtId="0" fontId="26" fillId="17" borderId="5" xfId="0" applyFont="1" applyFill="1" applyBorder="1" applyAlignment="1"/>
    <xf numFmtId="0" fontId="27" fillId="17" borderId="5" xfId="0" applyFont="1" applyFill="1" applyBorder="1" applyAlignment="1"/>
    <xf numFmtId="0" fontId="29" fillId="0" borderId="0" xfId="0" applyFont="1" applyAlignment="1">
      <alignment horizontal="center"/>
    </xf>
    <xf numFmtId="0" fontId="18" fillId="3" borderId="15" xfId="0" applyFont="1" applyFill="1" applyBorder="1" applyAlignment="1"/>
    <xf numFmtId="0" fontId="30" fillId="23" borderId="24" xfId="0" applyFont="1" applyFill="1" applyBorder="1" applyAlignment="1"/>
    <xf numFmtId="0" fontId="30" fillId="23" borderId="5" xfId="0" applyFont="1" applyFill="1" applyBorder="1" applyAlignment="1"/>
    <xf numFmtId="0" fontId="30" fillId="23" borderId="5" xfId="0" applyFont="1" applyFill="1" applyBorder="1" applyAlignment="1">
      <alignment horizontal="right"/>
    </xf>
    <xf numFmtId="0" fontId="30" fillId="23" borderId="16" xfId="0" applyFont="1" applyFill="1" applyBorder="1" applyAlignment="1"/>
    <xf numFmtId="0" fontId="30" fillId="23" borderId="16" xfId="0" applyFont="1" applyFill="1" applyBorder="1" applyAlignment="1">
      <alignment horizontal="center"/>
    </xf>
    <xf numFmtId="0" fontId="30" fillId="23" borderId="15" xfId="0" applyFont="1" applyFill="1" applyBorder="1" applyAlignment="1"/>
    <xf numFmtId="0" fontId="10" fillId="16" borderId="24" xfId="0" applyFont="1" applyFill="1" applyBorder="1" applyAlignment="1"/>
    <xf numFmtId="0" fontId="10" fillId="16" borderId="5" xfId="0" applyFont="1" applyFill="1" applyBorder="1" applyAlignment="1"/>
    <xf numFmtId="3" fontId="10" fillId="16" borderId="5" xfId="0" applyNumberFormat="1" applyFont="1" applyFill="1" applyBorder="1" applyAlignment="1"/>
    <xf numFmtId="9" fontId="5" fillId="16" borderId="5" xfId="0" applyNumberFormat="1" applyFont="1" applyFill="1" applyBorder="1" applyAlignment="1"/>
    <xf numFmtId="9" fontId="5" fillId="0" borderId="5" xfId="0" applyNumberFormat="1" applyFont="1" applyBorder="1" applyAlignment="1"/>
    <xf numFmtId="9" fontId="5" fillId="16" borderId="5" xfId="0" applyNumberFormat="1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3" fontId="10" fillId="16" borderId="5" xfId="0" applyNumberFormat="1" applyFont="1" applyFill="1" applyBorder="1" applyAlignment="1">
      <alignment horizontal="right"/>
    </xf>
    <xf numFmtId="15" fontId="11" fillId="0" borderId="5" xfId="0" applyNumberFormat="1" applyFont="1" applyBorder="1" applyAlignment="1">
      <alignment horizontal="center"/>
    </xf>
    <xf numFmtId="0" fontId="12" fillId="0" borderId="0" xfId="0" applyFont="1" applyAlignment="1"/>
    <xf numFmtId="0" fontId="31" fillId="0" borderId="25" xfId="0" applyFont="1" applyBorder="1" applyAlignment="1"/>
    <xf numFmtId="0" fontId="5" fillId="0" borderId="25" xfId="0" applyFont="1" applyBorder="1" applyAlignment="1"/>
    <xf numFmtId="0" fontId="10" fillId="0" borderId="5" xfId="0" applyFont="1" applyBorder="1" applyAlignment="1"/>
    <xf numFmtId="15" fontId="11" fillId="0" borderId="5" xfId="0" applyNumberFormat="1" applyFont="1" applyBorder="1" applyAlignment="1"/>
    <xf numFmtId="0" fontId="12" fillId="0" borderId="5" xfId="0" applyFont="1" applyBorder="1" applyAlignment="1"/>
    <xf numFmtId="0" fontId="10" fillId="0" borderId="0" xfId="0" applyFont="1"/>
    <xf numFmtId="0" fontId="32" fillId="0" borderId="0" xfId="0" applyFont="1" applyAlignment="1"/>
    <xf numFmtId="0" fontId="33" fillId="0" borderId="0" xfId="0" applyFont="1" applyAlignment="1">
      <alignment horizontal="right"/>
    </xf>
    <xf numFmtId="0" fontId="34" fillId="3" borderId="26" xfId="0" applyFont="1" applyFill="1" applyBorder="1" applyAlignment="1">
      <alignment horizontal="center" wrapText="1"/>
    </xf>
    <xf numFmtId="0" fontId="34" fillId="3" borderId="27" xfId="0" applyFont="1" applyFill="1" applyBorder="1" applyAlignment="1">
      <alignment horizontal="center" wrapText="1"/>
    </xf>
    <xf numFmtId="0" fontId="34" fillId="3" borderId="28" xfId="0" applyFont="1" applyFill="1" applyBorder="1" applyAlignment="1">
      <alignment horizontal="center" wrapText="1"/>
    </xf>
    <xf numFmtId="0" fontId="10" fillId="0" borderId="29" xfId="0" applyFont="1" applyBorder="1" applyAlignment="1">
      <alignment horizontal="center"/>
    </xf>
    <xf numFmtId="179" fontId="10" fillId="0" borderId="5" xfId="0" applyNumberFormat="1" applyFont="1" applyBorder="1" applyAlignment="1">
      <alignment horizontal="center"/>
    </xf>
    <xf numFmtId="179" fontId="10" fillId="0" borderId="30" xfId="0" applyNumberFormat="1" applyFont="1" applyBorder="1" applyAlignment="1">
      <alignment horizontal="right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179" fontId="10" fillId="0" borderId="32" xfId="0" applyNumberFormat="1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33" fillId="0" borderId="0" xfId="0" applyFont="1" applyAlignment="1"/>
    <xf numFmtId="0" fontId="5" fillId="0" borderId="0" xfId="0" applyFont="1" applyAlignment="1">
      <alignment horizontal="right"/>
    </xf>
    <xf numFmtId="0" fontId="11" fillId="0" borderId="34" xfId="0" applyFont="1" applyBorder="1" applyAlignment="1">
      <alignment horizontal="center"/>
    </xf>
    <xf numFmtId="179" fontId="12" fillId="0" borderId="5" xfId="0" applyNumberFormat="1" applyFont="1" applyBorder="1" applyAlignment="1">
      <alignment horizontal="center"/>
    </xf>
    <xf numFmtId="0" fontId="13" fillId="0" borderId="0" xfId="0" applyFont="1" applyAlignment="1"/>
    <xf numFmtId="0" fontId="10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39" xfId="0" applyFont="1" applyBorder="1" applyAlignment="1"/>
    <xf numFmtId="0" fontId="5" fillId="0" borderId="39" xfId="0" applyFont="1" applyBorder="1" applyAlignment="1"/>
    <xf numFmtId="0" fontId="11" fillId="7" borderId="37" xfId="0" applyFont="1" applyFill="1" applyBorder="1" applyAlignment="1">
      <alignment horizontal="center"/>
    </xf>
    <xf numFmtId="0" fontId="11" fillId="7" borderId="38" xfId="0" applyFont="1" applyFill="1" applyBorder="1" applyAlignment="1">
      <alignment horizontal="center"/>
    </xf>
    <xf numFmtId="179" fontId="12" fillId="7" borderId="5" xfId="0" applyNumberFormat="1" applyFont="1" applyFill="1" applyBorder="1" applyAlignment="1">
      <alignment horizontal="center"/>
    </xf>
    <xf numFmtId="0" fontId="5" fillId="0" borderId="0" xfId="0" applyFont="1"/>
    <xf numFmtId="0" fontId="10" fillId="0" borderId="36" xfId="0" applyFont="1" applyBorder="1" applyAlignment="1">
      <alignment horizontal="center" wrapText="1"/>
    </xf>
    <xf numFmtId="0" fontId="10" fillId="0" borderId="40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3" fillId="3" borderId="26" xfId="0" applyFont="1" applyFill="1" applyBorder="1" applyAlignment="1">
      <alignment horizontal="center" wrapText="1"/>
    </xf>
    <xf numFmtId="0" fontId="13" fillId="3" borderId="27" xfId="0" applyFont="1" applyFill="1" applyBorder="1" applyAlignment="1">
      <alignment horizontal="center" wrapText="1"/>
    </xf>
    <xf numFmtId="0" fontId="13" fillId="3" borderId="28" xfId="0" applyFont="1" applyFill="1" applyBorder="1" applyAlignment="1">
      <alignment horizontal="center" wrapText="1"/>
    </xf>
    <xf numFmtId="0" fontId="11" fillId="0" borderId="42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0" fillId="0" borderId="5" xfId="0" applyFont="1" applyBorder="1" applyAlignment="1">
      <alignment horizontal="right"/>
    </xf>
    <xf numFmtId="180" fontId="11" fillId="0" borderId="5" xfId="0" applyNumberFormat="1" applyFont="1" applyBorder="1" applyAlignment="1">
      <alignment horizontal="center"/>
    </xf>
    <xf numFmtId="0" fontId="10" fillId="0" borderId="6" xfId="0" applyFont="1" applyBorder="1" applyAlignment="1"/>
    <xf numFmtId="0" fontId="10" fillId="0" borderId="4" xfId="0" applyFont="1" applyBorder="1" applyAlignment="1">
      <alignment horizontal="right"/>
    </xf>
    <xf numFmtId="180" fontId="12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1" fillId="0" borderId="5" xfId="0" applyFont="1" applyBorder="1" applyAlignment="1"/>
    <xf numFmtId="0" fontId="0" fillId="0" borderId="0" xfId="0" applyFont="1" applyAlignment="1"/>
    <xf numFmtId="0" fontId="36" fillId="0" borderId="5" xfId="0" applyFont="1" applyBorder="1" applyAlignment="1"/>
    <xf numFmtId="0" fontId="3" fillId="0" borderId="17" xfId="0" applyFont="1" applyFill="1" applyBorder="1" applyAlignment="1"/>
    <xf numFmtId="0" fontId="0" fillId="0" borderId="0" xfId="0" applyFont="1"/>
    <xf numFmtId="0" fontId="0" fillId="0" borderId="21" xfId="0" applyFont="1" applyFill="1" applyBorder="1"/>
    <xf numFmtId="0" fontId="5" fillId="0" borderId="21" xfId="0" applyFont="1" applyBorder="1" applyAlignment="1">
      <alignment horizontal="center"/>
    </xf>
    <xf numFmtId="0" fontId="5" fillId="0" borderId="21" xfId="0" applyFont="1" applyBorder="1" applyAlignment="1"/>
    <xf numFmtId="167" fontId="5" fillId="0" borderId="21" xfId="0" applyNumberFormat="1" applyFont="1" applyBorder="1" applyAlignment="1"/>
    <xf numFmtId="0" fontId="5" fillId="0" borderId="21" xfId="0" applyFont="1" applyFill="1" applyBorder="1" applyAlignment="1"/>
    <xf numFmtId="0" fontId="37" fillId="0" borderId="5" xfId="0" applyFont="1" applyBorder="1" applyAlignment="1">
      <alignment horizontal="center"/>
    </xf>
    <xf numFmtId="0" fontId="37" fillId="0" borderId="5" xfId="0" applyFont="1" applyBorder="1" applyAlignment="1">
      <alignment horizontal="center" wrapText="1"/>
    </xf>
    <xf numFmtId="0" fontId="39" fillId="0" borderId="5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/>
    </xf>
    <xf numFmtId="180" fontId="11" fillId="0" borderId="21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0" fillId="0" borderId="21" xfId="0" applyFont="1" applyBorder="1" applyAlignment="1"/>
    <xf numFmtId="0" fontId="37" fillId="0" borderId="21" xfId="0" applyFont="1" applyBorder="1" applyAlignment="1"/>
    <xf numFmtId="0" fontId="37" fillId="0" borderId="21" xfId="0" applyFont="1" applyBorder="1" applyAlignment="1">
      <alignment horizontal="right"/>
    </xf>
    <xf numFmtId="180" fontId="12" fillId="0" borderId="21" xfId="0" applyNumberFormat="1" applyFont="1" applyBorder="1" applyAlignment="1">
      <alignment horizontal="center"/>
    </xf>
    <xf numFmtId="0" fontId="12" fillId="0" borderId="21" xfId="0" applyFont="1" applyBorder="1" applyAlignment="1"/>
    <xf numFmtId="0" fontId="3" fillId="24" borderId="15" xfId="0" applyFont="1" applyFill="1" applyBorder="1" applyAlignment="1"/>
    <xf numFmtId="0" fontId="37" fillId="0" borderId="44" xfId="0" applyFont="1" applyBorder="1" applyAlignment="1"/>
    <xf numFmtId="0" fontId="37" fillId="0" borderId="44" xfId="0" applyFont="1" applyBorder="1" applyAlignment="1">
      <alignment horizontal="right"/>
    </xf>
    <xf numFmtId="180" fontId="12" fillId="0" borderId="44" xfId="0" applyNumberFormat="1" applyFont="1" applyBorder="1" applyAlignment="1">
      <alignment horizontal="center"/>
    </xf>
    <xf numFmtId="0" fontId="13" fillId="3" borderId="26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13" xfId="0" applyFont="1" applyBorder="1"/>
    <xf numFmtId="0" fontId="3" fillId="0" borderId="6" xfId="0" applyFont="1" applyBorder="1" applyAlignment="1">
      <alignment horizontal="center"/>
    </xf>
    <xf numFmtId="0" fontId="9" fillId="0" borderId="14" xfId="0" applyFont="1" applyBorder="1"/>
    <xf numFmtId="0" fontId="9" fillId="0" borderId="4" xfId="0" applyFont="1" applyBorder="1"/>
    <xf numFmtId="0" fontId="13" fillId="0" borderId="0" xfId="0" applyFont="1" applyAlignment="1">
      <alignment horizontal="left"/>
    </xf>
    <xf numFmtId="0" fontId="19" fillId="17" borderId="6" xfId="0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19" fillId="17" borderId="6" xfId="0" applyFont="1" applyFill="1" applyBorder="1" applyAlignment="1">
      <alignment horizontal="center" wrapText="1"/>
    </xf>
    <xf numFmtId="178" fontId="5" fillId="0" borderId="6" xfId="0" applyNumberFormat="1" applyFont="1" applyBorder="1" applyAlignment="1">
      <alignment horizontal="center" vertical="center"/>
    </xf>
    <xf numFmtId="0" fontId="5" fillId="16" borderId="19" xfId="0" applyFont="1" applyFill="1" applyBorder="1" applyAlignment="1">
      <alignment horizontal="center"/>
    </xf>
    <xf numFmtId="0" fontId="9" fillId="0" borderId="20" xfId="0" applyFont="1" applyBorder="1"/>
    <xf numFmtId="0" fontId="9" fillId="0" borderId="21" xfId="0" applyFont="1" applyBorder="1"/>
    <xf numFmtId="0" fontId="5" fillId="0" borderId="6" xfId="0" applyFont="1" applyBorder="1" applyAlignment="1">
      <alignment horizontal="center" vertical="top"/>
    </xf>
    <xf numFmtId="0" fontId="19" fillId="17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18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16" fillId="14" borderId="6" xfId="0" applyFont="1" applyFill="1" applyBorder="1" applyAlignment="1">
      <alignment horizontal="center" vertical="center"/>
    </xf>
    <xf numFmtId="11" fontId="16" fillId="14" borderId="6" xfId="0" applyNumberFormat="1" applyFont="1" applyFill="1" applyBorder="1" applyAlignment="1">
      <alignment horizontal="center" vertical="center"/>
    </xf>
    <xf numFmtId="0" fontId="19" fillId="17" borderId="12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3" xfId="0" applyFont="1" applyBorder="1"/>
    <xf numFmtId="0" fontId="9" fillId="0" borderId="1" xfId="0" applyFont="1" applyBorder="1"/>
    <xf numFmtId="0" fontId="5" fillId="0" borderId="8" xfId="0" applyFont="1" applyBorder="1" applyAlignment="1">
      <alignment horizontal="center" vertical="center" wrapText="1"/>
    </xf>
    <xf numFmtId="0" fontId="9" fillId="0" borderId="2" xfId="0" applyFont="1" applyBorder="1"/>
    <xf numFmtId="0" fontId="23" fillId="17" borderId="1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19" fillId="15" borderId="6" xfId="0" applyFont="1" applyFill="1" applyBorder="1" applyAlignment="1">
      <alignment horizontal="center" vertical="center"/>
    </xf>
    <xf numFmtId="0" fontId="25" fillId="0" borderId="23" xfId="0" applyFont="1" applyBorder="1" applyAlignment="1">
      <alignment horizontal="center"/>
    </xf>
    <xf numFmtId="0" fontId="9" fillId="0" borderId="23" xfId="0" applyFont="1" applyBorder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7" fillId="0" borderId="6" xfId="0" applyFont="1" applyBorder="1" applyAlignment="1">
      <alignment horizontal="center"/>
    </xf>
    <xf numFmtId="0" fontId="38" fillId="0" borderId="4" xfId="0" applyFon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1000"/>
  <sheetViews>
    <sheetView topLeftCell="A7" workbookViewId="0">
      <selection activeCell="F25" sqref="F25"/>
    </sheetView>
  </sheetViews>
  <sheetFormatPr defaultColWidth="14.42578125" defaultRowHeight="15" customHeight="1"/>
  <cols>
    <col min="1" max="1" width="9.5703125" customWidth="1"/>
    <col min="2" max="2" width="15.85546875" customWidth="1"/>
    <col min="3" max="3" width="8" customWidth="1"/>
    <col min="4" max="4" width="9.42578125" customWidth="1"/>
    <col min="5" max="5" width="8" customWidth="1"/>
    <col min="6" max="6" width="9.5703125" customWidth="1"/>
    <col min="7" max="7" width="12.140625" customWidth="1"/>
    <col min="8" max="8" width="8" customWidth="1"/>
    <col min="9" max="9" width="13.28515625" customWidth="1"/>
    <col min="10" max="12" width="8" customWidth="1"/>
    <col min="13" max="13" width="6.140625" customWidth="1"/>
    <col min="14" max="14" width="4.5703125" customWidth="1"/>
    <col min="15" max="15" width="8.42578125" customWidth="1"/>
    <col min="16" max="26" width="8" customWidth="1"/>
  </cols>
  <sheetData>
    <row r="1" spans="1:17" ht="18.75" customHeight="1">
      <c r="A1" s="310" t="s">
        <v>0</v>
      </c>
      <c r="B1" s="311"/>
      <c r="C1" s="311"/>
      <c r="D1" s="311"/>
      <c r="E1" s="311"/>
      <c r="F1" s="311"/>
      <c r="G1" s="311"/>
      <c r="H1" s="311"/>
      <c r="I1" s="311"/>
      <c r="J1" s="311"/>
    </row>
    <row r="3" spans="1:17" ht="15.75" customHeight="1">
      <c r="A3" s="312" t="s">
        <v>1</v>
      </c>
      <c r="B3" s="311"/>
      <c r="C3" s="311"/>
      <c r="D3" s="311"/>
      <c r="E3" s="311"/>
      <c r="F3" s="311"/>
      <c r="G3" s="311"/>
      <c r="H3" s="311"/>
      <c r="I3" s="311"/>
      <c r="J3" s="311"/>
    </row>
    <row r="4" spans="1:17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  <c r="O4" s="5" t="s">
        <v>12</v>
      </c>
      <c r="P4" s="5" t="s">
        <v>13</v>
      </c>
      <c r="Q4" s="6">
        <f>COUNTA(B5:B14)</f>
        <v>10</v>
      </c>
    </row>
    <row r="5" spans="1:17">
      <c r="A5" s="7">
        <v>1</v>
      </c>
      <c r="B5" s="8" t="s">
        <v>14</v>
      </c>
      <c r="C5" s="8">
        <v>20</v>
      </c>
      <c r="D5" s="8">
        <v>10</v>
      </c>
      <c r="E5" s="8">
        <v>14</v>
      </c>
      <c r="F5" s="8">
        <v>18</v>
      </c>
      <c r="G5" s="8">
        <v>15</v>
      </c>
      <c r="H5" s="9">
        <f t="shared" ref="H5:H13" si="0">SUM(C5:G5)</f>
        <v>77</v>
      </c>
      <c r="I5" s="9">
        <f t="shared" ref="I5:I14" si="1">AVERAGE(C5:G5)</f>
        <v>15.4</v>
      </c>
      <c r="J5" s="10" t="str">
        <f t="shared" ref="J5:J14" si="2">IF(I5&gt;15,"A","B")</f>
        <v>A</v>
      </c>
      <c r="K5" s="6">
        <f t="shared" ref="K5:K14" si="3">SUM(C5:G5)</f>
        <v>77</v>
      </c>
      <c r="L5" s="11">
        <f t="shared" ref="L5:L14" si="4">AVERAGE(C5:G14)</f>
        <v>15.26</v>
      </c>
      <c r="M5" s="6" t="str">
        <f t="shared" ref="M5:M9" si="5">IF(I5&gt;15,"A","B")</f>
        <v>A</v>
      </c>
      <c r="N5" s="6">
        <f>COUNTIF(J5:J14,J5)</f>
        <v>6</v>
      </c>
      <c r="O5" s="6">
        <f>SUMIF(B5:B14,O4,H5:H14)</f>
        <v>86</v>
      </c>
      <c r="P5" s="6">
        <f>SUMIF(B5:B14,P4,H5:H14)</f>
        <v>77</v>
      </c>
    </row>
    <row r="6" spans="1:17">
      <c r="A6" s="7">
        <v>2</v>
      </c>
      <c r="B6" s="8" t="s">
        <v>13</v>
      </c>
      <c r="C6" s="8">
        <v>21</v>
      </c>
      <c r="D6" s="8">
        <v>12</v>
      </c>
      <c r="E6" s="8">
        <v>14</v>
      </c>
      <c r="F6" s="8">
        <v>12</v>
      </c>
      <c r="G6" s="8">
        <v>18</v>
      </c>
      <c r="H6" s="9">
        <f t="shared" si="0"/>
        <v>77</v>
      </c>
      <c r="I6" s="9">
        <f t="shared" si="1"/>
        <v>15.4</v>
      </c>
      <c r="J6" s="10" t="str">
        <f t="shared" si="2"/>
        <v>A</v>
      </c>
      <c r="K6" s="6">
        <f t="shared" si="3"/>
        <v>77</v>
      </c>
      <c r="L6" s="11">
        <f t="shared" si="4"/>
        <v>15.244444444444444</v>
      </c>
      <c r="M6" s="6" t="str">
        <f t="shared" si="5"/>
        <v>A</v>
      </c>
      <c r="N6" s="6">
        <f>COUNTIF(J5:J14,J8)</f>
        <v>4</v>
      </c>
      <c r="O6" s="6">
        <f>SUMIF(B5:B14,O4,I5:I14)</f>
        <v>17.2</v>
      </c>
      <c r="P6" s="6">
        <f>SUMIF(B5:B14,P4,I5:I14)</f>
        <v>15.4</v>
      </c>
    </row>
    <row r="7" spans="1:17">
      <c r="A7" s="7">
        <v>3</v>
      </c>
      <c r="B7" s="8" t="s">
        <v>12</v>
      </c>
      <c r="C7" s="8">
        <v>33</v>
      </c>
      <c r="D7" s="8">
        <v>15</v>
      </c>
      <c r="E7" s="8">
        <v>7</v>
      </c>
      <c r="F7" s="8">
        <v>14</v>
      </c>
      <c r="G7" s="8">
        <v>17</v>
      </c>
      <c r="H7" s="9">
        <f t="shared" si="0"/>
        <v>86</v>
      </c>
      <c r="I7" s="9">
        <f t="shared" si="1"/>
        <v>17.2</v>
      </c>
      <c r="J7" s="10" t="str">
        <f t="shared" si="2"/>
        <v>A</v>
      </c>
      <c r="K7" s="6">
        <f t="shared" si="3"/>
        <v>86</v>
      </c>
      <c r="L7" s="11">
        <f t="shared" si="4"/>
        <v>15.225</v>
      </c>
      <c r="M7" s="6" t="str">
        <f t="shared" si="5"/>
        <v>A</v>
      </c>
    </row>
    <row r="8" spans="1:17">
      <c r="A8" s="7">
        <v>4</v>
      </c>
      <c r="B8" s="8" t="s">
        <v>15</v>
      </c>
      <c r="C8" s="8">
        <v>15</v>
      </c>
      <c r="D8" s="8">
        <v>14</v>
      </c>
      <c r="E8" s="8">
        <v>8</v>
      </c>
      <c r="F8" s="8">
        <v>16</v>
      </c>
      <c r="G8" s="8">
        <v>20</v>
      </c>
      <c r="H8" s="9">
        <f t="shared" si="0"/>
        <v>73</v>
      </c>
      <c r="I8" s="9">
        <f t="shared" si="1"/>
        <v>14.6</v>
      </c>
      <c r="J8" s="10" t="str">
        <f t="shared" si="2"/>
        <v>B</v>
      </c>
      <c r="K8" s="6">
        <f t="shared" si="3"/>
        <v>73</v>
      </c>
      <c r="L8" s="11">
        <f t="shared" si="4"/>
        <v>14.942857142857143</v>
      </c>
      <c r="M8" s="6" t="str">
        <f t="shared" si="5"/>
        <v>B</v>
      </c>
    </row>
    <row r="9" spans="1:17">
      <c r="A9" s="7">
        <v>5</v>
      </c>
      <c r="B9" s="8" t="s">
        <v>16</v>
      </c>
      <c r="C9" s="8">
        <v>14</v>
      </c>
      <c r="D9" s="8">
        <v>17</v>
      </c>
      <c r="E9" s="8">
        <v>10</v>
      </c>
      <c r="F9" s="8">
        <v>13</v>
      </c>
      <c r="G9" s="8">
        <v>18</v>
      </c>
      <c r="H9" s="9">
        <f t="shared" si="0"/>
        <v>72</v>
      </c>
      <c r="I9" s="9">
        <f t="shared" si="1"/>
        <v>14.4</v>
      </c>
      <c r="J9" s="10" t="str">
        <f t="shared" si="2"/>
        <v>B</v>
      </c>
      <c r="K9" s="6">
        <f t="shared" si="3"/>
        <v>72</v>
      </c>
      <c r="L9" s="11">
        <f t="shared" si="4"/>
        <v>15</v>
      </c>
      <c r="M9" s="6" t="str">
        <f t="shared" si="5"/>
        <v>B</v>
      </c>
    </row>
    <row r="10" spans="1:17">
      <c r="A10" s="7">
        <v>6</v>
      </c>
      <c r="B10" s="8" t="s">
        <v>17</v>
      </c>
      <c r="C10" s="8">
        <v>16</v>
      </c>
      <c r="D10" s="8">
        <v>8</v>
      </c>
      <c r="E10" s="8">
        <v>20</v>
      </c>
      <c r="F10" s="8">
        <v>17</v>
      </c>
      <c r="G10" s="8">
        <v>15</v>
      </c>
      <c r="H10" s="9">
        <f t="shared" si="0"/>
        <v>76</v>
      </c>
      <c r="I10" s="9">
        <f t="shared" si="1"/>
        <v>15.2</v>
      </c>
      <c r="J10" s="10" t="str">
        <f t="shared" si="2"/>
        <v>A</v>
      </c>
      <c r="K10" s="6">
        <f t="shared" si="3"/>
        <v>76</v>
      </c>
      <c r="L10" s="11">
        <f t="shared" si="4"/>
        <v>15.12</v>
      </c>
      <c r="M10" s="5" t="s">
        <v>18</v>
      </c>
    </row>
    <row r="11" spans="1:17">
      <c r="A11" s="7">
        <v>7</v>
      </c>
      <c r="B11" s="8" t="s">
        <v>19</v>
      </c>
      <c r="C11" s="8">
        <v>18</v>
      </c>
      <c r="D11" s="8">
        <v>19</v>
      </c>
      <c r="E11" s="8">
        <v>3</v>
      </c>
      <c r="F11" s="8">
        <v>10</v>
      </c>
      <c r="G11" s="8">
        <v>14</v>
      </c>
      <c r="H11" s="9">
        <f t="shared" si="0"/>
        <v>64</v>
      </c>
      <c r="I11" s="9">
        <f t="shared" si="1"/>
        <v>12.8</v>
      </c>
      <c r="J11" s="10" t="str">
        <f t="shared" si="2"/>
        <v>B</v>
      </c>
      <c r="K11" s="6">
        <f t="shared" si="3"/>
        <v>64</v>
      </c>
      <c r="L11" s="11">
        <f t="shared" si="4"/>
        <v>15.1</v>
      </c>
      <c r="M11" s="6" t="str">
        <f t="shared" ref="M11:M14" si="6">IF(I11&gt;15,"A","B")</f>
        <v>B</v>
      </c>
    </row>
    <row r="12" spans="1:17">
      <c r="A12" s="7">
        <v>8</v>
      </c>
      <c r="B12" s="8" t="s">
        <v>20</v>
      </c>
      <c r="C12" s="6">
        <v>19</v>
      </c>
      <c r="D12" s="8">
        <v>20</v>
      </c>
      <c r="E12" s="8">
        <v>7</v>
      </c>
      <c r="F12" s="8">
        <v>14</v>
      </c>
      <c r="G12" s="8">
        <v>18</v>
      </c>
      <c r="H12" s="9">
        <f t="shared" si="0"/>
        <v>78</v>
      </c>
      <c r="I12" s="9">
        <f t="shared" si="1"/>
        <v>15.6</v>
      </c>
      <c r="J12" s="10" t="str">
        <f t="shared" si="2"/>
        <v>A</v>
      </c>
      <c r="K12" s="6">
        <f t="shared" si="3"/>
        <v>78</v>
      </c>
      <c r="L12" s="11">
        <f t="shared" si="4"/>
        <v>15.866666666666667</v>
      </c>
      <c r="M12" s="6" t="str">
        <f t="shared" si="6"/>
        <v>A</v>
      </c>
    </row>
    <row r="13" spans="1:17">
      <c r="A13" s="7">
        <v>9</v>
      </c>
      <c r="B13" s="8" t="s">
        <v>21</v>
      </c>
      <c r="C13" s="8">
        <v>22</v>
      </c>
      <c r="D13" s="8">
        <v>13</v>
      </c>
      <c r="E13" s="8">
        <v>8</v>
      </c>
      <c r="F13" s="8">
        <v>12</v>
      </c>
      <c r="G13" s="8">
        <v>19</v>
      </c>
      <c r="H13" s="9">
        <f t="shared" si="0"/>
        <v>74</v>
      </c>
      <c r="I13" s="9">
        <f t="shared" si="1"/>
        <v>14.8</v>
      </c>
      <c r="J13" s="10" t="str">
        <f t="shared" si="2"/>
        <v>B</v>
      </c>
      <c r="K13" s="6">
        <f t="shared" si="3"/>
        <v>74</v>
      </c>
      <c r="L13" s="11">
        <f t="shared" si="4"/>
        <v>16</v>
      </c>
      <c r="M13" s="6" t="str">
        <f t="shared" si="6"/>
        <v>B</v>
      </c>
    </row>
    <row r="14" spans="1:17">
      <c r="A14" s="12">
        <v>10</v>
      </c>
      <c r="B14" s="13" t="s">
        <v>22</v>
      </c>
      <c r="C14" s="13">
        <v>26</v>
      </c>
      <c r="D14" s="13">
        <v>12</v>
      </c>
      <c r="E14" s="13">
        <v>10</v>
      </c>
      <c r="F14" s="13">
        <v>11</v>
      </c>
      <c r="G14" s="13">
        <v>27</v>
      </c>
      <c r="I14" s="9">
        <f t="shared" si="1"/>
        <v>17.2</v>
      </c>
      <c r="J14" s="10" t="str">
        <f t="shared" si="2"/>
        <v>A</v>
      </c>
      <c r="K14" s="6">
        <f t="shared" si="3"/>
        <v>86</v>
      </c>
      <c r="L14" s="11">
        <f t="shared" si="4"/>
        <v>14</v>
      </c>
      <c r="M14" s="6" t="str">
        <f t="shared" si="6"/>
        <v>A</v>
      </c>
    </row>
    <row r="16" spans="1:17" ht="19.5" customHeight="1">
      <c r="A16" s="14" t="s">
        <v>23</v>
      </c>
      <c r="B16" s="14"/>
      <c r="C16" s="14"/>
      <c r="D16" s="14"/>
    </row>
    <row r="17" spans="1:14" ht="19.5" customHeight="1">
      <c r="A17" s="14" t="s">
        <v>24</v>
      </c>
      <c r="B17" s="14"/>
      <c r="C17" s="14"/>
      <c r="D17" s="14"/>
    </row>
    <row r="18" spans="1:14" ht="19.5" customHeight="1">
      <c r="A18" s="14" t="s">
        <v>25</v>
      </c>
      <c r="B18" s="14"/>
      <c r="C18" s="14"/>
      <c r="D18" s="14"/>
      <c r="I18" s="6" t="s">
        <v>26</v>
      </c>
    </row>
    <row r="19" spans="1:14" ht="19.5" customHeight="1">
      <c r="A19" s="14" t="s">
        <v>27</v>
      </c>
      <c r="B19" s="14"/>
      <c r="C19" s="14"/>
      <c r="D19" s="14"/>
      <c r="I19" s="6" t="s">
        <v>28</v>
      </c>
    </row>
    <row r="20" spans="1:14" ht="19.5" customHeight="1">
      <c r="A20" s="14" t="s">
        <v>29</v>
      </c>
      <c r="B20" s="14"/>
      <c r="C20" s="14"/>
      <c r="D20" s="14"/>
      <c r="I20" s="6" t="s">
        <v>30</v>
      </c>
    </row>
    <row r="21" spans="1:14" ht="19.5" customHeight="1">
      <c r="A21" s="14" t="s">
        <v>31</v>
      </c>
      <c r="B21" s="14"/>
      <c r="C21" s="14"/>
      <c r="D21" s="14"/>
      <c r="I21" s="6" t="s">
        <v>26</v>
      </c>
    </row>
    <row r="22" spans="1:14" ht="15.75" customHeight="1">
      <c r="E22" s="5" t="s">
        <v>32</v>
      </c>
      <c r="F22" s="5" t="s">
        <v>33</v>
      </c>
      <c r="N22" s="15"/>
    </row>
    <row r="23" spans="1:14" ht="15.75" customHeight="1">
      <c r="D23" s="5" t="s">
        <v>4</v>
      </c>
      <c r="E23" s="6">
        <f>COUNTIF(C5:C14,"&gt;20")</f>
        <v>4</v>
      </c>
      <c r="F23" s="6">
        <f>COUNTIF(C5:C14,"&gt;15")</f>
        <v>8</v>
      </c>
    </row>
    <row r="24" spans="1:14" ht="15.75" customHeight="1">
      <c r="D24" s="5" t="s">
        <v>5</v>
      </c>
      <c r="E24" s="6">
        <f>COUNTIF(C6:C15,"&gt;20")</f>
        <v>4</v>
      </c>
      <c r="F24" s="6">
        <f>COUNTIF(C6:C15,"&gt;15")</f>
        <v>7</v>
      </c>
    </row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3:J3"/>
  </mergeCells>
  <pageMargins left="0" right="0" top="0" bottom="0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N5" sqref="N5"/>
    </sheetView>
  </sheetViews>
  <sheetFormatPr defaultColWidth="14.42578125" defaultRowHeight="15" customHeight="1"/>
  <cols>
    <col min="1" max="1" width="10.85546875" customWidth="1"/>
    <col min="2" max="2" width="20" customWidth="1"/>
    <col min="3" max="3" width="10.140625" customWidth="1"/>
    <col min="4" max="4" width="11.42578125" customWidth="1"/>
    <col min="5" max="5" width="12.28515625" customWidth="1"/>
    <col min="6" max="6" width="10.140625" customWidth="1"/>
    <col min="7" max="7" width="8" customWidth="1"/>
    <col min="8" max="8" width="9.42578125" customWidth="1"/>
    <col min="9" max="26" width="8" customWidth="1"/>
  </cols>
  <sheetData>
    <row r="1" spans="1:13" ht="18.75" customHeight="1">
      <c r="A1" s="310" t="s">
        <v>1205</v>
      </c>
      <c r="B1" s="311"/>
      <c r="C1" s="311"/>
      <c r="D1" s="311"/>
      <c r="E1" s="311"/>
      <c r="F1" s="311"/>
      <c r="G1" s="311"/>
      <c r="H1" s="311"/>
      <c r="I1" s="16"/>
      <c r="J1" s="16"/>
    </row>
    <row r="2" spans="1:13">
      <c r="A2" s="313" t="s">
        <v>34</v>
      </c>
      <c r="B2" s="311"/>
      <c r="C2" s="311"/>
      <c r="D2" s="311"/>
      <c r="E2" s="311"/>
      <c r="F2" s="311"/>
      <c r="G2" s="311"/>
      <c r="H2" s="311"/>
    </row>
    <row r="4" spans="1:13" ht="15.75" customHeight="1">
      <c r="A4" s="18" t="s">
        <v>35</v>
      </c>
      <c r="B4" s="19" t="s">
        <v>36</v>
      </c>
      <c r="C4" s="19" t="s">
        <v>37</v>
      </c>
      <c r="D4" s="19" t="s">
        <v>38</v>
      </c>
      <c r="E4" s="19" t="s">
        <v>39</v>
      </c>
      <c r="F4" s="20" t="s">
        <v>40</v>
      </c>
    </row>
    <row r="5" spans="1:13" ht="15.75" customHeight="1">
      <c r="A5" s="21">
        <v>1</v>
      </c>
      <c r="B5" s="22" t="s">
        <v>41</v>
      </c>
      <c r="C5" s="22">
        <v>20</v>
      </c>
      <c r="D5" s="22">
        <v>40000</v>
      </c>
      <c r="E5" s="22">
        <f t="shared" ref="E5:E14" si="0">D5*C5</f>
        <v>800000</v>
      </c>
      <c r="F5" s="22" t="str">
        <f t="shared" ref="F5:F14" si="1">IF(E5&gt;500000,"Expensive","lets buy it")</f>
        <v>Expensive</v>
      </c>
      <c r="H5" s="6">
        <f t="shared" ref="H5:H14" si="2">$C$5:$C$14*$D$5:$D$14</f>
        <v>800000</v>
      </c>
      <c r="I5" s="6">
        <f>COUNTA(B5:B14)</f>
        <v>10</v>
      </c>
      <c r="J5" s="6">
        <f>COUNTIF(C5:C14,"&gt;20")</f>
        <v>3</v>
      </c>
      <c r="K5" s="6">
        <f>SUMIF(B5:B14,B11,C5:C14)</f>
        <v>10</v>
      </c>
      <c r="L5" s="6">
        <f>SUMIF(B5:B14,B11,D5:D14)</f>
        <v>25000</v>
      </c>
      <c r="M5" s="6" t="str">
        <f t="shared" ref="M5:M14" si="3">IF(E5&gt;500000,"EXPENSIVE","LETS BAY IT")</f>
        <v>EXPENSIVE</v>
      </c>
    </row>
    <row r="6" spans="1:13" ht="15.75" customHeight="1">
      <c r="A6" s="21">
        <v>2</v>
      </c>
      <c r="B6" s="22" t="s">
        <v>42</v>
      </c>
      <c r="C6" s="22">
        <v>30</v>
      </c>
      <c r="D6" s="22">
        <v>20000</v>
      </c>
      <c r="E6" s="22">
        <f t="shared" si="0"/>
        <v>600000</v>
      </c>
      <c r="F6" s="22" t="str">
        <f t="shared" si="1"/>
        <v>Expensive</v>
      </c>
      <c r="H6" s="6">
        <f t="shared" si="2"/>
        <v>600000</v>
      </c>
      <c r="J6" s="6">
        <f>COUNTIF(C5:C14,"&lt;20")</f>
        <v>6</v>
      </c>
      <c r="K6" s="6">
        <f>SUMIF(B5:B14,B10,C5:C14)</f>
        <v>32</v>
      </c>
      <c r="L6" s="6">
        <f>SUMIF(B5:B14,B11,E5:E14)</f>
        <v>250000</v>
      </c>
      <c r="M6" s="6" t="str">
        <f t="shared" si="3"/>
        <v>EXPENSIVE</v>
      </c>
    </row>
    <row r="7" spans="1:13" ht="15.75" customHeight="1">
      <c r="A7" s="21">
        <v>3</v>
      </c>
      <c r="B7" s="22" t="s">
        <v>43</v>
      </c>
      <c r="C7" s="22">
        <v>15</v>
      </c>
      <c r="D7" s="22">
        <v>10000</v>
      </c>
      <c r="E7" s="22">
        <f t="shared" si="0"/>
        <v>150000</v>
      </c>
      <c r="F7" s="22" t="str">
        <f t="shared" si="1"/>
        <v>lets buy it</v>
      </c>
      <c r="H7" s="6">
        <f t="shared" si="2"/>
        <v>150000</v>
      </c>
      <c r="M7" s="6" t="str">
        <f t="shared" si="3"/>
        <v>LETS BAY IT</v>
      </c>
    </row>
    <row r="8" spans="1:13" ht="15.75" customHeight="1">
      <c r="A8" s="21">
        <v>4</v>
      </c>
      <c r="B8" s="22" t="s">
        <v>44</v>
      </c>
      <c r="C8" s="22">
        <v>14</v>
      </c>
      <c r="D8" s="22">
        <v>15000</v>
      </c>
      <c r="E8" s="22">
        <f t="shared" si="0"/>
        <v>210000</v>
      </c>
      <c r="F8" s="22" t="str">
        <f t="shared" si="1"/>
        <v>lets buy it</v>
      </c>
      <c r="H8" s="6">
        <f t="shared" si="2"/>
        <v>210000</v>
      </c>
      <c r="M8" s="6" t="str">
        <f t="shared" si="3"/>
        <v>LETS BAY IT</v>
      </c>
    </row>
    <row r="9" spans="1:13" ht="15.75" customHeight="1">
      <c r="A9" s="21">
        <v>5</v>
      </c>
      <c r="B9" s="22" t="s">
        <v>45</v>
      </c>
      <c r="C9" s="22">
        <v>18</v>
      </c>
      <c r="D9" s="22">
        <v>20000</v>
      </c>
      <c r="E9" s="22">
        <f t="shared" si="0"/>
        <v>360000</v>
      </c>
      <c r="F9" s="22" t="str">
        <f t="shared" si="1"/>
        <v>lets buy it</v>
      </c>
      <c r="H9" s="6">
        <f t="shared" si="2"/>
        <v>360000</v>
      </c>
      <c r="M9" s="6" t="str">
        <f t="shared" si="3"/>
        <v>LETS BAY IT</v>
      </c>
    </row>
    <row r="10" spans="1:13" ht="15.75" customHeight="1">
      <c r="A10" s="21">
        <v>6</v>
      </c>
      <c r="B10" s="23" t="s">
        <v>43</v>
      </c>
      <c r="C10" s="22">
        <v>17</v>
      </c>
      <c r="D10" s="22">
        <v>2000</v>
      </c>
      <c r="E10" s="22">
        <f t="shared" si="0"/>
        <v>34000</v>
      </c>
      <c r="F10" s="22" t="str">
        <f t="shared" si="1"/>
        <v>lets buy it</v>
      </c>
      <c r="H10" s="6">
        <f t="shared" si="2"/>
        <v>34000</v>
      </c>
      <c r="M10" s="6" t="str">
        <f t="shared" si="3"/>
        <v>LETS BAY IT</v>
      </c>
    </row>
    <row r="11" spans="1:13" ht="15.75" customHeight="1">
      <c r="A11" s="21">
        <v>7</v>
      </c>
      <c r="B11" s="22" t="s">
        <v>46</v>
      </c>
      <c r="C11" s="22">
        <v>10</v>
      </c>
      <c r="D11" s="22">
        <v>25000</v>
      </c>
      <c r="E11" s="22">
        <f t="shared" si="0"/>
        <v>250000</v>
      </c>
      <c r="F11" s="22" t="str">
        <f t="shared" si="1"/>
        <v>lets buy it</v>
      </c>
      <c r="H11" s="6">
        <f t="shared" si="2"/>
        <v>250000</v>
      </c>
      <c r="M11" s="6" t="str">
        <f t="shared" si="3"/>
        <v>LETS BAY IT</v>
      </c>
    </row>
    <row r="12" spans="1:13" ht="15.75" customHeight="1">
      <c r="A12" s="21">
        <v>8</v>
      </c>
      <c r="B12" s="22" t="s">
        <v>47</v>
      </c>
      <c r="C12" s="22">
        <v>5</v>
      </c>
      <c r="D12" s="22">
        <v>250</v>
      </c>
      <c r="E12" s="22">
        <f t="shared" si="0"/>
        <v>1250</v>
      </c>
      <c r="F12" s="22" t="str">
        <f t="shared" si="1"/>
        <v>lets buy it</v>
      </c>
      <c r="H12" s="6">
        <f t="shared" si="2"/>
        <v>1250</v>
      </c>
      <c r="M12" s="6" t="str">
        <f t="shared" si="3"/>
        <v>LETS BAY IT</v>
      </c>
    </row>
    <row r="13" spans="1:13" ht="15.75" customHeight="1">
      <c r="A13" s="21">
        <v>9</v>
      </c>
      <c r="B13" s="22" t="s">
        <v>48</v>
      </c>
      <c r="C13" s="22">
        <v>25</v>
      </c>
      <c r="D13" s="22">
        <v>100</v>
      </c>
      <c r="E13" s="22">
        <f t="shared" si="0"/>
        <v>2500</v>
      </c>
      <c r="F13" s="22" t="str">
        <f t="shared" si="1"/>
        <v>lets buy it</v>
      </c>
      <c r="H13" s="6">
        <f t="shared" si="2"/>
        <v>2500</v>
      </c>
      <c r="M13" s="6" t="str">
        <f t="shared" si="3"/>
        <v>LETS BAY IT</v>
      </c>
    </row>
    <row r="14" spans="1:13" ht="15.75" customHeight="1">
      <c r="A14" s="24">
        <v>10</v>
      </c>
      <c r="B14" s="25" t="s">
        <v>49</v>
      </c>
      <c r="C14" s="25">
        <v>30</v>
      </c>
      <c r="D14" s="25">
        <v>12000</v>
      </c>
      <c r="E14" s="25">
        <f t="shared" si="0"/>
        <v>360000</v>
      </c>
      <c r="F14" s="22" t="str">
        <f t="shared" si="1"/>
        <v>lets buy it</v>
      </c>
      <c r="H14" s="6">
        <f t="shared" si="2"/>
        <v>360000</v>
      </c>
      <c r="M14" s="6" t="str">
        <f t="shared" si="3"/>
        <v>LETS BAY IT</v>
      </c>
    </row>
    <row r="15" spans="1:13" ht="15.75">
      <c r="E15" s="26"/>
    </row>
    <row r="16" spans="1:13" ht="19.5" customHeight="1">
      <c r="A16" s="14" t="s">
        <v>50</v>
      </c>
      <c r="B16" s="14"/>
      <c r="C16" s="14"/>
      <c r="E16" s="26"/>
    </row>
    <row r="17" spans="1:5" ht="19.5" customHeight="1">
      <c r="A17" s="14" t="s">
        <v>51</v>
      </c>
      <c r="B17" s="14"/>
      <c r="C17" s="14"/>
      <c r="E17" s="26"/>
    </row>
    <row r="18" spans="1:5" ht="19.5" customHeight="1">
      <c r="A18" s="14" t="s">
        <v>52</v>
      </c>
      <c r="B18" s="14"/>
      <c r="C18" s="14"/>
      <c r="E18" s="26"/>
    </row>
    <row r="19" spans="1:5" ht="19.5" customHeight="1">
      <c r="A19" s="14" t="s">
        <v>53</v>
      </c>
      <c r="B19" s="14"/>
      <c r="C19" s="14"/>
      <c r="E19" s="26"/>
    </row>
    <row r="20" spans="1:5" ht="19.5" customHeight="1">
      <c r="A20" s="14" t="s">
        <v>54</v>
      </c>
      <c r="B20" s="14"/>
      <c r="C20" s="14"/>
      <c r="E20" s="26"/>
    </row>
    <row r="21" spans="1:5" ht="15.75" customHeight="1">
      <c r="E21" s="26"/>
    </row>
    <row r="22" spans="1:5" ht="15.75" customHeight="1">
      <c r="E22" s="26"/>
    </row>
    <row r="23" spans="1:5" ht="15.75" customHeight="1">
      <c r="E23" s="26"/>
    </row>
    <row r="24" spans="1:5" ht="15.75" customHeight="1">
      <c r="E24" s="26"/>
    </row>
    <row r="25" spans="1:5" ht="15.75" customHeight="1">
      <c r="E25" s="26"/>
    </row>
    <row r="26" spans="1:5" ht="15.75" customHeight="1">
      <c r="E26" s="26"/>
    </row>
    <row r="27" spans="1:5" ht="15.75" customHeight="1">
      <c r="E27" s="26"/>
    </row>
    <row r="28" spans="1:5" ht="15.75" customHeight="1">
      <c r="E28" s="26"/>
    </row>
    <row r="29" spans="1:5" ht="15.75" customHeight="1">
      <c r="E29" s="26"/>
    </row>
    <row r="30" spans="1:5" ht="15.75" customHeight="1">
      <c r="E30" s="26"/>
    </row>
    <row r="31" spans="1:5" ht="15.75" customHeight="1">
      <c r="E31" s="26"/>
    </row>
    <row r="32" spans="1:5" ht="15.75" customHeight="1">
      <c r="E32" s="26"/>
    </row>
    <row r="33" spans="5:5" ht="15.75" customHeight="1">
      <c r="E33" s="26"/>
    </row>
    <row r="34" spans="5:5" ht="15.75" customHeight="1">
      <c r="E34" s="26"/>
    </row>
    <row r="35" spans="5:5" ht="15.75" customHeight="1">
      <c r="E35" s="26"/>
    </row>
    <row r="36" spans="5:5" ht="15.75" customHeight="1">
      <c r="E36" s="26"/>
    </row>
    <row r="37" spans="5:5" ht="15.75" customHeight="1">
      <c r="E37" s="26"/>
    </row>
    <row r="38" spans="5:5" ht="15.75" customHeight="1">
      <c r="E38" s="26"/>
    </row>
    <row r="39" spans="5:5" ht="15.75" customHeight="1">
      <c r="E39" s="26"/>
    </row>
    <row r="40" spans="5:5" ht="15.75" customHeight="1">
      <c r="E40" s="26"/>
    </row>
    <row r="41" spans="5:5" ht="15.75" customHeight="1">
      <c r="E41" s="26"/>
    </row>
    <row r="42" spans="5:5" ht="15.75" customHeight="1">
      <c r="E42" s="26"/>
    </row>
    <row r="43" spans="5:5" ht="15.75" customHeight="1">
      <c r="E43" s="26"/>
    </row>
    <row r="44" spans="5:5" ht="15.75" customHeight="1">
      <c r="E44" s="26"/>
    </row>
    <row r="45" spans="5:5" ht="15.75" customHeight="1">
      <c r="E45" s="26"/>
    </row>
    <row r="46" spans="5:5" ht="15.75" customHeight="1">
      <c r="E46" s="26"/>
    </row>
    <row r="47" spans="5:5" ht="15.75" customHeight="1">
      <c r="E47" s="26"/>
    </row>
    <row r="48" spans="5:5" ht="15.75" customHeight="1">
      <c r="E48" s="26"/>
    </row>
    <row r="49" spans="5:5" ht="15.75" customHeight="1">
      <c r="E49" s="26"/>
    </row>
    <row r="50" spans="5:5" ht="15.75" customHeight="1">
      <c r="E50" s="26"/>
    </row>
    <row r="51" spans="5:5" ht="15.75" customHeight="1">
      <c r="E51" s="26"/>
    </row>
    <row r="52" spans="5:5" ht="15.75" customHeight="1">
      <c r="E52" s="26"/>
    </row>
    <row r="53" spans="5:5" ht="15.75" customHeight="1">
      <c r="E53" s="26"/>
    </row>
    <row r="54" spans="5:5" ht="15.75" customHeight="1">
      <c r="E54" s="26"/>
    </row>
    <row r="55" spans="5:5" ht="15.75" customHeight="1">
      <c r="E55" s="26"/>
    </row>
    <row r="56" spans="5:5" ht="15.75" customHeight="1">
      <c r="E56" s="26"/>
    </row>
    <row r="57" spans="5:5" ht="15.75" customHeight="1">
      <c r="E57" s="26"/>
    </row>
    <row r="58" spans="5:5" ht="15.75" customHeight="1">
      <c r="E58" s="26"/>
    </row>
    <row r="59" spans="5:5" ht="15.75" customHeight="1">
      <c r="E59" s="26"/>
    </row>
    <row r="60" spans="5:5" ht="15.75" customHeight="1">
      <c r="E60" s="26"/>
    </row>
    <row r="61" spans="5:5" ht="15.75" customHeight="1">
      <c r="E61" s="26"/>
    </row>
    <row r="62" spans="5:5" ht="15.75" customHeight="1">
      <c r="E62" s="26"/>
    </row>
    <row r="63" spans="5:5" ht="15.75" customHeight="1">
      <c r="E63" s="26"/>
    </row>
    <row r="64" spans="5:5" ht="15.75" customHeight="1">
      <c r="E64" s="26"/>
    </row>
    <row r="65" spans="5:5" ht="15.75" customHeight="1">
      <c r="E65" s="26"/>
    </row>
    <row r="66" spans="5:5" ht="15.75" customHeight="1">
      <c r="E66" s="26"/>
    </row>
    <row r="67" spans="5:5" ht="15.75" customHeight="1">
      <c r="E67" s="26"/>
    </row>
    <row r="68" spans="5:5" ht="15.75" customHeight="1">
      <c r="E68" s="26"/>
    </row>
    <row r="69" spans="5:5" ht="15.75" customHeight="1">
      <c r="E69" s="26"/>
    </row>
    <row r="70" spans="5:5" ht="15.75" customHeight="1">
      <c r="E70" s="26"/>
    </row>
    <row r="71" spans="5:5" ht="15.75" customHeight="1">
      <c r="E71" s="26"/>
    </row>
    <row r="72" spans="5:5" ht="15.75" customHeight="1">
      <c r="E72" s="26"/>
    </row>
    <row r="73" spans="5:5" ht="15.75" customHeight="1">
      <c r="E73" s="26"/>
    </row>
    <row r="74" spans="5:5" ht="15.75" customHeight="1">
      <c r="E74" s="26"/>
    </row>
    <row r="75" spans="5:5" ht="15.75" customHeight="1">
      <c r="E75" s="26"/>
    </row>
    <row r="76" spans="5:5" ht="15.75" customHeight="1">
      <c r="E76" s="26"/>
    </row>
    <row r="77" spans="5:5" ht="15.75" customHeight="1">
      <c r="E77" s="26"/>
    </row>
    <row r="78" spans="5:5" ht="15.75" customHeight="1">
      <c r="E78" s="26"/>
    </row>
    <row r="79" spans="5:5" ht="15.75" customHeight="1">
      <c r="E79" s="26"/>
    </row>
    <row r="80" spans="5:5" ht="15.75" customHeight="1">
      <c r="E80" s="26"/>
    </row>
    <row r="81" spans="5:5" ht="15.75" customHeight="1">
      <c r="E81" s="26"/>
    </row>
    <row r="82" spans="5:5" ht="15.75" customHeight="1">
      <c r="E82" s="26"/>
    </row>
    <row r="83" spans="5:5" ht="15.75" customHeight="1">
      <c r="E83" s="26"/>
    </row>
    <row r="84" spans="5:5" ht="15.75" customHeight="1">
      <c r="E84" s="26"/>
    </row>
    <row r="85" spans="5:5" ht="15.75" customHeight="1">
      <c r="E85" s="26"/>
    </row>
    <row r="86" spans="5:5" ht="15.75" customHeight="1">
      <c r="E86" s="26"/>
    </row>
    <row r="87" spans="5:5" ht="15.75" customHeight="1">
      <c r="E87" s="26"/>
    </row>
    <row r="88" spans="5:5" ht="15.75" customHeight="1">
      <c r="E88" s="26"/>
    </row>
    <row r="89" spans="5:5" ht="15.75" customHeight="1">
      <c r="E89" s="26"/>
    </row>
    <row r="90" spans="5:5" ht="15.75" customHeight="1">
      <c r="E90" s="26"/>
    </row>
    <row r="91" spans="5:5" ht="15.75" customHeight="1">
      <c r="E91" s="26"/>
    </row>
    <row r="92" spans="5:5" ht="15.75" customHeight="1">
      <c r="E92" s="26"/>
    </row>
    <row r="93" spans="5:5" ht="15.75" customHeight="1">
      <c r="E93" s="26"/>
    </row>
    <row r="94" spans="5:5" ht="15.75" customHeight="1">
      <c r="E94" s="26"/>
    </row>
    <row r="95" spans="5:5" ht="15.75" customHeight="1">
      <c r="E95" s="26"/>
    </row>
    <row r="96" spans="5:5" ht="15.75" customHeight="1">
      <c r="E96" s="26"/>
    </row>
    <row r="97" spans="5:5" ht="15.75" customHeight="1">
      <c r="E97" s="26"/>
    </row>
    <row r="98" spans="5:5" ht="15.75" customHeight="1">
      <c r="E98" s="26"/>
    </row>
    <row r="99" spans="5:5" ht="15.75" customHeight="1">
      <c r="E99" s="26"/>
    </row>
    <row r="100" spans="5:5" ht="15.75" customHeight="1">
      <c r="E100" s="26"/>
    </row>
    <row r="101" spans="5:5" ht="15.75" customHeight="1">
      <c r="E101" s="26"/>
    </row>
    <row r="102" spans="5:5" ht="15.75" customHeight="1">
      <c r="E102" s="26"/>
    </row>
    <row r="103" spans="5:5" ht="15.75" customHeight="1">
      <c r="E103" s="26"/>
    </row>
    <row r="104" spans="5:5" ht="15.75" customHeight="1">
      <c r="E104" s="26"/>
    </row>
    <row r="105" spans="5:5" ht="15.75" customHeight="1">
      <c r="E105" s="26"/>
    </row>
    <row r="106" spans="5:5" ht="15.75" customHeight="1">
      <c r="E106" s="26"/>
    </row>
    <row r="107" spans="5:5" ht="15.75" customHeight="1">
      <c r="E107" s="26"/>
    </row>
    <row r="108" spans="5:5" ht="15.75" customHeight="1">
      <c r="E108" s="26"/>
    </row>
    <row r="109" spans="5:5" ht="15.75" customHeight="1">
      <c r="E109" s="26"/>
    </row>
    <row r="110" spans="5:5" ht="15.75" customHeight="1">
      <c r="E110" s="26"/>
    </row>
    <row r="111" spans="5:5" ht="15.75" customHeight="1">
      <c r="E111" s="26"/>
    </row>
    <row r="112" spans="5:5" ht="15.75" customHeight="1">
      <c r="E112" s="26"/>
    </row>
    <row r="113" spans="5:5" ht="15.75" customHeight="1">
      <c r="E113" s="26"/>
    </row>
    <row r="114" spans="5:5" ht="15.75" customHeight="1">
      <c r="E114" s="26"/>
    </row>
    <row r="115" spans="5:5" ht="15.75" customHeight="1">
      <c r="E115" s="26"/>
    </row>
    <row r="116" spans="5:5" ht="15.75" customHeight="1">
      <c r="E116" s="26"/>
    </row>
    <row r="117" spans="5:5" ht="15.75" customHeight="1">
      <c r="E117" s="26"/>
    </row>
    <row r="118" spans="5:5" ht="15.75" customHeight="1">
      <c r="E118" s="26"/>
    </row>
    <row r="119" spans="5:5" ht="15.75" customHeight="1">
      <c r="E119" s="26"/>
    </row>
    <row r="120" spans="5:5" ht="15.75" customHeight="1">
      <c r="E120" s="26"/>
    </row>
    <row r="121" spans="5:5" ht="15.75" customHeight="1">
      <c r="E121" s="26"/>
    </row>
    <row r="122" spans="5:5" ht="15.75" customHeight="1">
      <c r="E122" s="26"/>
    </row>
    <row r="123" spans="5:5" ht="15.75" customHeight="1">
      <c r="E123" s="26"/>
    </row>
    <row r="124" spans="5:5" ht="15.75" customHeight="1">
      <c r="E124" s="26"/>
    </row>
    <row r="125" spans="5:5" ht="15.75" customHeight="1">
      <c r="E125" s="26"/>
    </row>
    <row r="126" spans="5:5" ht="15.75" customHeight="1">
      <c r="E126" s="26"/>
    </row>
    <row r="127" spans="5:5" ht="15.75" customHeight="1">
      <c r="E127" s="26"/>
    </row>
    <row r="128" spans="5:5" ht="15.75" customHeight="1">
      <c r="E128" s="26"/>
    </row>
    <row r="129" spans="5:5" ht="15.75" customHeight="1">
      <c r="E129" s="26"/>
    </row>
    <row r="130" spans="5:5" ht="15.75" customHeight="1">
      <c r="E130" s="26"/>
    </row>
    <row r="131" spans="5:5" ht="15.75" customHeight="1">
      <c r="E131" s="26"/>
    </row>
    <row r="132" spans="5:5" ht="15.75" customHeight="1">
      <c r="E132" s="26"/>
    </row>
    <row r="133" spans="5:5" ht="15.75" customHeight="1">
      <c r="E133" s="26"/>
    </row>
    <row r="134" spans="5:5" ht="15.75" customHeight="1">
      <c r="E134" s="26"/>
    </row>
    <row r="135" spans="5:5" ht="15.75" customHeight="1">
      <c r="E135" s="26"/>
    </row>
    <row r="136" spans="5:5" ht="15.75" customHeight="1">
      <c r="E136" s="26"/>
    </row>
    <row r="137" spans="5:5" ht="15.75" customHeight="1">
      <c r="E137" s="26"/>
    </row>
    <row r="138" spans="5:5" ht="15.75" customHeight="1">
      <c r="E138" s="26"/>
    </row>
    <row r="139" spans="5:5" ht="15.75" customHeight="1">
      <c r="E139" s="26"/>
    </row>
    <row r="140" spans="5:5" ht="15.75" customHeight="1">
      <c r="E140" s="26"/>
    </row>
    <row r="141" spans="5:5" ht="15.75" customHeight="1">
      <c r="E141" s="26"/>
    </row>
    <row r="142" spans="5:5" ht="15.75" customHeight="1">
      <c r="E142" s="26"/>
    </row>
    <row r="143" spans="5:5" ht="15.75" customHeight="1">
      <c r="E143" s="26"/>
    </row>
    <row r="144" spans="5:5" ht="15.75" customHeight="1">
      <c r="E144" s="26"/>
    </row>
    <row r="145" spans="5:5" ht="15.75" customHeight="1">
      <c r="E145" s="26"/>
    </row>
    <row r="146" spans="5:5" ht="15.75" customHeight="1">
      <c r="E146" s="26"/>
    </row>
    <row r="147" spans="5:5" ht="15.75" customHeight="1">
      <c r="E147" s="26"/>
    </row>
    <row r="148" spans="5:5" ht="15.75" customHeight="1">
      <c r="E148" s="26"/>
    </row>
    <row r="149" spans="5:5" ht="15.75" customHeight="1">
      <c r="E149" s="26"/>
    </row>
    <row r="150" spans="5:5" ht="15.75" customHeight="1">
      <c r="E150" s="26"/>
    </row>
    <row r="151" spans="5:5" ht="15.75" customHeight="1">
      <c r="E151" s="26"/>
    </row>
    <row r="152" spans="5:5" ht="15.75" customHeight="1">
      <c r="E152" s="26"/>
    </row>
    <row r="153" spans="5:5" ht="15.75" customHeight="1">
      <c r="E153" s="26"/>
    </row>
    <row r="154" spans="5:5" ht="15.75" customHeight="1">
      <c r="E154" s="26"/>
    </row>
    <row r="155" spans="5:5" ht="15.75" customHeight="1">
      <c r="E155" s="26"/>
    </row>
    <row r="156" spans="5:5" ht="15.75" customHeight="1">
      <c r="E156" s="26"/>
    </row>
    <row r="157" spans="5:5" ht="15.75" customHeight="1">
      <c r="E157" s="26"/>
    </row>
    <row r="158" spans="5:5" ht="15.75" customHeight="1">
      <c r="E158" s="26"/>
    </row>
    <row r="159" spans="5:5" ht="15.75" customHeight="1">
      <c r="E159" s="26"/>
    </row>
    <row r="160" spans="5:5" ht="15.75" customHeight="1">
      <c r="E160" s="26"/>
    </row>
    <row r="161" spans="5:5" ht="15.75" customHeight="1">
      <c r="E161" s="26"/>
    </row>
    <row r="162" spans="5:5" ht="15.75" customHeight="1">
      <c r="E162" s="26"/>
    </row>
    <row r="163" spans="5:5" ht="15.75" customHeight="1">
      <c r="E163" s="26"/>
    </row>
    <row r="164" spans="5:5" ht="15.75" customHeight="1">
      <c r="E164" s="26"/>
    </row>
    <row r="165" spans="5:5" ht="15.75" customHeight="1">
      <c r="E165" s="26"/>
    </row>
    <row r="166" spans="5:5" ht="15.75" customHeight="1">
      <c r="E166" s="26"/>
    </row>
    <row r="167" spans="5:5" ht="15.75" customHeight="1">
      <c r="E167" s="26"/>
    </row>
    <row r="168" spans="5:5" ht="15.75" customHeight="1">
      <c r="E168" s="26"/>
    </row>
    <row r="169" spans="5:5" ht="15.75" customHeight="1">
      <c r="E169" s="26"/>
    </row>
    <row r="170" spans="5:5" ht="15.75" customHeight="1">
      <c r="E170" s="26"/>
    </row>
    <row r="171" spans="5:5" ht="15.75" customHeight="1">
      <c r="E171" s="26"/>
    </row>
    <row r="172" spans="5:5" ht="15.75" customHeight="1">
      <c r="E172" s="26"/>
    </row>
    <row r="173" spans="5:5" ht="15.75" customHeight="1">
      <c r="E173" s="26"/>
    </row>
    <row r="174" spans="5:5" ht="15.75" customHeight="1">
      <c r="E174" s="26"/>
    </row>
    <row r="175" spans="5:5" ht="15.75" customHeight="1">
      <c r="E175" s="26"/>
    </row>
    <row r="176" spans="5:5" ht="15.75" customHeight="1">
      <c r="E176" s="26"/>
    </row>
    <row r="177" spans="5:5" ht="15.75" customHeight="1">
      <c r="E177" s="26"/>
    </row>
    <row r="178" spans="5:5" ht="15.75" customHeight="1">
      <c r="E178" s="26"/>
    </row>
    <row r="179" spans="5:5" ht="15.75" customHeight="1">
      <c r="E179" s="26"/>
    </row>
    <row r="180" spans="5:5" ht="15.75" customHeight="1">
      <c r="E180" s="26"/>
    </row>
    <row r="181" spans="5:5" ht="15.75" customHeight="1">
      <c r="E181" s="26"/>
    </row>
    <row r="182" spans="5:5" ht="15.75" customHeight="1">
      <c r="E182" s="26"/>
    </row>
    <row r="183" spans="5:5" ht="15.75" customHeight="1">
      <c r="E183" s="26"/>
    </row>
    <row r="184" spans="5:5" ht="15.75" customHeight="1">
      <c r="E184" s="26"/>
    </row>
    <row r="185" spans="5:5" ht="15.75" customHeight="1">
      <c r="E185" s="26"/>
    </row>
    <row r="186" spans="5:5" ht="15.75" customHeight="1">
      <c r="E186" s="26"/>
    </row>
    <row r="187" spans="5:5" ht="15.75" customHeight="1">
      <c r="E187" s="26"/>
    </row>
    <row r="188" spans="5:5" ht="15.75" customHeight="1">
      <c r="E188" s="26"/>
    </row>
    <row r="189" spans="5:5" ht="15.75" customHeight="1">
      <c r="E189" s="26"/>
    </row>
    <row r="190" spans="5:5" ht="15.75" customHeight="1">
      <c r="E190" s="26"/>
    </row>
    <row r="191" spans="5:5" ht="15.75" customHeight="1">
      <c r="E191" s="26"/>
    </row>
    <row r="192" spans="5:5" ht="15.75" customHeight="1">
      <c r="E192" s="26"/>
    </row>
    <row r="193" spans="5:5" ht="15.75" customHeight="1">
      <c r="E193" s="26"/>
    </row>
    <row r="194" spans="5:5" ht="15.75" customHeight="1">
      <c r="E194" s="26"/>
    </row>
    <row r="195" spans="5:5" ht="15.75" customHeight="1">
      <c r="E195" s="26"/>
    </row>
    <row r="196" spans="5:5" ht="15.75" customHeight="1">
      <c r="E196" s="26"/>
    </row>
    <row r="197" spans="5:5" ht="15.75" customHeight="1">
      <c r="E197" s="26"/>
    </row>
    <row r="198" spans="5:5" ht="15.75" customHeight="1">
      <c r="E198" s="26"/>
    </row>
    <row r="199" spans="5:5" ht="15.75" customHeight="1">
      <c r="E199" s="26"/>
    </row>
    <row r="200" spans="5:5" ht="15.75" customHeight="1">
      <c r="E200" s="26"/>
    </row>
    <row r="201" spans="5:5" ht="15.75" customHeight="1">
      <c r="E201" s="26"/>
    </row>
    <row r="202" spans="5:5" ht="15.75" customHeight="1">
      <c r="E202" s="26"/>
    </row>
    <row r="203" spans="5:5" ht="15.75" customHeight="1">
      <c r="E203" s="26"/>
    </row>
    <row r="204" spans="5:5" ht="15.75" customHeight="1">
      <c r="E204" s="26"/>
    </row>
    <row r="205" spans="5:5" ht="15.75" customHeight="1">
      <c r="E205" s="26"/>
    </row>
    <row r="206" spans="5:5" ht="15.75" customHeight="1">
      <c r="E206" s="26"/>
    </row>
    <row r="207" spans="5:5" ht="15.75" customHeight="1">
      <c r="E207" s="26"/>
    </row>
    <row r="208" spans="5:5" ht="15.75" customHeight="1">
      <c r="E208" s="26"/>
    </row>
    <row r="209" spans="5:5" ht="15.75" customHeight="1">
      <c r="E209" s="26"/>
    </row>
    <row r="210" spans="5:5" ht="15.75" customHeight="1">
      <c r="E210" s="26"/>
    </row>
    <row r="211" spans="5:5" ht="15.75" customHeight="1">
      <c r="E211" s="26"/>
    </row>
    <row r="212" spans="5:5" ht="15.75" customHeight="1">
      <c r="E212" s="26"/>
    </row>
    <row r="213" spans="5:5" ht="15.75" customHeight="1">
      <c r="E213" s="26"/>
    </row>
    <row r="214" spans="5:5" ht="15.75" customHeight="1">
      <c r="E214" s="26"/>
    </row>
    <row r="215" spans="5:5" ht="15.75" customHeight="1">
      <c r="E215" s="26"/>
    </row>
    <row r="216" spans="5:5" ht="15.75" customHeight="1">
      <c r="E216" s="26"/>
    </row>
    <row r="217" spans="5:5" ht="15.75" customHeight="1">
      <c r="E217" s="26"/>
    </row>
    <row r="218" spans="5:5" ht="15.75" customHeight="1">
      <c r="E218" s="26"/>
    </row>
    <row r="219" spans="5:5" ht="15.75" customHeight="1">
      <c r="E219" s="26"/>
    </row>
    <row r="220" spans="5:5" ht="15.75" customHeight="1">
      <c r="E220" s="26"/>
    </row>
    <row r="221" spans="5:5" ht="15.75" customHeight="1">
      <c r="E221" s="26"/>
    </row>
    <row r="222" spans="5:5" ht="15.75" customHeight="1">
      <c r="E222" s="26"/>
    </row>
    <row r="223" spans="5:5" ht="15.75" customHeight="1">
      <c r="E223" s="26"/>
    </row>
    <row r="224" spans="5:5" ht="15.75" customHeight="1">
      <c r="E224" s="26"/>
    </row>
    <row r="225" spans="5:5" ht="15.75" customHeight="1">
      <c r="E225" s="26"/>
    </row>
    <row r="226" spans="5:5" ht="15.75" customHeight="1">
      <c r="E226" s="26"/>
    </row>
    <row r="227" spans="5:5" ht="15.75" customHeight="1">
      <c r="E227" s="26"/>
    </row>
    <row r="228" spans="5:5" ht="15.75" customHeight="1">
      <c r="E228" s="26"/>
    </row>
    <row r="229" spans="5:5" ht="15.75" customHeight="1">
      <c r="E229" s="26"/>
    </row>
    <row r="230" spans="5:5" ht="15.75" customHeight="1">
      <c r="E230" s="26"/>
    </row>
    <row r="231" spans="5:5" ht="15.75" customHeight="1">
      <c r="E231" s="26"/>
    </row>
    <row r="232" spans="5:5" ht="15.75" customHeight="1">
      <c r="E232" s="26"/>
    </row>
    <row r="233" spans="5:5" ht="15.75" customHeight="1">
      <c r="E233" s="26"/>
    </row>
    <row r="234" spans="5:5" ht="15.75" customHeight="1">
      <c r="E234" s="26"/>
    </row>
    <row r="235" spans="5:5" ht="15.75" customHeight="1">
      <c r="E235" s="26"/>
    </row>
    <row r="236" spans="5:5" ht="15.75" customHeight="1">
      <c r="E236" s="26"/>
    </row>
    <row r="237" spans="5:5" ht="15.75" customHeight="1">
      <c r="E237" s="26"/>
    </row>
    <row r="238" spans="5:5" ht="15.75" customHeight="1">
      <c r="E238" s="26"/>
    </row>
    <row r="239" spans="5:5" ht="15.75" customHeight="1">
      <c r="E239" s="26"/>
    </row>
    <row r="240" spans="5:5" ht="15.75" customHeight="1">
      <c r="E240" s="26"/>
    </row>
    <row r="241" spans="5:5" ht="15.75" customHeight="1">
      <c r="E241" s="26"/>
    </row>
    <row r="242" spans="5:5" ht="15.75" customHeight="1">
      <c r="E242" s="26"/>
    </row>
    <row r="243" spans="5:5" ht="15.75" customHeight="1">
      <c r="E243" s="26"/>
    </row>
    <row r="244" spans="5:5" ht="15.75" customHeight="1">
      <c r="E244" s="26"/>
    </row>
    <row r="245" spans="5:5" ht="15.75" customHeight="1">
      <c r="E245" s="26"/>
    </row>
    <row r="246" spans="5:5" ht="15.75" customHeight="1">
      <c r="E246" s="26"/>
    </row>
    <row r="247" spans="5:5" ht="15.75" customHeight="1">
      <c r="E247" s="26"/>
    </row>
    <row r="248" spans="5:5" ht="15.75" customHeight="1">
      <c r="E248" s="26"/>
    </row>
    <row r="249" spans="5:5" ht="15.75" customHeight="1">
      <c r="E249" s="26"/>
    </row>
    <row r="250" spans="5:5" ht="15.75" customHeight="1">
      <c r="E250" s="26"/>
    </row>
    <row r="251" spans="5:5" ht="15.75" customHeight="1">
      <c r="E251" s="26"/>
    </row>
    <row r="252" spans="5:5" ht="15.75" customHeight="1">
      <c r="E252" s="26"/>
    </row>
    <row r="253" spans="5:5" ht="15.75" customHeight="1">
      <c r="E253" s="26"/>
    </row>
    <row r="254" spans="5:5" ht="15.75" customHeight="1">
      <c r="E254" s="26"/>
    </row>
    <row r="255" spans="5:5" ht="15.75" customHeight="1">
      <c r="E255" s="26"/>
    </row>
    <row r="256" spans="5:5" ht="15.75" customHeight="1">
      <c r="E256" s="26"/>
    </row>
    <row r="257" spans="5:5" ht="15.75" customHeight="1">
      <c r="E257" s="26"/>
    </row>
    <row r="258" spans="5:5" ht="15.75" customHeight="1">
      <c r="E258" s="26"/>
    </row>
    <row r="259" spans="5:5" ht="15.75" customHeight="1">
      <c r="E259" s="26"/>
    </row>
    <row r="260" spans="5:5" ht="15.75" customHeight="1">
      <c r="E260" s="26"/>
    </row>
    <row r="261" spans="5:5" ht="15.75" customHeight="1">
      <c r="E261" s="26"/>
    </row>
    <row r="262" spans="5:5" ht="15.75" customHeight="1">
      <c r="E262" s="26"/>
    </row>
    <row r="263" spans="5:5" ht="15.75" customHeight="1">
      <c r="E263" s="26"/>
    </row>
    <row r="264" spans="5:5" ht="15.75" customHeight="1">
      <c r="E264" s="26"/>
    </row>
    <row r="265" spans="5:5" ht="15.75" customHeight="1">
      <c r="E265" s="26"/>
    </row>
    <row r="266" spans="5:5" ht="15.75" customHeight="1">
      <c r="E266" s="26"/>
    </row>
    <row r="267" spans="5:5" ht="15.75" customHeight="1">
      <c r="E267" s="26"/>
    </row>
    <row r="268" spans="5:5" ht="15.75" customHeight="1">
      <c r="E268" s="26"/>
    </row>
    <row r="269" spans="5:5" ht="15.75" customHeight="1">
      <c r="E269" s="26"/>
    </row>
    <row r="270" spans="5:5" ht="15.75" customHeight="1">
      <c r="E270" s="26"/>
    </row>
    <row r="271" spans="5:5" ht="15.75" customHeight="1">
      <c r="E271" s="26"/>
    </row>
    <row r="272" spans="5:5" ht="15.75" customHeight="1">
      <c r="E272" s="26"/>
    </row>
    <row r="273" spans="5:5" ht="15.75" customHeight="1">
      <c r="E273" s="26"/>
    </row>
    <row r="274" spans="5:5" ht="15.75" customHeight="1">
      <c r="E274" s="26"/>
    </row>
    <row r="275" spans="5:5" ht="15.75" customHeight="1">
      <c r="E275" s="26"/>
    </row>
    <row r="276" spans="5:5" ht="15.75" customHeight="1">
      <c r="E276" s="26"/>
    </row>
    <row r="277" spans="5:5" ht="15.75" customHeight="1">
      <c r="E277" s="26"/>
    </row>
    <row r="278" spans="5:5" ht="15.75" customHeight="1">
      <c r="E278" s="26"/>
    </row>
    <row r="279" spans="5:5" ht="15.75" customHeight="1">
      <c r="E279" s="26"/>
    </row>
    <row r="280" spans="5:5" ht="15.75" customHeight="1">
      <c r="E280" s="26"/>
    </row>
    <row r="281" spans="5:5" ht="15.75" customHeight="1">
      <c r="E281" s="26"/>
    </row>
    <row r="282" spans="5:5" ht="15.75" customHeight="1">
      <c r="E282" s="26"/>
    </row>
    <row r="283" spans="5:5" ht="15.75" customHeight="1">
      <c r="E283" s="26"/>
    </row>
    <row r="284" spans="5:5" ht="15.75" customHeight="1">
      <c r="E284" s="26"/>
    </row>
    <row r="285" spans="5:5" ht="15.75" customHeight="1">
      <c r="E285" s="26"/>
    </row>
    <row r="286" spans="5:5" ht="15.75" customHeight="1">
      <c r="E286" s="26"/>
    </row>
    <row r="287" spans="5:5" ht="15.75" customHeight="1">
      <c r="E287" s="26"/>
    </row>
    <row r="288" spans="5:5" ht="15.75" customHeight="1">
      <c r="E288" s="26"/>
    </row>
    <row r="289" spans="5:5" ht="15.75" customHeight="1">
      <c r="E289" s="26"/>
    </row>
    <row r="290" spans="5:5" ht="15.75" customHeight="1">
      <c r="E290" s="26"/>
    </row>
    <row r="291" spans="5:5" ht="15.75" customHeight="1">
      <c r="E291" s="26"/>
    </row>
    <row r="292" spans="5:5" ht="15.75" customHeight="1">
      <c r="E292" s="26"/>
    </row>
    <row r="293" spans="5:5" ht="15.75" customHeight="1">
      <c r="E293" s="26"/>
    </row>
    <row r="294" spans="5:5" ht="15.75" customHeight="1">
      <c r="E294" s="26"/>
    </row>
    <row r="295" spans="5:5" ht="15.75" customHeight="1">
      <c r="E295" s="26"/>
    </row>
    <row r="296" spans="5:5" ht="15.75" customHeight="1">
      <c r="E296" s="26"/>
    </row>
    <row r="297" spans="5:5" ht="15.75" customHeight="1">
      <c r="E297" s="26"/>
    </row>
    <row r="298" spans="5:5" ht="15.75" customHeight="1">
      <c r="E298" s="26"/>
    </row>
    <row r="299" spans="5:5" ht="15.75" customHeight="1">
      <c r="E299" s="26"/>
    </row>
    <row r="300" spans="5:5" ht="15.75" customHeight="1">
      <c r="E300" s="26"/>
    </row>
    <row r="301" spans="5:5" ht="15.75" customHeight="1">
      <c r="E301" s="26"/>
    </row>
    <row r="302" spans="5:5" ht="15.75" customHeight="1">
      <c r="E302" s="26"/>
    </row>
    <row r="303" spans="5:5" ht="15.75" customHeight="1">
      <c r="E303" s="26"/>
    </row>
    <row r="304" spans="5:5" ht="15.75" customHeight="1">
      <c r="E304" s="26"/>
    </row>
    <row r="305" spans="5:5" ht="15.75" customHeight="1">
      <c r="E305" s="26"/>
    </row>
    <row r="306" spans="5:5" ht="15.75" customHeight="1">
      <c r="E306" s="26"/>
    </row>
    <row r="307" spans="5:5" ht="15.75" customHeight="1">
      <c r="E307" s="26"/>
    </row>
    <row r="308" spans="5:5" ht="15.75" customHeight="1">
      <c r="E308" s="26"/>
    </row>
    <row r="309" spans="5:5" ht="15.75" customHeight="1">
      <c r="E309" s="26"/>
    </row>
    <row r="310" spans="5:5" ht="15.75" customHeight="1">
      <c r="E310" s="26"/>
    </row>
    <row r="311" spans="5:5" ht="15.75" customHeight="1">
      <c r="E311" s="26"/>
    </row>
    <row r="312" spans="5:5" ht="15.75" customHeight="1">
      <c r="E312" s="26"/>
    </row>
    <row r="313" spans="5:5" ht="15.75" customHeight="1">
      <c r="E313" s="26"/>
    </row>
    <row r="314" spans="5:5" ht="15.75" customHeight="1">
      <c r="E314" s="26"/>
    </row>
    <row r="315" spans="5:5" ht="15.75" customHeight="1">
      <c r="E315" s="26"/>
    </row>
    <row r="316" spans="5:5" ht="15.75" customHeight="1">
      <c r="E316" s="26"/>
    </row>
    <row r="317" spans="5:5" ht="15.75" customHeight="1">
      <c r="E317" s="26"/>
    </row>
    <row r="318" spans="5:5" ht="15.75" customHeight="1">
      <c r="E318" s="26"/>
    </row>
    <row r="319" spans="5:5" ht="15.75" customHeight="1">
      <c r="E319" s="26"/>
    </row>
    <row r="320" spans="5:5" ht="15.75" customHeight="1">
      <c r="E320" s="26"/>
    </row>
    <row r="321" spans="5:5" ht="15.75" customHeight="1">
      <c r="E321" s="26"/>
    </row>
    <row r="322" spans="5:5" ht="15.75" customHeight="1">
      <c r="E322" s="26"/>
    </row>
    <row r="323" spans="5:5" ht="15.75" customHeight="1">
      <c r="E323" s="26"/>
    </row>
    <row r="324" spans="5:5" ht="15.75" customHeight="1">
      <c r="E324" s="26"/>
    </row>
    <row r="325" spans="5:5" ht="15.75" customHeight="1">
      <c r="E325" s="26"/>
    </row>
    <row r="326" spans="5:5" ht="15.75" customHeight="1">
      <c r="E326" s="26"/>
    </row>
    <row r="327" spans="5:5" ht="15.75" customHeight="1">
      <c r="E327" s="26"/>
    </row>
    <row r="328" spans="5:5" ht="15.75" customHeight="1">
      <c r="E328" s="26"/>
    </row>
    <row r="329" spans="5:5" ht="15.75" customHeight="1">
      <c r="E329" s="26"/>
    </row>
    <row r="330" spans="5:5" ht="15.75" customHeight="1">
      <c r="E330" s="26"/>
    </row>
    <row r="331" spans="5:5" ht="15.75" customHeight="1">
      <c r="E331" s="26"/>
    </row>
    <row r="332" spans="5:5" ht="15.75" customHeight="1">
      <c r="E332" s="26"/>
    </row>
    <row r="333" spans="5:5" ht="15.75" customHeight="1">
      <c r="E333" s="26"/>
    </row>
    <row r="334" spans="5:5" ht="15.75" customHeight="1">
      <c r="E334" s="26"/>
    </row>
    <row r="335" spans="5:5" ht="15.75" customHeight="1">
      <c r="E335" s="26"/>
    </row>
    <row r="336" spans="5:5" ht="15.75" customHeight="1">
      <c r="E336" s="26"/>
    </row>
    <row r="337" spans="5:5" ht="15.75" customHeight="1">
      <c r="E337" s="26"/>
    </row>
    <row r="338" spans="5:5" ht="15.75" customHeight="1">
      <c r="E338" s="26"/>
    </row>
    <row r="339" spans="5:5" ht="15.75" customHeight="1">
      <c r="E339" s="26"/>
    </row>
    <row r="340" spans="5:5" ht="15.75" customHeight="1">
      <c r="E340" s="26"/>
    </row>
    <row r="341" spans="5:5" ht="15.75" customHeight="1">
      <c r="E341" s="26"/>
    </row>
    <row r="342" spans="5:5" ht="15.75" customHeight="1">
      <c r="E342" s="26"/>
    </row>
    <row r="343" spans="5:5" ht="15.75" customHeight="1">
      <c r="E343" s="26"/>
    </row>
    <row r="344" spans="5:5" ht="15.75" customHeight="1">
      <c r="E344" s="26"/>
    </row>
    <row r="345" spans="5:5" ht="15.75" customHeight="1">
      <c r="E345" s="26"/>
    </row>
    <row r="346" spans="5:5" ht="15.75" customHeight="1">
      <c r="E346" s="26"/>
    </row>
    <row r="347" spans="5:5" ht="15.75" customHeight="1">
      <c r="E347" s="26"/>
    </row>
    <row r="348" spans="5:5" ht="15.75" customHeight="1">
      <c r="E348" s="26"/>
    </row>
    <row r="349" spans="5:5" ht="15.75" customHeight="1">
      <c r="E349" s="26"/>
    </row>
    <row r="350" spans="5:5" ht="15.75" customHeight="1">
      <c r="E350" s="26"/>
    </row>
    <row r="351" spans="5:5" ht="15.75" customHeight="1">
      <c r="E351" s="26"/>
    </row>
    <row r="352" spans="5:5" ht="15.75" customHeight="1">
      <c r="E352" s="26"/>
    </row>
    <row r="353" spans="5:5" ht="15.75" customHeight="1">
      <c r="E353" s="26"/>
    </row>
    <row r="354" spans="5:5" ht="15.75" customHeight="1">
      <c r="E354" s="26"/>
    </row>
    <row r="355" spans="5:5" ht="15.75" customHeight="1">
      <c r="E355" s="26"/>
    </row>
    <row r="356" spans="5:5" ht="15.75" customHeight="1">
      <c r="E356" s="26"/>
    </row>
    <row r="357" spans="5:5" ht="15.75" customHeight="1">
      <c r="E357" s="26"/>
    </row>
    <row r="358" spans="5:5" ht="15.75" customHeight="1">
      <c r="E358" s="26"/>
    </row>
    <row r="359" spans="5:5" ht="15.75" customHeight="1">
      <c r="E359" s="26"/>
    </row>
    <row r="360" spans="5:5" ht="15.75" customHeight="1">
      <c r="E360" s="26"/>
    </row>
    <row r="361" spans="5:5" ht="15.75" customHeight="1">
      <c r="E361" s="26"/>
    </row>
    <row r="362" spans="5:5" ht="15.75" customHeight="1">
      <c r="E362" s="26"/>
    </row>
    <row r="363" spans="5:5" ht="15.75" customHeight="1">
      <c r="E363" s="26"/>
    </row>
    <row r="364" spans="5:5" ht="15.75" customHeight="1">
      <c r="E364" s="26"/>
    </row>
    <row r="365" spans="5:5" ht="15.75" customHeight="1">
      <c r="E365" s="26"/>
    </row>
    <row r="366" spans="5:5" ht="15.75" customHeight="1">
      <c r="E366" s="26"/>
    </row>
    <row r="367" spans="5:5" ht="15.75" customHeight="1">
      <c r="E367" s="26"/>
    </row>
    <row r="368" spans="5:5" ht="15.75" customHeight="1">
      <c r="E368" s="26"/>
    </row>
    <row r="369" spans="5:5" ht="15.75" customHeight="1">
      <c r="E369" s="26"/>
    </row>
    <row r="370" spans="5:5" ht="15.75" customHeight="1">
      <c r="E370" s="26"/>
    </row>
    <row r="371" spans="5:5" ht="15.75" customHeight="1">
      <c r="E371" s="26"/>
    </row>
    <row r="372" spans="5:5" ht="15.75" customHeight="1">
      <c r="E372" s="26"/>
    </row>
    <row r="373" spans="5:5" ht="15.75" customHeight="1">
      <c r="E373" s="26"/>
    </row>
    <row r="374" spans="5:5" ht="15.75" customHeight="1">
      <c r="E374" s="26"/>
    </row>
    <row r="375" spans="5:5" ht="15.75" customHeight="1">
      <c r="E375" s="26"/>
    </row>
    <row r="376" spans="5:5" ht="15.75" customHeight="1">
      <c r="E376" s="26"/>
    </row>
    <row r="377" spans="5:5" ht="15.75" customHeight="1">
      <c r="E377" s="26"/>
    </row>
    <row r="378" spans="5:5" ht="15.75" customHeight="1">
      <c r="E378" s="26"/>
    </row>
    <row r="379" spans="5:5" ht="15.75" customHeight="1">
      <c r="E379" s="26"/>
    </row>
    <row r="380" spans="5:5" ht="15.75" customHeight="1">
      <c r="E380" s="26"/>
    </row>
    <row r="381" spans="5:5" ht="15.75" customHeight="1">
      <c r="E381" s="26"/>
    </row>
    <row r="382" spans="5:5" ht="15.75" customHeight="1">
      <c r="E382" s="26"/>
    </row>
    <row r="383" spans="5:5" ht="15.75" customHeight="1">
      <c r="E383" s="26"/>
    </row>
    <row r="384" spans="5:5" ht="15.75" customHeight="1">
      <c r="E384" s="26"/>
    </row>
    <row r="385" spans="5:5" ht="15.75" customHeight="1">
      <c r="E385" s="26"/>
    </row>
    <row r="386" spans="5:5" ht="15.75" customHeight="1">
      <c r="E386" s="26"/>
    </row>
    <row r="387" spans="5:5" ht="15.75" customHeight="1">
      <c r="E387" s="26"/>
    </row>
    <row r="388" spans="5:5" ht="15.75" customHeight="1">
      <c r="E388" s="26"/>
    </row>
    <row r="389" spans="5:5" ht="15.75" customHeight="1">
      <c r="E389" s="26"/>
    </row>
    <row r="390" spans="5:5" ht="15.75" customHeight="1">
      <c r="E390" s="26"/>
    </row>
    <row r="391" spans="5:5" ht="15.75" customHeight="1">
      <c r="E391" s="26"/>
    </row>
    <row r="392" spans="5:5" ht="15.75" customHeight="1">
      <c r="E392" s="26"/>
    </row>
    <row r="393" spans="5:5" ht="15.75" customHeight="1">
      <c r="E393" s="26"/>
    </row>
    <row r="394" spans="5:5" ht="15.75" customHeight="1">
      <c r="E394" s="26"/>
    </row>
    <row r="395" spans="5:5" ht="15.75" customHeight="1">
      <c r="E395" s="26"/>
    </row>
    <row r="396" spans="5:5" ht="15.75" customHeight="1">
      <c r="E396" s="26"/>
    </row>
    <row r="397" spans="5:5" ht="15.75" customHeight="1">
      <c r="E397" s="26"/>
    </row>
    <row r="398" spans="5:5" ht="15.75" customHeight="1">
      <c r="E398" s="26"/>
    </row>
    <row r="399" spans="5:5" ht="15.75" customHeight="1">
      <c r="E399" s="26"/>
    </row>
    <row r="400" spans="5:5" ht="15.75" customHeight="1">
      <c r="E400" s="26"/>
    </row>
    <row r="401" spans="5:5" ht="15.75" customHeight="1">
      <c r="E401" s="26"/>
    </row>
    <row r="402" spans="5:5" ht="15.75" customHeight="1">
      <c r="E402" s="26"/>
    </row>
    <row r="403" spans="5:5" ht="15.75" customHeight="1">
      <c r="E403" s="26"/>
    </row>
    <row r="404" spans="5:5" ht="15.75" customHeight="1">
      <c r="E404" s="26"/>
    </row>
    <row r="405" spans="5:5" ht="15.75" customHeight="1">
      <c r="E405" s="26"/>
    </row>
    <row r="406" spans="5:5" ht="15.75" customHeight="1">
      <c r="E406" s="26"/>
    </row>
    <row r="407" spans="5:5" ht="15.75" customHeight="1">
      <c r="E407" s="26"/>
    </row>
    <row r="408" spans="5:5" ht="15.75" customHeight="1">
      <c r="E408" s="26"/>
    </row>
    <row r="409" spans="5:5" ht="15.75" customHeight="1">
      <c r="E409" s="26"/>
    </row>
    <row r="410" spans="5:5" ht="15.75" customHeight="1">
      <c r="E410" s="26"/>
    </row>
    <row r="411" spans="5:5" ht="15.75" customHeight="1">
      <c r="E411" s="26"/>
    </row>
    <row r="412" spans="5:5" ht="15.75" customHeight="1">
      <c r="E412" s="26"/>
    </row>
    <row r="413" spans="5:5" ht="15.75" customHeight="1">
      <c r="E413" s="26"/>
    </row>
    <row r="414" spans="5:5" ht="15.75" customHeight="1">
      <c r="E414" s="26"/>
    </row>
    <row r="415" spans="5:5" ht="15.75" customHeight="1">
      <c r="E415" s="26"/>
    </row>
    <row r="416" spans="5:5" ht="15.75" customHeight="1">
      <c r="E416" s="26"/>
    </row>
    <row r="417" spans="5:5" ht="15.75" customHeight="1">
      <c r="E417" s="26"/>
    </row>
    <row r="418" spans="5:5" ht="15.75" customHeight="1">
      <c r="E418" s="26"/>
    </row>
    <row r="419" spans="5:5" ht="15.75" customHeight="1">
      <c r="E419" s="26"/>
    </row>
    <row r="420" spans="5:5" ht="15.75" customHeight="1">
      <c r="E420" s="26"/>
    </row>
    <row r="421" spans="5:5" ht="15.75" customHeight="1">
      <c r="E421" s="26"/>
    </row>
    <row r="422" spans="5:5" ht="15.75" customHeight="1">
      <c r="E422" s="26"/>
    </row>
    <row r="423" spans="5:5" ht="15.75" customHeight="1">
      <c r="E423" s="26"/>
    </row>
    <row r="424" spans="5:5" ht="15.75" customHeight="1">
      <c r="E424" s="26"/>
    </row>
    <row r="425" spans="5:5" ht="15.75" customHeight="1">
      <c r="E425" s="26"/>
    </row>
    <row r="426" spans="5:5" ht="15.75" customHeight="1">
      <c r="E426" s="26"/>
    </row>
    <row r="427" spans="5:5" ht="15.75" customHeight="1">
      <c r="E427" s="26"/>
    </row>
    <row r="428" spans="5:5" ht="15.75" customHeight="1">
      <c r="E428" s="26"/>
    </row>
    <row r="429" spans="5:5" ht="15.75" customHeight="1">
      <c r="E429" s="26"/>
    </row>
    <row r="430" spans="5:5" ht="15.75" customHeight="1">
      <c r="E430" s="26"/>
    </row>
    <row r="431" spans="5:5" ht="15.75" customHeight="1">
      <c r="E431" s="26"/>
    </row>
    <row r="432" spans="5:5" ht="15.75" customHeight="1">
      <c r="E432" s="26"/>
    </row>
    <row r="433" spans="5:5" ht="15.75" customHeight="1">
      <c r="E433" s="26"/>
    </row>
    <row r="434" spans="5:5" ht="15.75" customHeight="1">
      <c r="E434" s="26"/>
    </row>
    <row r="435" spans="5:5" ht="15.75" customHeight="1">
      <c r="E435" s="26"/>
    </row>
    <row r="436" spans="5:5" ht="15.75" customHeight="1">
      <c r="E436" s="26"/>
    </row>
    <row r="437" spans="5:5" ht="15.75" customHeight="1">
      <c r="E437" s="26"/>
    </row>
    <row r="438" spans="5:5" ht="15.75" customHeight="1">
      <c r="E438" s="26"/>
    </row>
    <row r="439" spans="5:5" ht="15.75" customHeight="1">
      <c r="E439" s="26"/>
    </row>
    <row r="440" spans="5:5" ht="15.75" customHeight="1">
      <c r="E440" s="26"/>
    </row>
    <row r="441" spans="5:5" ht="15.75" customHeight="1">
      <c r="E441" s="26"/>
    </row>
    <row r="442" spans="5:5" ht="15.75" customHeight="1">
      <c r="E442" s="26"/>
    </row>
    <row r="443" spans="5:5" ht="15.75" customHeight="1">
      <c r="E443" s="26"/>
    </row>
    <row r="444" spans="5:5" ht="15.75" customHeight="1">
      <c r="E444" s="26"/>
    </row>
    <row r="445" spans="5:5" ht="15.75" customHeight="1">
      <c r="E445" s="26"/>
    </row>
    <row r="446" spans="5:5" ht="15.75" customHeight="1">
      <c r="E446" s="26"/>
    </row>
    <row r="447" spans="5:5" ht="15.75" customHeight="1">
      <c r="E447" s="26"/>
    </row>
    <row r="448" spans="5:5" ht="15.75" customHeight="1">
      <c r="E448" s="26"/>
    </row>
    <row r="449" spans="5:5" ht="15.75" customHeight="1">
      <c r="E449" s="26"/>
    </row>
    <row r="450" spans="5:5" ht="15.75" customHeight="1">
      <c r="E450" s="26"/>
    </row>
    <row r="451" spans="5:5" ht="15.75" customHeight="1">
      <c r="E451" s="26"/>
    </row>
    <row r="452" spans="5:5" ht="15.75" customHeight="1">
      <c r="E452" s="26"/>
    </row>
    <row r="453" spans="5:5" ht="15.75" customHeight="1">
      <c r="E453" s="26"/>
    </row>
    <row r="454" spans="5:5" ht="15.75" customHeight="1">
      <c r="E454" s="26"/>
    </row>
    <row r="455" spans="5:5" ht="15.75" customHeight="1">
      <c r="E455" s="26"/>
    </row>
    <row r="456" spans="5:5" ht="15.75" customHeight="1">
      <c r="E456" s="26"/>
    </row>
    <row r="457" spans="5:5" ht="15.75" customHeight="1">
      <c r="E457" s="26"/>
    </row>
    <row r="458" spans="5:5" ht="15.75" customHeight="1">
      <c r="E458" s="26"/>
    </row>
    <row r="459" spans="5:5" ht="15.75" customHeight="1">
      <c r="E459" s="26"/>
    </row>
    <row r="460" spans="5:5" ht="15.75" customHeight="1">
      <c r="E460" s="26"/>
    </row>
    <row r="461" spans="5:5" ht="15.75" customHeight="1">
      <c r="E461" s="26"/>
    </row>
    <row r="462" spans="5:5" ht="15.75" customHeight="1">
      <c r="E462" s="26"/>
    </row>
    <row r="463" spans="5:5" ht="15.75" customHeight="1">
      <c r="E463" s="26"/>
    </row>
    <row r="464" spans="5:5" ht="15.75" customHeight="1">
      <c r="E464" s="26"/>
    </row>
    <row r="465" spans="5:5" ht="15.75" customHeight="1">
      <c r="E465" s="26"/>
    </row>
    <row r="466" spans="5:5" ht="15.75" customHeight="1">
      <c r="E466" s="26"/>
    </row>
    <row r="467" spans="5:5" ht="15.75" customHeight="1">
      <c r="E467" s="26"/>
    </row>
    <row r="468" spans="5:5" ht="15.75" customHeight="1">
      <c r="E468" s="26"/>
    </row>
    <row r="469" spans="5:5" ht="15.75" customHeight="1">
      <c r="E469" s="26"/>
    </row>
    <row r="470" spans="5:5" ht="15.75" customHeight="1">
      <c r="E470" s="26"/>
    </row>
    <row r="471" spans="5:5" ht="15.75" customHeight="1">
      <c r="E471" s="26"/>
    </row>
    <row r="472" spans="5:5" ht="15.75" customHeight="1">
      <c r="E472" s="26"/>
    </row>
    <row r="473" spans="5:5" ht="15.75" customHeight="1">
      <c r="E473" s="26"/>
    </row>
    <row r="474" spans="5:5" ht="15.75" customHeight="1">
      <c r="E474" s="26"/>
    </row>
    <row r="475" spans="5:5" ht="15.75" customHeight="1">
      <c r="E475" s="26"/>
    </row>
    <row r="476" spans="5:5" ht="15.75" customHeight="1">
      <c r="E476" s="26"/>
    </row>
    <row r="477" spans="5:5" ht="15.75" customHeight="1">
      <c r="E477" s="26"/>
    </row>
    <row r="478" spans="5:5" ht="15.75" customHeight="1">
      <c r="E478" s="26"/>
    </row>
    <row r="479" spans="5:5" ht="15.75" customHeight="1">
      <c r="E479" s="26"/>
    </row>
    <row r="480" spans="5:5" ht="15.75" customHeight="1">
      <c r="E480" s="26"/>
    </row>
    <row r="481" spans="5:5" ht="15.75" customHeight="1">
      <c r="E481" s="26"/>
    </row>
    <row r="482" spans="5:5" ht="15.75" customHeight="1">
      <c r="E482" s="26"/>
    </row>
    <row r="483" spans="5:5" ht="15.75" customHeight="1">
      <c r="E483" s="26"/>
    </row>
    <row r="484" spans="5:5" ht="15.75" customHeight="1">
      <c r="E484" s="26"/>
    </row>
    <row r="485" spans="5:5" ht="15.75" customHeight="1">
      <c r="E485" s="26"/>
    </row>
    <row r="486" spans="5:5" ht="15.75" customHeight="1">
      <c r="E486" s="26"/>
    </row>
    <row r="487" spans="5:5" ht="15.75" customHeight="1">
      <c r="E487" s="26"/>
    </row>
    <row r="488" spans="5:5" ht="15.75" customHeight="1">
      <c r="E488" s="26"/>
    </row>
    <row r="489" spans="5:5" ht="15.75" customHeight="1">
      <c r="E489" s="26"/>
    </row>
    <row r="490" spans="5:5" ht="15.75" customHeight="1">
      <c r="E490" s="26"/>
    </row>
    <row r="491" spans="5:5" ht="15.75" customHeight="1">
      <c r="E491" s="26"/>
    </row>
    <row r="492" spans="5:5" ht="15.75" customHeight="1">
      <c r="E492" s="26"/>
    </row>
    <row r="493" spans="5:5" ht="15.75" customHeight="1">
      <c r="E493" s="26"/>
    </row>
    <row r="494" spans="5:5" ht="15.75" customHeight="1">
      <c r="E494" s="26"/>
    </row>
    <row r="495" spans="5:5" ht="15.75" customHeight="1">
      <c r="E495" s="26"/>
    </row>
    <row r="496" spans="5:5" ht="15.75" customHeight="1">
      <c r="E496" s="26"/>
    </row>
    <row r="497" spans="5:5" ht="15.75" customHeight="1">
      <c r="E497" s="26"/>
    </row>
    <row r="498" spans="5:5" ht="15.75" customHeight="1">
      <c r="E498" s="26"/>
    </row>
    <row r="499" spans="5:5" ht="15.75" customHeight="1">
      <c r="E499" s="26"/>
    </row>
    <row r="500" spans="5:5" ht="15.75" customHeight="1">
      <c r="E500" s="26"/>
    </row>
    <row r="501" spans="5:5" ht="15.75" customHeight="1">
      <c r="E501" s="26"/>
    </row>
    <row r="502" spans="5:5" ht="15.75" customHeight="1">
      <c r="E502" s="26"/>
    </row>
    <row r="503" spans="5:5" ht="15.75" customHeight="1">
      <c r="E503" s="26"/>
    </row>
    <row r="504" spans="5:5" ht="15.75" customHeight="1">
      <c r="E504" s="26"/>
    </row>
    <row r="505" spans="5:5" ht="15.75" customHeight="1">
      <c r="E505" s="26"/>
    </row>
    <row r="506" spans="5:5" ht="15.75" customHeight="1">
      <c r="E506" s="26"/>
    </row>
    <row r="507" spans="5:5" ht="15.75" customHeight="1">
      <c r="E507" s="26"/>
    </row>
    <row r="508" spans="5:5" ht="15.75" customHeight="1">
      <c r="E508" s="26"/>
    </row>
    <row r="509" spans="5:5" ht="15.75" customHeight="1">
      <c r="E509" s="26"/>
    </row>
    <row r="510" spans="5:5" ht="15.75" customHeight="1">
      <c r="E510" s="26"/>
    </row>
    <row r="511" spans="5:5" ht="15.75" customHeight="1">
      <c r="E511" s="26"/>
    </row>
    <row r="512" spans="5:5" ht="15.75" customHeight="1">
      <c r="E512" s="26"/>
    </row>
    <row r="513" spans="5:5" ht="15.75" customHeight="1">
      <c r="E513" s="26"/>
    </row>
    <row r="514" spans="5:5" ht="15.75" customHeight="1">
      <c r="E514" s="26"/>
    </row>
    <row r="515" spans="5:5" ht="15.75" customHeight="1">
      <c r="E515" s="26"/>
    </row>
    <row r="516" spans="5:5" ht="15.75" customHeight="1">
      <c r="E516" s="26"/>
    </row>
    <row r="517" spans="5:5" ht="15.75" customHeight="1">
      <c r="E517" s="26"/>
    </row>
    <row r="518" spans="5:5" ht="15.75" customHeight="1">
      <c r="E518" s="26"/>
    </row>
    <row r="519" spans="5:5" ht="15.75" customHeight="1">
      <c r="E519" s="26"/>
    </row>
    <row r="520" spans="5:5" ht="15.75" customHeight="1">
      <c r="E520" s="26"/>
    </row>
    <row r="521" spans="5:5" ht="15.75" customHeight="1">
      <c r="E521" s="26"/>
    </row>
    <row r="522" spans="5:5" ht="15.75" customHeight="1">
      <c r="E522" s="26"/>
    </row>
    <row r="523" spans="5:5" ht="15.75" customHeight="1">
      <c r="E523" s="26"/>
    </row>
    <row r="524" spans="5:5" ht="15.75" customHeight="1">
      <c r="E524" s="26"/>
    </row>
    <row r="525" spans="5:5" ht="15.75" customHeight="1">
      <c r="E525" s="26"/>
    </row>
    <row r="526" spans="5:5" ht="15.75" customHeight="1">
      <c r="E526" s="26"/>
    </row>
    <row r="527" spans="5:5" ht="15.75" customHeight="1">
      <c r="E527" s="26"/>
    </row>
    <row r="528" spans="5:5" ht="15.75" customHeight="1">
      <c r="E528" s="26"/>
    </row>
    <row r="529" spans="5:5" ht="15.75" customHeight="1">
      <c r="E529" s="26"/>
    </row>
    <row r="530" spans="5:5" ht="15.75" customHeight="1">
      <c r="E530" s="26"/>
    </row>
    <row r="531" spans="5:5" ht="15.75" customHeight="1">
      <c r="E531" s="26"/>
    </row>
    <row r="532" spans="5:5" ht="15.75" customHeight="1">
      <c r="E532" s="26"/>
    </row>
    <row r="533" spans="5:5" ht="15.75" customHeight="1">
      <c r="E533" s="26"/>
    </row>
    <row r="534" spans="5:5" ht="15.75" customHeight="1">
      <c r="E534" s="26"/>
    </row>
    <row r="535" spans="5:5" ht="15.75" customHeight="1">
      <c r="E535" s="26"/>
    </row>
    <row r="536" spans="5:5" ht="15.75" customHeight="1">
      <c r="E536" s="26"/>
    </row>
    <row r="537" spans="5:5" ht="15.75" customHeight="1">
      <c r="E537" s="26"/>
    </row>
    <row r="538" spans="5:5" ht="15.75" customHeight="1">
      <c r="E538" s="26"/>
    </row>
    <row r="539" spans="5:5" ht="15.75" customHeight="1">
      <c r="E539" s="26"/>
    </row>
    <row r="540" spans="5:5" ht="15.75" customHeight="1">
      <c r="E540" s="26"/>
    </row>
    <row r="541" spans="5:5" ht="15.75" customHeight="1">
      <c r="E541" s="26"/>
    </row>
    <row r="542" spans="5:5" ht="15.75" customHeight="1">
      <c r="E542" s="26"/>
    </row>
    <row r="543" spans="5:5" ht="15.75" customHeight="1">
      <c r="E543" s="26"/>
    </row>
    <row r="544" spans="5:5" ht="15.75" customHeight="1">
      <c r="E544" s="26"/>
    </row>
    <row r="545" spans="5:5" ht="15.75" customHeight="1">
      <c r="E545" s="26"/>
    </row>
    <row r="546" spans="5:5" ht="15.75" customHeight="1">
      <c r="E546" s="26"/>
    </row>
    <row r="547" spans="5:5" ht="15.75" customHeight="1">
      <c r="E547" s="26"/>
    </row>
    <row r="548" spans="5:5" ht="15.75" customHeight="1">
      <c r="E548" s="26"/>
    </row>
    <row r="549" spans="5:5" ht="15.75" customHeight="1">
      <c r="E549" s="26"/>
    </row>
    <row r="550" spans="5:5" ht="15.75" customHeight="1">
      <c r="E550" s="26"/>
    </row>
    <row r="551" spans="5:5" ht="15.75" customHeight="1">
      <c r="E551" s="26"/>
    </row>
    <row r="552" spans="5:5" ht="15.75" customHeight="1">
      <c r="E552" s="26"/>
    </row>
    <row r="553" spans="5:5" ht="15.75" customHeight="1">
      <c r="E553" s="26"/>
    </row>
    <row r="554" spans="5:5" ht="15.75" customHeight="1">
      <c r="E554" s="26"/>
    </row>
    <row r="555" spans="5:5" ht="15.75" customHeight="1">
      <c r="E555" s="26"/>
    </row>
    <row r="556" spans="5:5" ht="15.75" customHeight="1">
      <c r="E556" s="26"/>
    </row>
    <row r="557" spans="5:5" ht="15.75" customHeight="1">
      <c r="E557" s="26"/>
    </row>
    <row r="558" spans="5:5" ht="15.75" customHeight="1">
      <c r="E558" s="26"/>
    </row>
    <row r="559" spans="5:5" ht="15.75" customHeight="1">
      <c r="E559" s="26"/>
    </row>
    <row r="560" spans="5:5" ht="15.75" customHeight="1">
      <c r="E560" s="26"/>
    </row>
    <row r="561" spans="5:5" ht="15.75" customHeight="1">
      <c r="E561" s="26"/>
    </row>
    <row r="562" spans="5:5" ht="15.75" customHeight="1">
      <c r="E562" s="26"/>
    </row>
    <row r="563" spans="5:5" ht="15.75" customHeight="1">
      <c r="E563" s="26"/>
    </row>
    <row r="564" spans="5:5" ht="15.75" customHeight="1">
      <c r="E564" s="26"/>
    </row>
    <row r="565" spans="5:5" ht="15.75" customHeight="1">
      <c r="E565" s="26"/>
    </row>
    <row r="566" spans="5:5" ht="15.75" customHeight="1">
      <c r="E566" s="26"/>
    </row>
    <row r="567" spans="5:5" ht="15.75" customHeight="1">
      <c r="E567" s="26"/>
    </row>
    <row r="568" spans="5:5" ht="15.75" customHeight="1">
      <c r="E568" s="26"/>
    </row>
    <row r="569" spans="5:5" ht="15.75" customHeight="1">
      <c r="E569" s="26"/>
    </row>
    <row r="570" spans="5:5" ht="15.75" customHeight="1">
      <c r="E570" s="26"/>
    </row>
    <row r="571" spans="5:5" ht="15.75" customHeight="1">
      <c r="E571" s="26"/>
    </row>
    <row r="572" spans="5:5" ht="15.75" customHeight="1">
      <c r="E572" s="26"/>
    </row>
    <row r="573" spans="5:5" ht="15.75" customHeight="1">
      <c r="E573" s="26"/>
    </row>
    <row r="574" spans="5:5" ht="15.75" customHeight="1">
      <c r="E574" s="26"/>
    </row>
    <row r="575" spans="5:5" ht="15.75" customHeight="1">
      <c r="E575" s="26"/>
    </row>
    <row r="576" spans="5:5" ht="15.75" customHeight="1">
      <c r="E576" s="26"/>
    </row>
    <row r="577" spans="5:5" ht="15.75" customHeight="1">
      <c r="E577" s="26"/>
    </row>
    <row r="578" spans="5:5" ht="15.75" customHeight="1">
      <c r="E578" s="26"/>
    </row>
    <row r="579" spans="5:5" ht="15.75" customHeight="1">
      <c r="E579" s="26"/>
    </row>
    <row r="580" spans="5:5" ht="15.75" customHeight="1">
      <c r="E580" s="26"/>
    </row>
    <row r="581" spans="5:5" ht="15.75" customHeight="1">
      <c r="E581" s="26"/>
    </row>
    <row r="582" spans="5:5" ht="15.75" customHeight="1">
      <c r="E582" s="26"/>
    </row>
    <row r="583" spans="5:5" ht="15.75" customHeight="1">
      <c r="E583" s="26"/>
    </row>
    <row r="584" spans="5:5" ht="15.75" customHeight="1">
      <c r="E584" s="26"/>
    </row>
    <row r="585" spans="5:5" ht="15.75" customHeight="1">
      <c r="E585" s="26"/>
    </row>
    <row r="586" spans="5:5" ht="15.75" customHeight="1">
      <c r="E586" s="26"/>
    </row>
    <row r="587" spans="5:5" ht="15.75" customHeight="1">
      <c r="E587" s="26"/>
    </row>
    <row r="588" spans="5:5" ht="15.75" customHeight="1">
      <c r="E588" s="26"/>
    </row>
    <row r="589" spans="5:5" ht="15.75" customHeight="1">
      <c r="E589" s="26"/>
    </row>
    <row r="590" spans="5:5" ht="15.75" customHeight="1">
      <c r="E590" s="26"/>
    </row>
    <row r="591" spans="5:5" ht="15.75" customHeight="1">
      <c r="E591" s="26"/>
    </row>
    <row r="592" spans="5:5" ht="15.75" customHeight="1">
      <c r="E592" s="26"/>
    </row>
    <row r="593" spans="5:5" ht="15.75" customHeight="1">
      <c r="E593" s="26"/>
    </row>
    <row r="594" spans="5:5" ht="15.75" customHeight="1">
      <c r="E594" s="26"/>
    </row>
    <row r="595" spans="5:5" ht="15.75" customHeight="1">
      <c r="E595" s="26"/>
    </row>
    <row r="596" spans="5:5" ht="15.75" customHeight="1">
      <c r="E596" s="26"/>
    </row>
    <row r="597" spans="5:5" ht="15.75" customHeight="1">
      <c r="E597" s="26"/>
    </row>
    <row r="598" spans="5:5" ht="15.75" customHeight="1">
      <c r="E598" s="26"/>
    </row>
    <row r="599" spans="5:5" ht="15.75" customHeight="1">
      <c r="E599" s="26"/>
    </row>
    <row r="600" spans="5:5" ht="15.75" customHeight="1">
      <c r="E600" s="26"/>
    </row>
    <row r="601" spans="5:5" ht="15.75" customHeight="1">
      <c r="E601" s="26"/>
    </row>
    <row r="602" spans="5:5" ht="15.75" customHeight="1">
      <c r="E602" s="26"/>
    </row>
    <row r="603" spans="5:5" ht="15.75" customHeight="1">
      <c r="E603" s="26"/>
    </row>
    <row r="604" spans="5:5" ht="15.75" customHeight="1">
      <c r="E604" s="26"/>
    </row>
    <row r="605" spans="5:5" ht="15.75" customHeight="1">
      <c r="E605" s="26"/>
    </row>
    <row r="606" spans="5:5" ht="15.75" customHeight="1">
      <c r="E606" s="26"/>
    </row>
    <row r="607" spans="5:5" ht="15.75" customHeight="1">
      <c r="E607" s="26"/>
    </row>
    <row r="608" spans="5:5" ht="15.75" customHeight="1">
      <c r="E608" s="26"/>
    </row>
    <row r="609" spans="5:5" ht="15.75" customHeight="1">
      <c r="E609" s="26"/>
    </row>
    <row r="610" spans="5:5" ht="15.75" customHeight="1">
      <c r="E610" s="26"/>
    </row>
    <row r="611" spans="5:5" ht="15.75" customHeight="1">
      <c r="E611" s="26"/>
    </row>
    <row r="612" spans="5:5" ht="15.75" customHeight="1">
      <c r="E612" s="26"/>
    </row>
    <row r="613" spans="5:5" ht="15.75" customHeight="1">
      <c r="E613" s="26"/>
    </row>
    <row r="614" spans="5:5" ht="15.75" customHeight="1">
      <c r="E614" s="26"/>
    </row>
    <row r="615" spans="5:5" ht="15.75" customHeight="1">
      <c r="E615" s="26"/>
    </row>
    <row r="616" spans="5:5" ht="15.75" customHeight="1">
      <c r="E616" s="26"/>
    </row>
    <row r="617" spans="5:5" ht="15.75" customHeight="1">
      <c r="E617" s="26"/>
    </row>
    <row r="618" spans="5:5" ht="15.75" customHeight="1">
      <c r="E618" s="26"/>
    </row>
    <row r="619" spans="5:5" ht="15.75" customHeight="1">
      <c r="E619" s="26"/>
    </row>
    <row r="620" spans="5:5" ht="15.75" customHeight="1">
      <c r="E620" s="26"/>
    </row>
    <row r="621" spans="5:5" ht="15.75" customHeight="1">
      <c r="E621" s="26"/>
    </row>
    <row r="622" spans="5:5" ht="15.75" customHeight="1">
      <c r="E622" s="26"/>
    </row>
    <row r="623" spans="5:5" ht="15.75" customHeight="1">
      <c r="E623" s="26"/>
    </row>
    <row r="624" spans="5:5" ht="15.75" customHeight="1">
      <c r="E624" s="26"/>
    </row>
    <row r="625" spans="5:5" ht="15.75" customHeight="1">
      <c r="E625" s="26"/>
    </row>
    <row r="626" spans="5:5" ht="15.75" customHeight="1">
      <c r="E626" s="26"/>
    </row>
    <row r="627" spans="5:5" ht="15.75" customHeight="1">
      <c r="E627" s="26"/>
    </row>
    <row r="628" spans="5:5" ht="15.75" customHeight="1">
      <c r="E628" s="26"/>
    </row>
    <row r="629" spans="5:5" ht="15.75" customHeight="1">
      <c r="E629" s="26"/>
    </row>
    <row r="630" spans="5:5" ht="15.75" customHeight="1">
      <c r="E630" s="26"/>
    </row>
    <row r="631" spans="5:5" ht="15.75" customHeight="1">
      <c r="E631" s="26"/>
    </row>
    <row r="632" spans="5:5" ht="15.75" customHeight="1">
      <c r="E632" s="26"/>
    </row>
    <row r="633" spans="5:5" ht="15.75" customHeight="1">
      <c r="E633" s="26"/>
    </row>
    <row r="634" spans="5:5" ht="15.75" customHeight="1">
      <c r="E634" s="26"/>
    </row>
    <row r="635" spans="5:5" ht="15.75" customHeight="1">
      <c r="E635" s="26"/>
    </row>
    <row r="636" spans="5:5" ht="15.75" customHeight="1">
      <c r="E636" s="26"/>
    </row>
    <row r="637" spans="5:5" ht="15.75" customHeight="1">
      <c r="E637" s="26"/>
    </row>
    <row r="638" spans="5:5" ht="15.75" customHeight="1">
      <c r="E638" s="26"/>
    </row>
    <row r="639" spans="5:5" ht="15.75" customHeight="1">
      <c r="E639" s="26"/>
    </row>
    <row r="640" spans="5:5" ht="15.75" customHeight="1">
      <c r="E640" s="26"/>
    </row>
    <row r="641" spans="5:5" ht="15.75" customHeight="1">
      <c r="E641" s="26"/>
    </row>
    <row r="642" spans="5:5" ht="15.75" customHeight="1">
      <c r="E642" s="26"/>
    </row>
    <row r="643" spans="5:5" ht="15.75" customHeight="1">
      <c r="E643" s="26"/>
    </row>
    <row r="644" spans="5:5" ht="15.75" customHeight="1">
      <c r="E644" s="26"/>
    </row>
    <row r="645" spans="5:5" ht="15.75" customHeight="1">
      <c r="E645" s="26"/>
    </row>
    <row r="646" spans="5:5" ht="15.75" customHeight="1">
      <c r="E646" s="26"/>
    </row>
    <row r="647" spans="5:5" ht="15.75" customHeight="1">
      <c r="E647" s="26"/>
    </row>
    <row r="648" spans="5:5" ht="15.75" customHeight="1">
      <c r="E648" s="26"/>
    </row>
    <row r="649" spans="5:5" ht="15.75" customHeight="1">
      <c r="E649" s="26"/>
    </row>
    <row r="650" spans="5:5" ht="15.75" customHeight="1">
      <c r="E650" s="26"/>
    </row>
    <row r="651" spans="5:5" ht="15.75" customHeight="1">
      <c r="E651" s="26"/>
    </row>
    <row r="652" spans="5:5" ht="15.75" customHeight="1">
      <c r="E652" s="26"/>
    </row>
    <row r="653" spans="5:5" ht="15.75" customHeight="1">
      <c r="E653" s="26"/>
    </row>
    <row r="654" spans="5:5" ht="15.75" customHeight="1">
      <c r="E654" s="26"/>
    </row>
    <row r="655" spans="5:5" ht="15.75" customHeight="1">
      <c r="E655" s="26"/>
    </row>
    <row r="656" spans="5:5" ht="15.75" customHeight="1">
      <c r="E656" s="26"/>
    </row>
    <row r="657" spans="5:5" ht="15.75" customHeight="1">
      <c r="E657" s="26"/>
    </row>
    <row r="658" spans="5:5" ht="15.75" customHeight="1">
      <c r="E658" s="26"/>
    </row>
    <row r="659" spans="5:5" ht="15.75" customHeight="1">
      <c r="E659" s="26"/>
    </row>
    <row r="660" spans="5:5" ht="15.75" customHeight="1">
      <c r="E660" s="26"/>
    </row>
    <row r="661" spans="5:5" ht="15.75" customHeight="1">
      <c r="E661" s="26"/>
    </row>
    <row r="662" spans="5:5" ht="15.75" customHeight="1">
      <c r="E662" s="26"/>
    </row>
    <row r="663" spans="5:5" ht="15.75" customHeight="1">
      <c r="E663" s="26"/>
    </row>
    <row r="664" spans="5:5" ht="15.75" customHeight="1">
      <c r="E664" s="26"/>
    </row>
    <row r="665" spans="5:5" ht="15.75" customHeight="1">
      <c r="E665" s="26"/>
    </row>
    <row r="666" spans="5:5" ht="15.75" customHeight="1">
      <c r="E666" s="26"/>
    </row>
    <row r="667" spans="5:5" ht="15.75" customHeight="1">
      <c r="E667" s="26"/>
    </row>
    <row r="668" spans="5:5" ht="15.75" customHeight="1">
      <c r="E668" s="26"/>
    </row>
    <row r="669" spans="5:5" ht="15.75" customHeight="1">
      <c r="E669" s="26"/>
    </row>
    <row r="670" spans="5:5" ht="15.75" customHeight="1">
      <c r="E670" s="26"/>
    </row>
    <row r="671" spans="5:5" ht="15.75" customHeight="1">
      <c r="E671" s="26"/>
    </row>
    <row r="672" spans="5:5" ht="15.75" customHeight="1">
      <c r="E672" s="26"/>
    </row>
    <row r="673" spans="5:5" ht="15.75" customHeight="1">
      <c r="E673" s="26"/>
    </row>
    <row r="674" spans="5:5" ht="15.75" customHeight="1">
      <c r="E674" s="26"/>
    </row>
    <row r="675" spans="5:5" ht="15.75" customHeight="1">
      <c r="E675" s="26"/>
    </row>
    <row r="676" spans="5:5" ht="15.75" customHeight="1">
      <c r="E676" s="26"/>
    </row>
    <row r="677" spans="5:5" ht="15.75" customHeight="1">
      <c r="E677" s="26"/>
    </row>
    <row r="678" spans="5:5" ht="15.75" customHeight="1">
      <c r="E678" s="26"/>
    </row>
    <row r="679" spans="5:5" ht="15.75" customHeight="1">
      <c r="E679" s="26"/>
    </row>
    <row r="680" spans="5:5" ht="15.75" customHeight="1">
      <c r="E680" s="26"/>
    </row>
    <row r="681" spans="5:5" ht="15.75" customHeight="1">
      <c r="E681" s="26"/>
    </row>
    <row r="682" spans="5:5" ht="15.75" customHeight="1">
      <c r="E682" s="26"/>
    </row>
    <row r="683" spans="5:5" ht="15.75" customHeight="1">
      <c r="E683" s="26"/>
    </row>
    <row r="684" spans="5:5" ht="15.75" customHeight="1">
      <c r="E684" s="26"/>
    </row>
    <row r="685" spans="5:5" ht="15.75" customHeight="1">
      <c r="E685" s="26"/>
    </row>
    <row r="686" spans="5:5" ht="15.75" customHeight="1">
      <c r="E686" s="26"/>
    </row>
    <row r="687" spans="5:5" ht="15.75" customHeight="1">
      <c r="E687" s="26"/>
    </row>
    <row r="688" spans="5:5" ht="15.75" customHeight="1">
      <c r="E688" s="26"/>
    </row>
    <row r="689" spans="5:5" ht="15.75" customHeight="1">
      <c r="E689" s="26"/>
    </row>
    <row r="690" spans="5:5" ht="15.75" customHeight="1">
      <c r="E690" s="26"/>
    </row>
    <row r="691" spans="5:5" ht="15.75" customHeight="1">
      <c r="E691" s="26"/>
    </row>
    <row r="692" spans="5:5" ht="15.75" customHeight="1">
      <c r="E692" s="26"/>
    </row>
    <row r="693" spans="5:5" ht="15.75" customHeight="1">
      <c r="E693" s="26"/>
    </row>
    <row r="694" spans="5:5" ht="15.75" customHeight="1">
      <c r="E694" s="26"/>
    </row>
    <row r="695" spans="5:5" ht="15.75" customHeight="1">
      <c r="E695" s="26"/>
    </row>
    <row r="696" spans="5:5" ht="15.75" customHeight="1">
      <c r="E696" s="26"/>
    </row>
    <row r="697" spans="5:5" ht="15.75" customHeight="1">
      <c r="E697" s="26"/>
    </row>
    <row r="698" spans="5:5" ht="15.75" customHeight="1">
      <c r="E698" s="26"/>
    </row>
    <row r="699" spans="5:5" ht="15.75" customHeight="1">
      <c r="E699" s="26"/>
    </row>
    <row r="700" spans="5:5" ht="15.75" customHeight="1">
      <c r="E700" s="26"/>
    </row>
    <row r="701" spans="5:5" ht="15.75" customHeight="1">
      <c r="E701" s="26"/>
    </row>
    <row r="702" spans="5:5" ht="15.75" customHeight="1">
      <c r="E702" s="26"/>
    </row>
    <row r="703" spans="5:5" ht="15.75" customHeight="1">
      <c r="E703" s="26"/>
    </row>
    <row r="704" spans="5:5" ht="15.75" customHeight="1">
      <c r="E704" s="26"/>
    </row>
    <row r="705" spans="5:5" ht="15.75" customHeight="1">
      <c r="E705" s="26"/>
    </row>
    <row r="706" spans="5:5" ht="15.75" customHeight="1">
      <c r="E706" s="26"/>
    </row>
    <row r="707" spans="5:5" ht="15.75" customHeight="1">
      <c r="E707" s="26"/>
    </row>
    <row r="708" spans="5:5" ht="15.75" customHeight="1">
      <c r="E708" s="26"/>
    </row>
    <row r="709" spans="5:5" ht="15.75" customHeight="1">
      <c r="E709" s="26"/>
    </row>
    <row r="710" spans="5:5" ht="15.75" customHeight="1">
      <c r="E710" s="26"/>
    </row>
    <row r="711" spans="5:5" ht="15.75" customHeight="1">
      <c r="E711" s="26"/>
    </row>
    <row r="712" spans="5:5" ht="15.75" customHeight="1">
      <c r="E712" s="26"/>
    </row>
    <row r="713" spans="5:5" ht="15.75" customHeight="1">
      <c r="E713" s="26"/>
    </row>
    <row r="714" spans="5:5" ht="15.75" customHeight="1">
      <c r="E714" s="26"/>
    </row>
    <row r="715" spans="5:5" ht="15.75" customHeight="1">
      <c r="E715" s="26"/>
    </row>
    <row r="716" spans="5:5" ht="15.75" customHeight="1">
      <c r="E716" s="26"/>
    </row>
    <row r="717" spans="5:5" ht="15.75" customHeight="1">
      <c r="E717" s="26"/>
    </row>
    <row r="718" spans="5:5" ht="15.75" customHeight="1">
      <c r="E718" s="26"/>
    </row>
    <row r="719" spans="5:5" ht="15.75" customHeight="1">
      <c r="E719" s="26"/>
    </row>
    <row r="720" spans="5:5" ht="15.75" customHeight="1">
      <c r="E720" s="26"/>
    </row>
    <row r="721" spans="5:5" ht="15.75" customHeight="1">
      <c r="E721" s="26"/>
    </row>
    <row r="722" spans="5:5" ht="15.75" customHeight="1">
      <c r="E722" s="26"/>
    </row>
    <row r="723" spans="5:5" ht="15.75" customHeight="1">
      <c r="E723" s="26"/>
    </row>
    <row r="724" spans="5:5" ht="15.75" customHeight="1">
      <c r="E724" s="26"/>
    </row>
    <row r="725" spans="5:5" ht="15.75" customHeight="1">
      <c r="E725" s="26"/>
    </row>
    <row r="726" spans="5:5" ht="15.75" customHeight="1">
      <c r="E726" s="26"/>
    </row>
    <row r="727" spans="5:5" ht="15.75" customHeight="1">
      <c r="E727" s="26"/>
    </row>
    <row r="728" spans="5:5" ht="15.75" customHeight="1">
      <c r="E728" s="26"/>
    </row>
    <row r="729" spans="5:5" ht="15.75" customHeight="1">
      <c r="E729" s="26"/>
    </row>
    <row r="730" spans="5:5" ht="15.75" customHeight="1">
      <c r="E730" s="26"/>
    </row>
    <row r="731" spans="5:5" ht="15.75" customHeight="1">
      <c r="E731" s="26"/>
    </row>
    <row r="732" spans="5:5" ht="15.75" customHeight="1">
      <c r="E732" s="26"/>
    </row>
    <row r="733" spans="5:5" ht="15.75" customHeight="1">
      <c r="E733" s="26"/>
    </row>
    <row r="734" spans="5:5" ht="15.75" customHeight="1">
      <c r="E734" s="26"/>
    </row>
    <row r="735" spans="5:5" ht="15.75" customHeight="1">
      <c r="E735" s="26"/>
    </row>
    <row r="736" spans="5:5" ht="15.75" customHeight="1">
      <c r="E736" s="26"/>
    </row>
    <row r="737" spans="5:5" ht="15.75" customHeight="1">
      <c r="E737" s="26"/>
    </row>
    <row r="738" spans="5:5" ht="15.75" customHeight="1">
      <c r="E738" s="26"/>
    </row>
    <row r="739" spans="5:5" ht="15.75" customHeight="1">
      <c r="E739" s="26"/>
    </row>
    <row r="740" spans="5:5" ht="15.75" customHeight="1">
      <c r="E740" s="26"/>
    </row>
    <row r="741" spans="5:5" ht="15.75" customHeight="1">
      <c r="E741" s="26"/>
    </row>
    <row r="742" spans="5:5" ht="15.75" customHeight="1">
      <c r="E742" s="26"/>
    </row>
    <row r="743" spans="5:5" ht="15.75" customHeight="1">
      <c r="E743" s="26"/>
    </row>
    <row r="744" spans="5:5" ht="15.75" customHeight="1">
      <c r="E744" s="26"/>
    </row>
    <row r="745" spans="5:5" ht="15.75" customHeight="1">
      <c r="E745" s="26"/>
    </row>
    <row r="746" spans="5:5" ht="15.75" customHeight="1">
      <c r="E746" s="26"/>
    </row>
    <row r="747" spans="5:5" ht="15.75" customHeight="1">
      <c r="E747" s="26"/>
    </row>
    <row r="748" spans="5:5" ht="15.75" customHeight="1">
      <c r="E748" s="26"/>
    </row>
    <row r="749" spans="5:5" ht="15.75" customHeight="1">
      <c r="E749" s="26"/>
    </row>
    <row r="750" spans="5:5" ht="15.75" customHeight="1">
      <c r="E750" s="26"/>
    </row>
    <row r="751" spans="5:5" ht="15.75" customHeight="1">
      <c r="E751" s="26"/>
    </row>
    <row r="752" spans="5:5" ht="15.75" customHeight="1">
      <c r="E752" s="26"/>
    </row>
    <row r="753" spans="5:5" ht="15.75" customHeight="1">
      <c r="E753" s="26"/>
    </row>
    <row r="754" spans="5:5" ht="15.75" customHeight="1">
      <c r="E754" s="26"/>
    </row>
    <row r="755" spans="5:5" ht="15.75" customHeight="1">
      <c r="E755" s="26"/>
    </row>
    <row r="756" spans="5:5" ht="15.75" customHeight="1">
      <c r="E756" s="26"/>
    </row>
    <row r="757" spans="5:5" ht="15.75" customHeight="1">
      <c r="E757" s="26"/>
    </row>
    <row r="758" spans="5:5" ht="15.75" customHeight="1">
      <c r="E758" s="26"/>
    </row>
    <row r="759" spans="5:5" ht="15.75" customHeight="1">
      <c r="E759" s="26"/>
    </row>
    <row r="760" spans="5:5" ht="15.75" customHeight="1">
      <c r="E760" s="26"/>
    </row>
    <row r="761" spans="5:5" ht="15.75" customHeight="1">
      <c r="E761" s="26"/>
    </row>
    <row r="762" spans="5:5" ht="15.75" customHeight="1">
      <c r="E762" s="26"/>
    </row>
    <row r="763" spans="5:5" ht="15.75" customHeight="1">
      <c r="E763" s="26"/>
    </row>
    <row r="764" spans="5:5" ht="15.75" customHeight="1">
      <c r="E764" s="26"/>
    </row>
    <row r="765" spans="5:5" ht="15.75" customHeight="1">
      <c r="E765" s="26"/>
    </row>
    <row r="766" spans="5:5" ht="15.75" customHeight="1">
      <c r="E766" s="26"/>
    </row>
    <row r="767" spans="5:5" ht="15.75" customHeight="1">
      <c r="E767" s="26"/>
    </row>
    <row r="768" spans="5:5" ht="15.75" customHeight="1">
      <c r="E768" s="26"/>
    </row>
    <row r="769" spans="5:5" ht="15.75" customHeight="1">
      <c r="E769" s="26"/>
    </row>
    <row r="770" spans="5:5" ht="15.75" customHeight="1">
      <c r="E770" s="26"/>
    </row>
    <row r="771" spans="5:5" ht="15.75" customHeight="1">
      <c r="E771" s="26"/>
    </row>
    <row r="772" spans="5:5" ht="15.75" customHeight="1">
      <c r="E772" s="26"/>
    </row>
    <row r="773" spans="5:5" ht="15.75" customHeight="1">
      <c r="E773" s="26"/>
    </row>
    <row r="774" spans="5:5" ht="15.75" customHeight="1">
      <c r="E774" s="26"/>
    </row>
    <row r="775" spans="5:5" ht="15.75" customHeight="1">
      <c r="E775" s="26"/>
    </row>
    <row r="776" spans="5:5" ht="15.75" customHeight="1">
      <c r="E776" s="26"/>
    </row>
    <row r="777" spans="5:5" ht="15.75" customHeight="1">
      <c r="E777" s="26"/>
    </row>
    <row r="778" spans="5:5" ht="15.75" customHeight="1">
      <c r="E778" s="26"/>
    </row>
    <row r="779" spans="5:5" ht="15.75" customHeight="1">
      <c r="E779" s="26"/>
    </row>
    <row r="780" spans="5:5" ht="15.75" customHeight="1">
      <c r="E780" s="26"/>
    </row>
    <row r="781" spans="5:5" ht="15.75" customHeight="1">
      <c r="E781" s="26"/>
    </row>
    <row r="782" spans="5:5" ht="15.75" customHeight="1">
      <c r="E782" s="26"/>
    </row>
    <row r="783" spans="5:5" ht="15.75" customHeight="1">
      <c r="E783" s="26"/>
    </row>
    <row r="784" spans="5:5" ht="15.75" customHeight="1">
      <c r="E784" s="26"/>
    </row>
    <row r="785" spans="5:5" ht="15.75" customHeight="1">
      <c r="E785" s="26"/>
    </row>
    <row r="786" spans="5:5" ht="15.75" customHeight="1">
      <c r="E786" s="26"/>
    </row>
    <row r="787" spans="5:5" ht="15.75" customHeight="1">
      <c r="E787" s="26"/>
    </row>
    <row r="788" spans="5:5" ht="15.75" customHeight="1">
      <c r="E788" s="26"/>
    </row>
    <row r="789" spans="5:5" ht="15.75" customHeight="1">
      <c r="E789" s="26"/>
    </row>
    <row r="790" spans="5:5" ht="15.75" customHeight="1">
      <c r="E790" s="26"/>
    </row>
    <row r="791" spans="5:5" ht="15.75" customHeight="1">
      <c r="E791" s="26"/>
    </row>
    <row r="792" spans="5:5" ht="15.75" customHeight="1">
      <c r="E792" s="26"/>
    </row>
    <row r="793" spans="5:5" ht="15.75" customHeight="1">
      <c r="E793" s="26"/>
    </row>
    <row r="794" spans="5:5" ht="15.75" customHeight="1">
      <c r="E794" s="26"/>
    </row>
    <row r="795" spans="5:5" ht="15.75" customHeight="1">
      <c r="E795" s="26"/>
    </row>
    <row r="796" spans="5:5" ht="15.75" customHeight="1">
      <c r="E796" s="26"/>
    </row>
    <row r="797" spans="5:5" ht="15.75" customHeight="1">
      <c r="E797" s="26"/>
    </row>
    <row r="798" spans="5:5" ht="15.75" customHeight="1">
      <c r="E798" s="26"/>
    </row>
    <row r="799" spans="5:5" ht="15.75" customHeight="1">
      <c r="E799" s="26"/>
    </row>
    <row r="800" spans="5:5" ht="15.75" customHeight="1">
      <c r="E800" s="26"/>
    </row>
    <row r="801" spans="5:5" ht="15.75" customHeight="1">
      <c r="E801" s="26"/>
    </row>
    <row r="802" spans="5:5" ht="15.75" customHeight="1">
      <c r="E802" s="26"/>
    </row>
    <row r="803" spans="5:5" ht="15.75" customHeight="1">
      <c r="E803" s="26"/>
    </row>
    <row r="804" spans="5:5" ht="15.75" customHeight="1">
      <c r="E804" s="26"/>
    </row>
    <row r="805" spans="5:5" ht="15.75" customHeight="1">
      <c r="E805" s="26"/>
    </row>
    <row r="806" spans="5:5" ht="15.75" customHeight="1">
      <c r="E806" s="26"/>
    </row>
    <row r="807" spans="5:5" ht="15.75" customHeight="1">
      <c r="E807" s="26"/>
    </row>
    <row r="808" spans="5:5" ht="15.75" customHeight="1">
      <c r="E808" s="26"/>
    </row>
    <row r="809" spans="5:5" ht="15.75" customHeight="1">
      <c r="E809" s="26"/>
    </row>
    <row r="810" spans="5:5" ht="15.75" customHeight="1">
      <c r="E810" s="26"/>
    </row>
    <row r="811" spans="5:5" ht="15.75" customHeight="1">
      <c r="E811" s="26"/>
    </row>
    <row r="812" spans="5:5" ht="15.75" customHeight="1">
      <c r="E812" s="26"/>
    </row>
    <row r="813" spans="5:5" ht="15.75" customHeight="1">
      <c r="E813" s="26"/>
    </row>
    <row r="814" spans="5:5" ht="15.75" customHeight="1">
      <c r="E814" s="26"/>
    </row>
    <row r="815" spans="5:5" ht="15.75" customHeight="1">
      <c r="E815" s="26"/>
    </row>
    <row r="816" spans="5:5" ht="15.75" customHeight="1">
      <c r="E816" s="26"/>
    </row>
    <row r="817" spans="5:5" ht="15.75" customHeight="1">
      <c r="E817" s="26"/>
    </row>
    <row r="818" spans="5:5" ht="15.75" customHeight="1">
      <c r="E818" s="26"/>
    </row>
    <row r="819" spans="5:5" ht="15.75" customHeight="1">
      <c r="E819" s="26"/>
    </row>
    <row r="820" spans="5:5" ht="15.75" customHeight="1">
      <c r="E820" s="26"/>
    </row>
    <row r="821" spans="5:5" ht="15.75" customHeight="1">
      <c r="E821" s="26"/>
    </row>
    <row r="822" spans="5:5" ht="15.75" customHeight="1">
      <c r="E822" s="26"/>
    </row>
    <row r="823" spans="5:5" ht="15.75" customHeight="1">
      <c r="E823" s="26"/>
    </row>
    <row r="824" spans="5:5" ht="15.75" customHeight="1">
      <c r="E824" s="26"/>
    </row>
    <row r="825" spans="5:5" ht="15.75" customHeight="1">
      <c r="E825" s="26"/>
    </row>
    <row r="826" spans="5:5" ht="15.75" customHeight="1">
      <c r="E826" s="26"/>
    </row>
    <row r="827" spans="5:5" ht="15.75" customHeight="1">
      <c r="E827" s="26"/>
    </row>
    <row r="828" spans="5:5" ht="15.75" customHeight="1">
      <c r="E828" s="26"/>
    </row>
    <row r="829" spans="5:5" ht="15.75" customHeight="1">
      <c r="E829" s="26"/>
    </row>
    <row r="830" spans="5:5" ht="15.75" customHeight="1">
      <c r="E830" s="26"/>
    </row>
    <row r="831" spans="5:5" ht="15.75" customHeight="1">
      <c r="E831" s="26"/>
    </row>
    <row r="832" spans="5:5" ht="15.75" customHeight="1">
      <c r="E832" s="26"/>
    </row>
    <row r="833" spans="5:5" ht="15.75" customHeight="1">
      <c r="E833" s="26"/>
    </row>
    <row r="834" spans="5:5" ht="15.75" customHeight="1">
      <c r="E834" s="26"/>
    </row>
    <row r="835" spans="5:5" ht="15.75" customHeight="1">
      <c r="E835" s="26"/>
    </row>
    <row r="836" spans="5:5" ht="15.75" customHeight="1">
      <c r="E836" s="26"/>
    </row>
    <row r="837" spans="5:5" ht="15.75" customHeight="1">
      <c r="E837" s="26"/>
    </row>
    <row r="838" spans="5:5" ht="15.75" customHeight="1">
      <c r="E838" s="26"/>
    </row>
    <row r="839" spans="5:5" ht="15.75" customHeight="1">
      <c r="E839" s="26"/>
    </row>
    <row r="840" spans="5:5" ht="15.75" customHeight="1">
      <c r="E840" s="26"/>
    </row>
    <row r="841" spans="5:5" ht="15.75" customHeight="1">
      <c r="E841" s="26"/>
    </row>
    <row r="842" spans="5:5" ht="15.75" customHeight="1">
      <c r="E842" s="26"/>
    </row>
    <row r="843" spans="5:5" ht="15.75" customHeight="1">
      <c r="E843" s="26"/>
    </row>
    <row r="844" spans="5:5" ht="15.75" customHeight="1">
      <c r="E844" s="26"/>
    </row>
    <row r="845" spans="5:5" ht="15.75" customHeight="1">
      <c r="E845" s="26"/>
    </row>
    <row r="846" spans="5:5" ht="15.75" customHeight="1">
      <c r="E846" s="26"/>
    </row>
    <row r="847" spans="5:5" ht="15.75" customHeight="1">
      <c r="E847" s="26"/>
    </row>
    <row r="848" spans="5:5" ht="15.75" customHeight="1">
      <c r="E848" s="26"/>
    </row>
    <row r="849" spans="5:5" ht="15.75" customHeight="1">
      <c r="E849" s="26"/>
    </row>
    <row r="850" spans="5:5" ht="15.75" customHeight="1">
      <c r="E850" s="26"/>
    </row>
    <row r="851" spans="5:5" ht="15.75" customHeight="1">
      <c r="E851" s="26"/>
    </row>
    <row r="852" spans="5:5" ht="15.75" customHeight="1">
      <c r="E852" s="26"/>
    </row>
    <row r="853" spans="5:5" ht="15.75" customHeight="1">
      <c r="E853" s="26"/>
    </row>
    <row r="854" spans="5:5" ht="15.75" customHeight="1">
      <c r="E854" s="26"/>
    </row>
    <row r="855" spans="5:5" ht="15.75" customHeight="1">
      <c r="E855" s="26"/>
    </row>
    <row r="856" spans="5:5" ht="15.75" customHeight="1">
      <c r="E856" s="26"/>
    </row>
    <row r="857" spans="5:5" ht="15.75" customHeight="1">
      <c r="E857" s="26"/>
    </row>
    <row r="858" spans="5:5" ht="15.75" customHeight="1">
      <c r="E858" s="26"/>
    </row>
    <row r="859" spans="5:5" ht="15.75" customHeight="1">
      <c r="E859" s="26"/>
    </row>
    <row r="860" spans="5:5" ht="15.75" customHeight="1">
      <c r="E860" s="26"/>
    </row>
    <row r="861" spans="5:5" ht="15.75" customHeight="1">
      <c r="E861" s="26"/>
    </row>
    <row r="862" spans="5:5" ht="15.75" customHeight="1">
      <c r="E862" s="26"/>
    </row>
    <row r="863" spans="5:5" ht="15.75" customHeight="1">
      <c r="E863" s="26"/>
    </row>
    <row r="864" spans="5:5" ht="15.75" customHeight="1">
      <c r="E864" s="26"/>
    </row>
    <row r="865" spans="5:5" ht="15.75" customHeight="1">
      <c r="E865" s="26"/>
    </row>
    <row r="866" spans="5:5" ht="15.75" customHeight="1">
      <c r="E866" s="26"/>
    </row>
    <row r="867" spans="5:5" ht="15.75" customHeight="1">
      <c r="E867" s="26"/>
    </row>
    <row r="868" spans="5:5" ht="15.75" customHeight="1">
      <c r="E868" s="26"/>
    </row>
    <row r="869" spans="5:5" ht="15.75" customHeight="1">
      <c r="E869" s="26"/>
    </row>
    <row r="870" spans="5:5" ht="15.75" customHeight="1">
      <c r="E870" s="26"/>
    </row>
    <row r="871" spans="5:5" ht="15.75" customHeight="1">
      <c r="E871" s="26"/>
    </row>
    <row r="872" spans="5:5" ht="15.75" customHeight="1">
      <c r="E872" s="26"/>
    </row>
    <row r="873" spans="5:5" ht="15.75" customHeight="1">
      <c r="E873" s="26"/>
    </row>
    <row r="874" spans="5:5" ht="15.75" customHeight="1">
      <c r="E874" s="26"/>
    </row>
    <row r="875" spans="5:5" ht="15.75" customHeight="1">
      <c r="E875" s="26"/>
    </row>
    <row r="876" spans="5:5" ht="15.75" customHeight="1">
      <c r="E876" s="26"/>
    </row>
    <row r="877" spans="5:5" ht="15.75" customHeight="1">
      <c r="E877" s="26"/>
    </row>
    <row r="878" spans="5:5" ht="15.75" customHeight="1">
      <c r="E878" s="26"/>
    </row>
    <row r="879" spans="5:5" ht="15.75" customHeight="1">
      <c r="E879" s="26"/>
    </row>
    <row r="880" spans="5:5" ht="15.75" customHeight="1">
      <c r="E880" s="26"/>
    </row>
    <row r="881" spans="5:5" ht="15.75" customHeight="1">
      <c r="E881" s="26"/>
    </row>
    <row r="882" spans="5:5" ht="15.75" customHeight="1">
      <c r="E882" s="26"/>
    </row>
    <row r="883" spans="5:5" ht="15.75" customHeight="1">
      <c r="E883" s="26"/>
    </row>
    <row r="884" spans="5:5" ht="15.75" customHeight="1">
      <c r="E884" s="26"/>
    </row>
    <row r="885" spans="5:5" ht="15.75" customHeight="1">
      <c r="E885" s="26"/>
    </row>
    <row r="886" spans="5:5" ht="15.75" customHeight="1">
      <c r="E886" s="26"/>
    </row>
    <row r="887" spans="5:5" ht="15.75" customHeight="1">
      <c r="E887" s="26"/>
    </row>
    <row r="888" spans="5:5" ht="15.75" customHeight="1">
      <c r="E888" s="26"/>
    </row>
    <row r="889" spans="5:5" ht="15.75" customHeight="1">
      <c r="E889" s="26"/>
    </row>
    <row r="890" spans="5:5" ht="15.75" customHeight="1">
      <c r="E890" s="26"/>
    </row>
    <row r="891" spans="5:5" ht="15.75" customHeight="1">
      <c r="E891" s="26"/>
    </row>
    <row r="892" spans="5:5" ht="15.75" customHeight="1">
      <c r="E892" s="26"/>
    </row>
    <row r="893" spans="5:5" ht="15.75" customHeight="1">
      <c r="E893" s="26"/>
    </row>
    <row r="894" spans="5:5" ht="15.75" customHeight="1">
      <c r="E894" s="26"/>
    </row>
    <row r="895" spans="5:5" ht="15.75" customHeight="1">
      <c r="E895" s="26"/>
    </row>
    <row r="896" spans="5:5" ht="15.75" customHeight="1">
      <c r="E896" s="26"/>
    </row>
    <row r="897" spans="5:5" ht="15.75" customHeight="1">
      <c r="E897" s="26"/>
    </row>
    <row r="898" spans="5:5" ht="15.75" customHeight="1">
      <c r="E898" s="26"/>
    </row>
    <row r="899" spans="5:5" ht="15.75" customHeight="1">
      <c r="E899" s="26"/>
    </row>
    <row r="900" spans="5:5" ht="15.75" customHeight="1">
      <c r="E900" s="26"/>
    </row>
    <row r="901" spans="5:5" ht="15.75" customHeight="1">
      <c r="E901" s="26"/>
    </row>
    <row r="902" spans="5:5" ht="15.75" customHeight="1">
      <c r="E902" s="26"/>
    </row>
    <row r="903" spans="5:5" ht="15.75" customHeight="1">
      <c r="E903" s="26"/>
    </row>
    <row r="904" spans="5:5" ht="15.75" customHeight="1">
      <c r="E904" s="26"/>
    </row>
    <row r="905" spans="5:5" ht="15.75" customHeight="1">
      <c r="E905" s="26"/>
    </row>
    <row r="906" spans="5:5" ht="15.75" customHeight="1">
      <c r="E906" s="26"/>
    </row>
    <row r="907" spans="5:5" ht="15.75" customHeight="1">
      <c r="E907" s="26"/>
    </row>
    <row r="908" spans="5:5" ht="15.75" customHeight="1">
      <c r="E908" s="26"/>
    </row>
    <row r="909" spans="5:5" ht="15.75" customHeight="1">
      <c r="E909" s="26"/>
    </row>
    <row r="910" spans="5:5" ht="15.75" customHeight="1">
      <c r="E910" s="26"/>
    </row>
    <row r="911" spans="5:5" ht="15.75" customHeight="1">
      <c r="E911" s="26"/>
    </row>
    <row r="912" spans="5:5" ht="15.75" customHeight="1">
      <c r="E912" s="26"/>
    </row>
    <row r="913" spans="5:5" ht="15.75" customHeight="1">
      <c r="E913" s="26"/>
    </row>
    <row r="914" spans="5:5" ht="15.75" customHeight="1">
      <c r="E914" s="26"/>
    </row>
    <row r="915" spans="5:5" ht="15.75" customHeight="1">
      <c r="E915" s="26"/>
    </row>
    <row r="916" spans="5:5" ht="15.75" customHeight="1">
      <c r="E916" s="26"/>
    </row>
    <row r="917" spans="5:5" ht="15.75" customHeight="1">
      <c r="E917" s="26"/>
    </row>
    <row r="918" spans="5:5" ht="15.75" customHeight="1">
      <c r="E918" s="26"/>
    </row>
    <row r="919" spans="5:5" ht="15.75" customHeight="1">
      <c r="E919" s="26"/>
    </row>
    <row r="920" spans="5:5" ht="15.75" customHeight="1">
      <c r="E920" s="26"/>
    </row>
    <row r="921" spans="5:5" ht="15.75" customHeight="1">
      <c r="E921" s="26"/>
    </row>
    <row r="922" spans="5:5" ht="15.75" customHeight="1">
      <c r="E922" s="26"/>
    </row>
    <row r="923" spans="5:5" ht="15.75" customHeight="1">
      <c r="E923" s="26"/>
    </row>
    <row r="924" spans="5:5" ht="15.75" customHeight="1">
      <c r="E924" s="26"/>
    </row>
    <row r="925" spans="5:5" ht="15.75" customHeight="1">
      <c r="E925" s="26"/>
    </row>
    <row r="926" spans="5:5" ht="15.75" customHeight="1">
      <c r="E926" s="26"/>
    </row>
    <row r="927" spans="5:5" ht="15.75" customHeight="1">
      <c r="E927" s="26"/>
    </row>
    <row r="928" spans="5:5" ht="15.75" customHeight="1">
      <c r="E928" s="26"/>
    </row>
    <row r="929" spans="5:5" ht="15.75" customHeight="1">
      <c r="E929" s="26"/>
    </row>
    <row r="930" spans="5:5" ht="15.75" customHeight="1">
      <c r="E930" s="26"/>
    </row>
    <row r="931" spans="5:5" ht="15.75" customHeight="1">
      <c r="E931" s="26"/>
    </row>
    <row r="932" spans="5:5" ht="15.75" customHeight="1">
      <c r="E932" s="26"/>
    </row>
    <row r="933" spans="5:5" ht="15.75" customHeight="1">
      <c r="E933" s="26"/>
    </row>
    <row r="934" spans="5:5" ht="15.75" customHeight="1">
      <c r="E934" s="26"/>
    </row>
    <row r="935" spans="5:5" ht="15.75" customHeight="1">
      <c r="E935" s="26"/>
    </row>
    <row r="936" spans="5:5" ht="15.75" customHeight="1">
      <c r="E936" s="26"/>
    </row>
    <row r="937" spans="5:5" ht="15.75" customHeight="1">
      <c r="E937" s="26"/>
    </row>
    <row r="938" spans="5:5" ht="15.75" customHeight="1">
      <c r="E938" s="26"/>
    </row>
    <row r="939" spans="5:5" ht="15.75" customHeight="1">
      <c r="E939" s="26"/>
    </row>
    <row r="940" spans="5:5" ht="15.75" customHeight="1">
      <c r="E940" s="26"/>
    </row>
    <row r="941" spans="5:5" ht="15.75" customHeight="1">
      <c r="E941" s="26"/>
    </row>
    <row r="942" spans="5:5" ht="15.75" customHeight="1">
      <c r="E942" s="26"/>
    </row>
    <row r="943" spans="5:5" ht="15.75" customHeight="1">
      <c r="E943" s="26"/>
    </row>
    <row r="944" spans="5:5" ht="15.75" customHeight="1">
      <c r="E944" s="26"/>
    </row>
    <row r="945" spans="5:5" ht="15.75" customHeight="1">
      <c r="E945" s="26"/>
    </row>
    <row r="946" spans="5:5" ht="15.75" customHeight="1">
      <c r="E946" s="26"/>
    </row>
    <row r="947" spans="5:5" ht="15.75" customHeight="1">
      <c r="E947" s="26"/>
    </row>
    <row r="948" spans="5:5" ht="15.75" customHeight="1">
      <c r="E948" s="26"/>
    </row>
    <row r="949" spans="5:5" ht="15.75" customHeight="1">
      <c r="E949" s="26"/>
    </row>
    <row r="950" spans="5:5" ht="15.75" customHeight="1">
      <c r="E950" s="26"/>
    </row>
    <row r="951" spans="5:5" ht="15.75" customHeight="1">
      <c r="E951" s="26"/>
    </row>
    <row r="952" spans="5:5" ht="15.75" customHeight="1">
      <c r="E952" s="26"/>
    </row>
    <row r="953" spans="5:5" ht="15.75" customHeight="1">
      <c r="E953" s="26"/>
    </row>
    <row r="954" spans="5:5" ht="15.75" customHeight="1">
      <c r="E954" s="26"/>
    </row>
    <row r="955" spans="5:5" ht="15.75" customHeight="1">
      <c r="E955" s="26"/>
    </row>
    <row r="956" spans="5:5" ht="15.75" customHeight="1">
      <c r="E956" s="26"/>
    </row>
    <row r="957" spans="5:5" ht="15.75" customHeight="1">
      <c r="E957" s="26"/>
    </row>
    <row r="958" spans="5:5" ht="15.75" customHeight="1">
      <c r="E958" s="26"/>
    </row>
    <row r="959" spans="5:5" ht="15.75" customHeight="1">
      <c r="E959" s="26"/>
    </row>
    <row r="960" spans="5:5" ht="15.75" customHeight="1">
      <c r="E960" s="26"/>
    </row>
    <row r="961" spans="5:5" ht="15.75" customHeight="1">
      <c r="E961" s="26"/>
    </row>
    <row r="962" spans="5:5" ht="15.75" customHeight="1">
      <c r="E962" s="26"/>
    </row>
    <row r="963" spans="5:5" ht="15.75" customHeight="1">
      <c r="E963" s="26"/>
    </row>
    <row r="964" spans="5:5" ht="15.75" customHeight="1">
      <c r="E964" s="26"/>
    </row>
    <row r="965" spans="5:5" ht="15.75" customHeight="1">
      <c r="E965" s="26"/>
    </row>
    <row r="966" spans="5:5" ht="15.75" customHeight="1">
      <c r="E966" s="26"/>
    </row>
    <row r="967" spans="5:5" ht="15.75" customHeight="1">
      <c r="E967" s="26"/>
    </row>
    <row r="968" spans="5:5" ht="15.75" customHeight="1">
      <c r="E968" s="26"/>
    </row>
    <row r="969" spans="5:5" ht="15.75" customHeight="1">
      <c r="E969" s="26"/>
    </row>
    <row r="970" spans="5:5" ht="15.75" customHeight="1">
      <c r="E970" s="26"/>
    </row>
    <row r="971" spans="5:5" ht="15.75" customHeight="1">
      <c r="E971" s="26"/>
    </row>
    <row r="972" spans="5:5" ht="15.75" customHeight="1">
      <c r="E972" s="26"/>
    </row>
    <row r="973" spans="5:5" ht="15.75" customHeight="1">
      <c r="E973" s="26"/>
    </row>
    <row r="974" spans="5:5" ht="15.75" customHeight="1">
      <c r="E974" s="26"/>
    </row>
    <row r="975" spans="5:5" ht="15.75" customHeight="1">
      <c r="E975" s="26"/>
    </row>
    <row r="976" spans="5:5" ht="15.75" customHeight="1">
      <c r="E976" s="26"/>
    </row>
    <row r="977" spans="5:5" ht="15.75" customHeight="1">
      <c r="E977" s="26"/>
    </row>
    <row r="978" spans="5:5" ht="15.75" customHeight="1">
      <c r="E978" s="26"/>
    </row>
    <row r="979" spans="5:5" ht="15.75" customHeight="1">
      <c r="E979" s="26"/>
    </row>
    <row r="980" spans="5:5" ht="15.75" customHeight="1">
      <c r="E980" s="26"/>
    </row>
    <row r="981" spans="5:5" ht="15.75" customHeight="1">
      <c r="E981" s="26"/>
    </row>
    <row r="982" spans="5:5" ht="15.75" customHeight="1">
      <c r="E982" s="26"/>
    </row>
    <row r="983" spans="5:5" ht="15.75" customHeight="1">
      <c r="E983" s="26"/>
    </row>
    <row r="984" spans="5:5" ht="15.75" customHeight="1">
      <c r="E984" s="26"/>
    </row>
    <row r="985" spans="5:5" ht="15.75" customHeight="1">
      <c r="E985" s="26"/>
    </row>
    <row r="986" spans="5:5" ht="15.75" customHeight="1">
      <c r="E986" s="26"/>
    </row>
    <row r="987" spans="5:5" ht="15.75" customHeight="1">
      <c r="E987" s="26"/>
    </row>
    <row r="988" spans="5:5" ht="15.75" customHeight="1">
      <c r="E988" s="26"/>
    </row>
    <row r="989" spans="5:5" ht="15.75" customHeight="1">
      <c r="E989" s="26"/>
    </row>
    <row r="990" spans="5:5" ht="15.75" customHeight="1">
      <c r="E990" s="26"/>
    </row>
    <row r="991" spans="5:5" ht="15.75" customHeight="1">
      <c r="E991" s="26"/>
    </row>
    <row r="992" spans="5:5" ht="15.75" customHeight="1">
      <c r="E992" s="26"/>
    </row>
    <row r="993" spans="5:5" ht="15.75" customHeight="1">
      <c r="E993" s="26"/>
    </row>
    <row r="994" spans="5:5" ht="15.75" customHeight="1">
      <c r="E994" s="26"/>
    </row>
    <row r="995" spans="5:5" ht="15.75" customHeight="1">
      <c r="E995" s="26"/>
    </row>
    <row r="996" spans="5:5" ht="15.75" customHeight="1">
      <c r="E996" s="26"/>
    </row>
    <row r="997" spans="5:5" ht="15.75" customHeight="1">
      <c r="E997" s="26"/>
    </row>
    <row r="998" spans="5:5" ht="15.75" customHeight="1">
      <c r="E998" s="26"/>
    </row>
    <row r="999" spans="5:5" ht="15.75" customHeight="1">
      <c r="E999" s="26"/>
    </row>
    <row r="1000" spans="5:5" ht="15.75" customHeight="1">
      <c r="E1000" s="26"/>
    </row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I5" sqref="I5"/>
    </sheetView>
  </sheetViews>
  <sheetFormatPr defaultColWidth="14.42578125" defaultRowHeight="15" customHeight="1"/>
  <cols>
    <col min="1" max="1" width="10.5703125" customWidth="1"/>
    <col min="2" max="5" width="8" customWidth="1"/>
    <col min="6" max="6" width="12" customWidth="1"/>
    <col min="7" max="7" width="9.28515625" customWidth="1"/>
    <col min="8" max="9" width="8" customWidth="1"/>
    <col min="10" max="10" width="12.28515625" customWidth="1"/>
    <col min="11" max="11" width="8" customWidth="1"/>
    <col min="12" max="12" width="13.85546875" customWidth="1"/>
    <col min="13" max="13" width="11.28515625" customWidth="1"/>
    <col min="14" max="26" width="8" customWidth="1"/>
  </cols>
  <sheetData>
    <row r="1" spans="1:13" ht="18.75" customHeight="1">
      <c r="A1" s="310" t="s">
        <v>55</v>
      </c>
      <c r="B1" s="311"/>
      <c r="C1" s="311"/>
      <c r="D1" s="311"/>
      <c r="E1" s="311"/>
      <c r="F1" s="311"/>
      <c r="G1" s="311"/>
      <c r="H1" s="311"/>
    </row>
    <row r="2" spans="1:13">
      <c r="A2" s="313" t="s">
        <v>56</v>
      </c>
      <c r="B2" s="311"/>
      <c r="C2" s="311"/>
      <c r="D2" s="311"/>
      <c r="E2" s="311"/>
      <c r="F2" s="311"/>
      <c r="G2" s="311"/>
      <c r="H2" s="311"/>
    </row>
    <row r="4" spans="1:13">
      <c r="A4" s="27" t="s">
        <v>57</v>
      </c>
      <c r="B4" s="28" t="s">
        <v>58</v>
      </c>
      <c r="C4" s="28" t="s">
        <v>59</v>
      </c>
      <c r="D4" s="28" t="s">
        <v>60</v>
      </c>
      <c r="E4" s="28" t="s">
        <v>61</v>
      </c>
      <c r="F4" s="28" t="s">
        <v>62</v>
      </c>
      <c r="G4" s="29" t="s">
        <v>40</v>
      </c>
      <c r="J4">
        <f>LOOKUP(A5,A5:A13,E5:E13)</f>
        <v>70</v>
      </c>
      <c r="L4" t="s">
        <v>64</v>
      </c>
      <c r="M4">
        <f>LOOKUP($L$4,$A$5:$A$13,$E$5:$E$13)</f>
        <v>50</v>
      </c>
    </row>
    <row r="5" spans="1:13">
      <c r="A5" s="7" t="s">
        <v>63</v>
      </c>
      <c r="B5" s="8">
        <v>20</v>
      </c>
      <c r="C5" s="8">
        <v>15</v>
      </c>
      <c r="D5" s="8">
        <v>20</v>
      </c>
      <c r="E5" s="9">
        <f t="shared" ref="E5:E13" si="0">SUM(B5:D5)</f>
        <v>55</v>
      </c>
      <c r="F5" s="9">
        <f t="shared" ref="F5:F13" si="1">AVERAGE(B5:D5)</f>
        <v>18.333333333333332</v>
      </c>
      <c r="G5" s="10" t="str">
        <f>IF(F5&gt;20,"A",IF(F5&gt;15,"B","C"))</f>
        <v>B</v>
      </c>
      <c r="H5" t="str">
        <f>IF(F5&gt;20,"A",IF(F5&gt;15,"B",IF(F5&lt;15,"C")))</f>
        <v>B</v>
      </c>
      <c r="L5" t="s">
        <v>65</v>
      </c>
      <c r="M5" s="309">
        <f>LOOKUP(L5,A5:A13,E5:E13)</f>
        <v>70</v>
      </c>
    </row>
    <row r="6" spans="1:13">
      <c r="A6" s="7" t="s">
        <v>64</v>
      </c>
      <c r="B6" s="8">
        <v>30</v>
      </c>
      <c r="C6" s="8">
        <v>12</v>
      </c>
      <c r="D6" s="8">
        <v>15</v>
      </c>
      <c r="E6" s="9">
        <f t="shared" si="0"/>
        <v>57</v>
      </c>
      <c r="F6" s="9">
        <f t="shared" si="1"/>
        <v>19</v>
      </c>
      <c r="G6" s="10" t="str">
        <f t="shared" ref="G6:G13" si="2">IF(F6&gt;20,"A",IF(F6&gt;15,"B","C"))</f>
        <v>B</v>
      </c>
      <c r="H6" s="309" t="str">
        <f t="shared" ref="H6:H13" si="3">IF(F6&gt;20,"A",IF(F6&gt;15,"B",IF(F6&lt;15,"C")))</f>
        <v>B</v>
      </c>
      <c r="L6">
        <v>50</v>
      </c>
      <c r="M6" t="str">
        <f>LOOKUP(L6,E5:E13,A5:A13)</f>
        <v>CHEMISTRY</v>
      </c>
    </row>
    <row r="7" spans="1:13">
      <c r="A7" s="7" t="s">
        <v>65</v>
      </c>
      <c r="B7" s="8">
        <v>15</v>
      </c>
      <c r="C7" s="8">
        <v>14</v>
      </c>
      <c r="D7" s="8">
        <v>14</v>
      </c>
      <c r="E7" s="9">
        <f t="shared" si="0"/>
        <v>43</v>
      </c>
      <c r="F7" s="9">
        <f t="shared" si="1"/>
        <v>14.333333333333334</v>
      </c>
      <c r="G7" s="10" t="str">
        <f t="shared" si="2"/>
        <v>C</v>
      </c>
      <c r="H7" s="309" t="str">
        <f t="shared" si="3"/>
        <v>C</v>
      </c>
    </row>
    <row r="8" spans="1:13">
      <c r="A8" s="7" t="s">
        <v>66</v>
      </c>
      <c r="B8" s="8">
        <v>12</v>
      </c>
      <c r="C8" s="8">
        <v>17</v>
      </c>
      <c r="D8" s="8">
        <v>17</v>
      </c>
      <c r="E8" s="9">
        <f t="shared" si="0"/>
        <v>46</v>
      </c>
      <c r="F8" s="9">
        <f t="shared" si="1"/>
        <v>15.333333333333334</v>
      </c>
      <c r="G8" s="10" t="str">
        <f t="shared" si="2"/>
        <v>B</v>
      </c>
      <c r="H8" s="309" t="str">
        <f t="shared" si="3"/>
        <v>B</v>
      </c>
    </row>
    <row r="9" spans="1:13">
      <c r="A9" s="7" t="s">
        <v>67</v>
      </c>
      <c r="B9" s="8">
        <v>14</v>
      </c>
      <c r="C9" s="8">
        <v>18</v>
      </c>
      <c r="D9" s="8">
        <v>18</v>
      </c>
      <c r="E9" s="9">
        <f t="shared" si="0"/>
        <v>50</v>
      </c>
      <c r="F9" s="9">
        <f t="shared" si="1"/>
        <v>16.666666666666668</v>
      </c>
      <c r="G9" s="10" t="str">
        <f t="shared" si="2"/>
        <v>B</v>
      </c>
      <c r="H9" s="309" t="str">
        <f t="shared" si="3"/>
        <v>B</v>
      </c>
    </row>
    <row r="10" spans="1:13">
      <c r="A10" s="7" t="s">
        <v>68</v>
      </c>
      <c r="B10" s="8">
        <v>16</v>
      </c>
      <c r="C10" s="8">
        <v>25</v>
      </c>
      <c r="D10" s="8">
        <v>20</v>
      </c>
      <c r="E10" s="9">
        <f t="shared" si="0"/>
        <v>61</v>
      </c>
      <c r="F10" s="9">
        <f t="shared" si="1"/>
        <v>20.333333333333332</v>
      </c>
      <c r="G10" s="10" t="str">
        <f t="shared" si="2"/>
        <v>A</v>
      </c>
      <c r="H10" s="309" t="str">
        <f t="shared" si="3"/>
        <v>A</v>
      </c>
    </row>
    <row r="11" spans="1:13">
      <c r="A11" s="7" t="s">
        <v>69</v>
      </c>
      <c r="B11" s="8">
        <v>18</v>
      </c>
      <c r="C11" s="8">
        <v>21</v>
      </c>
      <c r="D11" s="8">
        <v>22</v>
      </c>
      <c r="E11" s="9">
        <f t="shared" si="0"/>
        <v>61</v>
      </c>
      <c r="F11" s="9">
        <f t="shared" si="1"/>
        <v>20.333333333333332</v>
      </c>
      <c r="G11" s="10" t="str">
        <f t="shared" si="2"/>
        <v>A</v>
      </c>
      <c r="H11" s="309" t="str">
        <f t="shared" si="3"/>
        <v>A</v>
      </c>
    </row>
    <row r="12" spans="1:13">
      <c r="A12" s="7" t="s">
        <v>70</v>
      </c>
      <c r="B12" s="8">
        <v>17</v>
      </c>
      <c r="C12" s="8">
        <v>23</v>
      </c>
      <c r="D12" s="8">
        <v>13</v>
      </c>
      <c r="E12" s="9">
        <f t="shared" si="0"/>
        <v>53</v>
      </c>
      <c r="F12" s="9">
        <f t="shared" si="1"/>
        <v>17.666666666666668</v>
      </c>
      <c r="G12" s="10" t="str">
        <f t="shared" si="2"/>
        <v>B</v>
      </c>
      <c r="H12" s="309" t="str">
        <f t="shared" si="3"/>
        <v>B</v>
      </c>
    </row>
    <row r="13" spans="1:13">
      <c r="A13" s="12" t="s">
        <v>71</v>
      </c>
      <c r="B13" s="13">
        <v>20</v>
      </c>
      <c r="C13" s="13">
        <v>25</v>
      </c>
      <c r="D13" s="13">
        <v>25</v>
      </c>
      <c r="E13" s="9">
        <f t="shared" si="0"/>
        <v>70</v>
      </c>
      <c r="F13" s="9">
        <f t="shared" si="1"/>
        <v>23.333333333333332</v>
      </c>
      <c r="G13" s="10" t="str">
        <f t="shared" si="2"/>
        <v>A</v>
      </c>
      <c r="H13" s="309" t="str">
        <f t="shared" si="3"/>
        <v>A</v>
      </c>
    </row>
    <row r="15" spans="1:13" ht="19.5" customHeight="1">
      <c r="A15" s="14" t="s">
        <v>72</v>
      </c>
      <c r="B15" s="14"/>
      <c r="C15" s="14"/>
      <c r="D15" s="14"/>
      <c r="E15" s="14"/>
      <c r="G15" s="6" t="s">
        <v>30</v>
      </c>
      <c r="I15">
        <f>COUNTA(A5:A13)</f>
        <v>9</v>
      </c>
    </row>
    <row r="16" spans="1:13" ht="19.5" customHeight="1">
      <c r="A16" s="14" t="s">
        <v>73</v>
      </c>
      <c r="B16" s="14"/>
      <c r="C16" s="14"/>
      <c r="D16" s="14"/>
      <c r="E16" s="14"/>
      <c r="G16" s="6" t="s">
        <v>26</v>
      </c>
      <c r="I16">
        <f>COUNTIF(B5:B13,"&lt;20")</f>
        <v>6</v>
      </c>
    </row>
    <row r="17" spans="1:14" ht="19.5" customHeight="1">
      <c r="A17" s="14" t="s">
        <v>74</v>
      </c>
      <c r="B17" s="14"/>
      <c r="C17" s="14"/>
      <c r="D17" s="14"/>
      <c r="E17" s="14"/>
      <c r="G17" s="6" t="s">
        <v>75</v>
      </c>
      <c r="L17" s="5" t="s">
        <v>76</v>
      </c>
      <c r="M17" s="5" t="s">
        <v>77</v>
      </c>
    </row>
    <row r="18" spans="1:14" ht="19.5" customHeight="1">
      <c r="A18" s="14" t="s">
        <v>78</v>
      </c>
      <c r="B18" s="14"/>
      <c r="C18" s="14"/>
      <c r="D18" s="14"/>
      <c r="E18" s="14"/>
      <c r="K18" s="5" t="s">
        <v>4</v>
      </c>
      <c r="L18" s="6">
        <f>VLOOKUP(K18,$A$4:$G$13,5,0)</f>
        <v>55</v>
      </c>
      <c r="M18" t="str">
        <f>VLOOKUP(K18,A4:G13,7,0)</f>
        <v>B</v>
      </c>
    </row>
    <row r="19" spans="1:14" ht="19.5" customHeight="1">
      <c r="A19" s="14" t="s">
        <v>79</v>
      </c>
      <c r="B19" s="14"/>
      <c r="C19" s="14"/>
      <c r="D19" s="14"/>
      <c r="E19" s="14"/>
      <c r="G19" s="6" t="s">
        <v>75</v>
      </c>
      <c r="K19" s="309" t="s">
        <v>65</v>
      </c>
      <c r="L19">
        <f>VLOOKUP(K19,A4:G13,5,0)</f>
        <v>43</v>
      </c>
      <c r="M19" t="s">
        <v>40</v>
      </c>
      <c r="N19" t="str">
        <f>HLOOKUP(M19,A4:G13,5,0)</f>
        <v>B</v>
      </c>
    </row>
    <row r="20" spans="1:14">
      <c r="K20" s="5" t="s">
        <v>5</v>
      </c>
      <c r="L20" s="6">
        <f>VLOOKUP(K20,$A$4:$G$13,5,0)</f>
        <v>57</v>
      </c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 count="1">
    <dataValidation type="list" allowBlank="1" sqref="L17">
      <formula1>$A$5:$A$13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N10" sqref="N10"/>
    </sheetView>
  </sheetViews>
  <sheetFormatPr defaultColWidth="14.42578125" defaultRowHeight="15" customHeight="1"/>
  <cols>
    <col min="1" max="1" width="8" customWidth="1"/>
    <col min="2" max="2" width="15.140625" customWidth="1"/>
    <col min="3" max="3" width="13.5703125" customWidth="1"/>
    <col min="4" max="4" width="8.7109375" customWidth="1"/>
    <col min="5" max="5" width="10.28515625" customWidth="1"/>
    <col min="6" max="6" width="11.42578125" customWidth="1"/>
    <col min="7" max="7" width="9.85546875" customWidth="1"/>
    <col min="8" max="9" width="8" customWidth="1"/>
    <col min="10" max="10" width="13.140625" customWidth="1"/>
    <col min="11" max="11" width="11.85546875" customWidth="1"/>
    <col min="12" max="12" width="14.140625" customWidth="1"/>
    <col min="13" max="26" width="8" customWidth="1"/>
  </cols>
  <sheetData>
    <row r="1" spans="1:12" ht="18.75" customHeight="1">
      <c r="A1" s="310" t="s">
        <v>80</v>
      </c>
      <c r="B1" s="311"/>
      <c r="C1" s="311"/>
      <c r="D1" s="311"/>
      <c r="E1" s="311"/>
      <c r="F1" s="311"/>
      <c r="G1" s="311"/>
      <c r="H1" s="311"/>
    </row>
    <row r="2" spans="1:12">
      <c r="A2" s="313" t="s">
        <v>56</v>
      </c>
      <c r="B2" s="311"/>
      <c r="C2" s="311"/>
      <c r="D2" s="311"/>
      <c r="E2" s="311"/>
      <c r="F2" s="311"/>
      <c r="G2" s="311"/>
      <c r="H2" s="311"/>
    </row>
    <row r="4" spans="1:12">
      <c r="A4" s="30" t="s">
        <v>81</v>
      </c>
      <c r="B4" s="31" t="s">
        <v>82</v>
      </c>
      <c r="C4" s="31" t="s">
        <v>83</v>
      </c>
      <c r="D4" s="31" t="s">
        <v>84</v>
      </c>
      <c r="E4" s="31" t="s">
        <v>85</v>
      </c>
      <c r="F4" s="31" t="s">
        <v>86</v>
      </c>
      <c r="G4" s="31" t="s">
        <v>87</v>
      </c>
      <c r="H4" s="31" t="s">
        <v>61</v>
      </c>
      <c r="I4" s="32" t="s">
        <v>40</v>
      </c>
      <c r="J4" s="33" t="s">
        <v>88</v>
      </c>
      <c r="K4" s="33" t="s">
        <v>46</v>
      </c>
      <c r="L4" s="33" t="s">
        <v>89</v>
      </c>
    </row>
    <row r="5" spans="1:12">
      <c r="A5" s="7" t="s">
        <v>90</v>
      </c>
      <c r="B5" s="8" t="s">
        <v>46</v>
      </c>
      <c r="C5" s="8" t="s">
        <v>91</v>
      </c>
      <c r="D5" s="8">
        <v>5000</v>
      </c>
      <c r="E5" s="9">
        <f t="shared" ref="E5:E6" si="0">D5*2.5%</f>
        <v>125</v>
      </c>
      <c r="F5" s="9">
        <f t="shared" ref="F5:F12" si="1">D5*3.5%</f>
        <v>175.00000000000003</v>
      </c>
      <c r="G5" s="9">
        <f t="shared" ref="G5:G12" si="2">D5*1.5%</f>
        <v>75</v>
      </c>
      <c r="H5" s="9">
        <f t="shared" ref="H5:H12" si="3">SUM(D5:F5)-G5</f>
        <v>5225</v>
      </c>
      <c r="I5" s="34" t="str">
        <f t="shared" ref="I5:I12" si="4">IF(H5&gt;20000,"A",IF(H5&gt;15000,"B",IF(H5&gt;10000,"C","D")))</f>
        <v>D</v>
      </c>
      <c r="J5" s="35">
        <f>COUNTIF(B5:B12,B11)</f>
        <v>2</v>
      </c>
      <c r="K5" s="35">
        <f>COUNTIF(B5:B12,B5)</f>
        <v>3</v>
      </c>
      <c r="L5" s="35">
        <f>COUNTIF(B5:B12,B8)</f>
        <v>3</v>
      </c>
    </row>
    <row r="6" spans="1:12">
      <c r="A6" s="7" t="s">
        <v>92</v>
      </c>
      <c r="B6" s="8" t="s">
        <v>46</v>
      </c>
      <c r="C6" s="8" t="s">
        <v>93</v>
      </c>
      <c r="D6" s="8">
        <v>8000</v>
      </c>
      <c r="E6" s="9">
        <f t="shared" si="0"/>
        <v>200</v>
      </c>
      <c r="F6" s="9">
        <f t="shared" si="1"/>
        <v>280</v>
      </c>
      <c r="G6" s="9">
        <f t="shared" si="2"/>
        <v>120</v>
      </c>
      <c r="H6" s="9">
        <f t="shared" si="3"/>
        <v>8360</v>
      </c>
      <c r="I6" s="34" t="str">
        <f t="shared" si="4"/>
        <v>D</v>
      </c>
      <c r="L6" s="35">
        <f t="shared" ref="L6:L14" si="5">COUNTIF(B6:B13,B9)</f>
        <v>3</v>
      </c>
    </row>
    <row r="7" spans="1:12">
      <c r="A7" s="7" t="s">
        <v>12</v>
      </c>
      <c r="B7" s="8" t="s">
        <v>46</v>
      </c>
      <c r="C7" s="8" t="s">
        <v>94</v>
      </c>
      <c r="D7" s="8">
        <v>3000</v>
      </c>
      <c r="E7" s="9"/>
      <c r="F7" s="9">
        <f t="shared" si="1"/>
        <v>105.00000000000001</v>
      </c>
      <c r="G7" s="9">
        <f t="shared" si="2"/>
        <v>45</v>
      </c>
      <c r="H7" s="9">
        <f t="shared" si="3"/>
        <v>3060</v>
      </c>
      <c r="I7" s="34" t="str">
        <f t="shared" si="4"/>
        <v>D</v>
      </c>
      <c r="K7" s="6">
        <f>SUMIF(B5:B12,B6,D5:D12)</f>
        <v>16000</v>
      </c>
      <c r="L7" s="35">
        <f t="shared" si="5"/>
        <v>3</v>
      </c>
    </row>
    <row r="8" spans="1:12">
      <c r="A8" s="7" t="s">
        <v>17</v>
      </c>
      <c r="B8" s="8" t="s">
        <v>89</v>
      </c>
      <c r="C8" s="8" t="s">
        <v>95</v>
      </c>
      <c r="D8" s="8">
        <v>6000</v>
      </c>
      <c r="E8" s="9"/>
      <c r="F8" s="9">
        <f t="shared" si="1"/>
        <v>210.00000000000003</v>
      </c>
      <c r="G8" s="9">
        <f t="shared" si="2"/>
        <v>90</v>
      </c>
      <c r="H8" s="9">
        <f t="shared" si="3"/>
        <v>6120</v>
      </c>
      <c r="I8" s="34" t="str">
        <f t="shared" si="4"/>
        <v>D</v>
      </c>
      <c r="L8" s="35">
        <f t="shared" si="5"/>
        <v>2</v>
      </c>
    </row>
    <row r="9" spans="1:12">
      <c r="A9" s="7" t="s">
        <v>96</v>
      </c>
      <c r="B9" s="8" t="s">
        <v>89</v>
      </c>
      <c r="C9" s="8" t="s">
        <v>97</v>
      </c>
      <c r="D9" s="8">
        <v>8000</v>
      </c>
      <c r="E9" s="9"/>
      <c r="F9" s="9">
        <f t="shared" si="1"/>
        <v>280</v>
      </c>
      <c r="G9" s="9">
        <f t="shared" si="2"/>
        <v>120</v>
      </c>
      <c r="H9" s="9">
        <f t="shared" si="3"/>
        <v>8160</v>
      </c>
      <c r="I9" s="34" t="str">
        <f t="shared" si="4"/>
        <v>D</v>
      </c>
      <c r="J9" s="6" t="str">
        <f>VLOOKUP("MANOJ",$A$4:$I$12,9,0)</f>
        <v>D</v>
      </c>
      <c r="K9" s="6" t="str">
        <f>VLOOKUP("MANOJ",$A$4:$I$12,3,0)</f>
        <v>PION</v>
      </c>
      <c r="L9" s="35">
        <f t="shared" si="5"/>
        <v>2</v>
      </c>
    </row>
    <row r="10" spans="1:12">
      <c r="A10" s="7" t="s">
        <v>98</v>
      </c>
      <c r="B10" s="8" t="s">
        <v>89</v>
      </c>
      <c r="C10" s="8" t="s">
        <v>99</v>
      </c>
      <c r="D10" s="8">
        <v>9000</v>
      </c>
      <c r="E10" s="9"/>
      <c r="F10" s="9">
        <f t="shared" si="1"/>
        <v>315.00000000000006</v>
      </c>
      <c r="G10" s="9">
        <f t="shared" si="2"/>
        <v>135</v>
      </c>
      <c r="H10" s="9">
        <f t="shared" si="3"/>
        <v>9180</v>
      </c>
      <c r="I10" s="34" t="str">
        <f t="shared" si="4"/>
        <v>D</v>
      </c>
      <c r="L10" s="35">
        <f t="shared" si="5"/>
        <v>0</v>
      </c>
    </row>
    <row r="11" spans="1:12">
      <c r="A11" s="7" t="s">
        <v>100</v>
      </c>
      <c r="B11" s="8" t="s">
        <v>88</v>
      </c>
      <c r="C11" s="8" t="s">
        <v>91</v>
      </c>
      <c r="D11" s="8">
        <v>10000</v>
      </c>
      <c r="E11" s="9"/>
      <c r="F11" s="9">
        <f t="shared" si="1"/>
        <v>350.00000000000006</v>
      </c>
      <c r="G11" s="9">
        <f t="shared" si="2"/>
        <v>150</v>
      </c>
      <c r="H11" s="9">
        <f t="shared" si="3"/>
        <v>10200</v>
      </c>
      <c r="I11" s="34" t="str">
        <f t="shared" si="4"/>
        <v>C</v>
      </c>
      <c r="K11" s="6">
        <f>COUNTIF(C5:C12,C5)</f>
        <v>2</v>
      </c>
      <c r="L11" s="35">
        <f t="shared" si="5"/>
        <v>0</v>
      </c>
    </row>
    <row r="12" spans="1:12">
      <c r="A12" s="12" t="s">
        <v>101</v>
      </c>
      <c r="B12" s="13" t="s">
        <v>88</v>
      </c>
      <c r="C12" s="13" t="s">
        <v>95</v>
      </c>
      <c r="D12" s="13">
        <v>5000</v>
      </c>
      <c r="E12" s="9">
        <f>D12*2.5%</f>
        <v>125</v>
      </c>
      <c r="F12" s="9">
        <f t="shared" si="1"/>
        <v>175.00000000000003</v>
      </c>
      <c r="G12" s="9">
        <f t="shared" si="2"/>
        <v>75</v>
      </c>
      <c r="H12" s="9">
        <f t="shared" si="3"/>
        <v>5225</v>
      </c>
      <c r="I12" s="36" t="str">
        <f t="shared" si="4"/>
        <v>D</v>
      </c>
      <c r="K12" s="6">
        <f>COUNTIF(C5:C12,C8)</f>
        <v>2</v>
      </c>
      <c r="L12" s="35">
        <f t="shared" si="5"/>
        <v>0</v>
      </c>
    </row>
    <row r="13" spans="1:12" ht="15" customHeight="1">
      <c r="L13" s="35">
        <f t="shared" si="5"/>
        <v>0</v>
      </c>
    </row>
    <row r="14" spans="1:12" ht="19.5" customHeight="1">
      <c r="A14" s="14" t="s">
        <v>102</v>
      </c>
      <c r="B14" s="14"/>
      <c r="C14" s="14"/>
      <c r="D14" s="14"/>
      <c r="E14" s="14"/>
      <c r="F14" s="14"/>
      <c r="H14" s="6" t="s">
        <v>26</v>
      </c>
      <c r="I14" s="14"/>
      <c r="J14" s="14">
        <f>COUNTIF(B5:B12,B5)</f>
        <v>3</v>
      </c>
      <c r="K14" s="14"/>
      <c r="L14" s="35">
        <f t="shared" si="5"/>
        <v>0</v>
      </c>
    </row>
    <row r="15" spans="1:12" ht="19.5" customHeight="1">
      <c r="A15" s="14" t="s">
        <v>103</v>
      </c>
      <c r="B15" s="14"/>
      <c r="C15" s="14"/>
      <c r="D15" s="14"/>
      <c r="E15" s="14"/>
      <c r="F15" s="14"/>
      <c r="H15" s="14" t="s">
        <v>28</v>
      </c>
      <c r="J15">
        <f>SUMIF(B5:B12,B5,D5:D12)</f>
        <v>16000</v>
      </c>
      <c r="K15" t="s">
        <v>46</v>
      </c>
    </row>
    <row r="16" spans="1:12" ht="19.5" customHeight="1">
      <c r="A16" s="14" t="s">
        <v>104</v>
      </c>
      <c r="B16" s="14"/>
      <c r="C16" s="14"/>
      <c r="D16" s="14"/>
      <c r="E16" s="14"/>
      <c r="F16" s="14"/>
      <c r="H16" s="6" t="s">
        <v>75</v>
      </c>
      <c r="I16" s="17"/>
      <c r="J16" s="37"/>
    </row>
    <row r="17" spans="1:8" ht="19.5" customHeight="1">
      <c r="A17" s="14" t="s">
        <v>105</v>
      </c>
      <c r="B17" s="14"/>
      <c r="C17" s="14"/>
      <c r="D17" s="14"/>
      <c r="E17" s="14"/>
      <c r="F17" s="14"/>
    </row>
    <row r="18" spans="1:8" ht="19.5" customHeight="1">
      <c r="A18" s="14" t="s">
        <v>106</v>
      </c>
      <c r="B18" s="14"/>
      <c r="C18" s="14"/>
      <c r="D18" s="14"/>
      <c r="E18" s="17"/>
      <c r="F18" s="17"/>
      <c r="H18" s="6" t="s">
        <v>26</v>
      </c>
    </row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A2" sqref="A2:H2"/>
    </sheetView>
  </sheetViews>
  <sheetFormatPr defaultColWidth="14.42578125" defaultRowHeight="15" customHeight="1"/>
  <cols>
    <col min="1" max="1" width="12.85546875" customWidth="1"/>
    <col min="2" max="5" width="8" customWidth="1"/>
    <col min="6" max="6" width="12.85546875" customWidth="1"/>
    <col min="7" max="7" width="7.85546875" customWidth="1"/>
    <col min="8" max="8" width="17.140625" customWidth="1"/>
    <col min="9" max="9" width="10" customWidth="1"/>
    <col min="10" max="10" width="13.28515625" customWidth="1"/>
    <col min="11" max="13" width="8" customWidth="1"/>
    <col min="14" max="14" width="13" customWidth="1"/>
    <col min="15" max="15" width="8.85546875" customWidth="1"/>
    <col min="16" max="28" width="8" customWidth="1"/>
  </cols>
  <sheetData>
    <row r="1" spans="1:15" ht="18.75" customHeight="1">
      <c r="A1" s="310" t="s">
        <v>107</v>
      </c>
      <c r="B1" s="311"/>
      <c r="C1" s="311"/>
      <c r="D1" s="311"/>
      <c r="E1" s="311"/>
      <c r="F1" s="311"/>
      <c r="G1" s="311"/>
      <c r="H1" s="311"/>
    </row>
    <row r="2" spans="1:15">
      <c r="A2" s="313" t="s">
        <v>108</v>
      </c>
      <c r="B2" s="311"/>
      <c r="C2" s="311"/>
      <c r="D2" s="311"/>
      <c r="E2" s="311"/>
      <c r="F2" s="311"/>
      <c r="G2" s="311"/>
      <c r="H2" s="311"/>
    </row>
    <row r="3" spans="1:15">
      <c r="A3" s="17"/>
      <c r="B3" s="17"/>
      <c r="C3" s="17"/>
      <c r="D3" s="17"/>
      <c r="E3" s="17"/>
      <c r="F3" s="17"/>
      <c r="G3" s="17"/>
      <c r="H3" s="17"/>
    </row>
    <row r="4" spans="1:15">
      <c r="A4" s="38" t="s">
        <v>109</v>
      </c>
      <c r="B4" s="38" t="s">
        <v>110</v>
      </c>
      <c r="C4" s="38" t="s">
        <v>111</v>
      </c>
      <c r="D4" s="38" t="s">
        <v>112</v>
      </c>
      <c r="E4" s="38" t="s">
        <v>113</v>
      </c>
      <c r="F4" s="38" t="s">
        <v>114</v>
      </c>
      <c r="G4" s="38" t="s">
        <v>115</v>
      </c>
      <c r="H4" s="38" t="s">
        <v>116</v>
      </c>
      <c r="I4" s="38" t="s">
        <v>117</v>
      </c>
      <c r="J4" s="39" t="s">
        <v>118</v>
      </c>
      <c r="K4" s="38" t="s">
        <v>109</v>
      </c>
      <c r="N4" s="6">
        <f>COUNTA(A5:A15)</f>
        <v>11</v>
      </c>
      <c r="O4" s="6" t="str">
        <f>VLOOKUP("AJEET",$A$4:$M$15,10,0)</f>
        <v>Achieved</v>
      </c>
    </row>
    <row r="5" spans="1:15">
      <c r="A5" s="8" t="s">
        <v>119</v>
      </c>
      <c r="B5" s="8">
        <v>2000</v>
      </c>
      <c r="C5" s="8">
        <v>1500</v>
      </c>
      <c r="D5" s="8">
        <v>300</v>
      </c>
      <c r="E5" s="8">
        <v>1400</v>
      </c>
      <c r="F5" s="8">
        <v>1000</v>
      </c>
      <c r="G5" s="8">
        <v>1400</v>
      </c>
      <c r="H5" s="9">
        <f t="shared" ref="H5:H15" si="0">SUM(B5:G5)</f>
        <v>7600</v>
      </c>
      <c r="I5" s="8">
        <v>10000</v>
      </c>
      <c r="J5" s="9" t="str">
        <f t="shared" ref="J5:J15" si="1">IF(H5&gt;I5,"Achieved","Not Achieved")</f>
        <v>Not Achieved</v>
      </c>
      <c r="K5" s="8" t="s">
        <v>119</v>
      </c>
      <c r="N5" s="6" t="str">
        <f t="shared" ref="N5:N15" si="2">IF(H5&gt;I5,"ACHIVED","NOT ACHIVED")</f>
        <v>NOT ACHIVED</v>
      </c>
    </row>
    <row r="6" spans="1:15">
      <c r="A6" s="8" t="s">
        <v>98</v>
      </c>
      <c r="B6" s="8">
        <v>5000</v>
      </c>
      <c r="C6" s="8">
        <v>1200</v>
      </c>
      <c r="D6" s="8">
        <v>500</v>
      </c>
      <c r="E6" s="8">
        <v>1200</v>
      </c>
      <c r="F6" s="8">
        <v>1200</v>
      </c>
      <c r="G6" s="8">
        <v>2800</v>
      </c>
      <c r="H6" s="9">
        <f t="shared" si="0"/>
        <v>11900</v>
      </c>
      <c r="I6" s="8">
        <v>12000</v>
      </c>
      <c r="J6" s="9" t="str">
        <f t="shared" si="1"/>
        <v>Not Achieved</v>
      </c>
      <c r="K6" s="8" t="s">
        <v>98</v>
      </c>
      <c r="N6" s="6" t="str">
        <f t="shared" si="2"/>
        <v>NOT ACHIVED</v>
      </c>
    </row>
    <row r="7" spans="1:15">
      <c r="A7" s="8" t="s">
        <v>96</v>
      </c>
      <c r="B7" s="8">
        <v>3000</v>
      </c>
      <c r="C7" s="8">
        <v>800</v>
      </c>
      <c r="D7" s="8">
        <v>1200</v>
      </c>
      <c r="E7" s="8">
        <v>3000</v>
      </c>
      <c r="F7" s="8">
        <v>1500</v>
      </c>
      <c r="G7" s="8">
        <v>3500</v>
      </c>
      <c r="H7" s="9">
        <f t="shared" si="0"/>
        <v>13000</v>
      </c>
      <c r="I7" s="8">
        <v>18000</v>
      </c>
      <c r="J7" s="9" t="str">
        <f t="shared" si="1"/>
        <v>Not Achieved</v>
      </c>
      <c r="K7" s="8" t="s">
        <v>96</v>
      </c>
      <c r="N7" s="6" t="str">
        <f t="shared" si="2"/>
        <v>NOT ACHIVED</v>
      </c>
    </row>
    <row r="8" spans="1:15">
      <c r="A8" s="8" t="s">
        <v>17</v>
      </c>
      <c r="B8" s="8">
        <v>1000</v>
      </c>
      <c r="C8" s="8">
        <v>900</v>
      </c>
      <c r="D8" s="8">
        <v>1800</v>
      </c>
      <c r="E8" s="8">
        <v>5000</v>
      </c>
      <c r="F8" s="8">
        <v>1400</v>
      </c>
      <c r="G8" s="8">
        <v>1200</v>
      </c>
      <c r="H8" s="9">
        <f t="shared" si="0"/>
        <v>11300</v>
      </c>
      <c r="I8" s="8">
        <v>10000</v>
      </c>
      <c r="J8" s="9" t="str">
        <f t="shared" si="1"/>
        <v>Achieved</v>
      </c>
      <c r="K8" s="8" t="s">
        <v>17</v>
      </c>
      <c r="N8" s="6" t="str">
        <f t="shared" si="2"/>
        <v>ACHIVED</v>
      </c>
    </row>
    <row r="9" spans="1:15">
      <c r="A9" s="8" t="s">
        <v>12</v>
      </c>
      <c r="B9" s="8">
        <v>500</v>
      </c>
      <c r="C9" s="8">
        <v>1000</v>
      </c>
      <c r="D9" s="8">
        <v>2300</v>
      </c>
      <c r="E9" s="8">
        <v>8000</v>
      </c>
      <c r="F9" s="8">
        <v>1700</v>
      </c>
      <c r="G9" s="8">
        <v>1400</v>
      </c>
      <c r="H9" s="9">
        <f t="shared" si="0"/>
        <v>14900</v>
      </c>
      <c r="I9" s="8">
        <v>12000</v>
      </c>
      <c r="J9" s="9" t="str">
        <f t="shared" si="1"/>
        <v>Achieved</v>
      </c>
      <c r="K9" s="8" t="s">
        <v>12</v>
      </c>
      <c r="N9" s="6" t="str">
        <f t="shared" si="2"/>
        <v>ACHIVED</v>
      </c>
    </row>
    <row r="10" spans="1:15">
      <c r="A10" s="8" t="s">
        <v>13</v>
      </c>
      <c r="B10" s="8">
        <v>800</v>
      </c>
      <c r="C10" s="8">
        <v>500</v>
      </c>
      <c r="D10" s="8">
        <v>2400</v>
      </c>
      <c r="E10" s="8">
        <v>1900</v>
      </c>
      <c r="F10" s="8">
        <v>1800</v>
      </c>
      <c r="G10" s="8">
        <v>1800</v>
      </c>
      <c r="H10" s="9">
        <f t="shared" si="0"/>
        <v>9200</v>
      </c>
      <c r="I10" s="8">
        <v>10000</v>
      </c>
      <c r="J10" s="9" t="str">
        <f t="shared" si="1"/>
        <v>Not Achieved</v>
      </c>
      <c r="K10" s="8" t="s">
        <v>13</v>
      </c>
      <c r="N10" s="6" t="str">
        <f t="shared" si="2"/>
        <v>NOT ACHIVED</v>
      </c>
    </row>
    <row r="11" spans="1:15">
      <c r="A11" s="8" t="s">
        <v>120</v>
      </c>
      <c r="B11" s="8">
        <v>1200</v>
      </c>
      <c r="C11" s="8">
        <v>1400</v>
      </c>
      <c r="D11" s="8">
        <v>1500</v>
      </c>
      <c r="E11" s="8">
        <v>700</v>
      </c>
      <c r="F11" s="8">
        <v>2500</v>
      </c>
      <c r="G11" s="8">
        <v>7000</v>
      </c>
      <c r="H11" s="9">
        <f t="shared" si="0"/>
        <v>14300</v>
      </c>
      <c r="I11" s="8">
        <v>12000</v>
      </c>
      <c r="J11" s="9" t="str">
        <f t="shared" si="1"/>
        <v>Achieved</v>
      </c>
      <c r="K11" s="8" t="s">
        <v>120</v>
      </c>
      <c r="N11" s="6" t="str">
        <f t="shared" si="2"/>
        <v>ACHIVED</v>
      </c>
    </row>
    <row r="12" spans="1:15">
      <c r="A12" s="8" t="s">
        <v>121</v>
      </c>
      <c r="B12" s="8">
        <v>1500</v>
      </c>
      <c r="C12" s="8">
        <v>1800</v>
      </c>
      <c r="D12" s="8">
        <v>1800</v>
      </c>
      <c r="E12" s="8">
        <v>1800</v>
      </c>
      <c r="F12" s="8">
        <v>300</v>
      </c>
      <c r="G12" s="8">
        <v>1500</v>
      </c>
      <c r="H12" s="9">
        <f t="shared" si="0"/>
        <v>8700</v>
      </c>
      <c r="I12" s="8">
        <v>10000</v>
      </c>
      <c r="J12" s="9" t="str">
        <f t="shared" si="1"/>
        <v>Not Achieved</v>
      </c>
      <c r="K12" s="8" t="s">
        <v>121</v>
      </c>
      <c r="N12" s="6" t="str">
        <f t="shared" si="2"/>
        <v>NOT ACHIVED</v>
      </c>
    </row>
    <row r="13" spans="1:15">
      <c r="A13" s="8" t="s">
        <v>122</v>
      </c>
      <c r="B13" s="8">
        <v>1800</v>
      </c>
      <c r="C13" s="8">
        <v>2500</v>
      </c>
      <c r="D13" s="8">
        <v>1700</v>
      </c>
      <c r="E13" s="8">
        <v>1500</v>
      </c>
      <c r="F13" s="8">
        <v>2800</v>
      </c>
      <c r="G13" s="8">
        <v>1800</v>
      </c>
      <c r="H13" s="9">
        <f t="shared" si="0"/>
        <v>12100</v>
      </c>
      <c r="I13" s="8">
        <v>12000</v>
      </c>
      <c r="J13" s="9" t="str">
        <f t="shared" si="1"/>
        <v>Achieved</v>
      </c>
      <c r="K13" s="8" t="s">
        <v>122</v>
      </c>
      <c r="N13" s="6" t="str">
        <f t="shared" si="2"/>
        <v>ACHIVED</v>
      </c>
    </row>
    <row r="14" spans="1:15">
      <c r="A14" s="8" t="s">
        <v>123</v>
      </c>
      <c r="B14" s="8">
        <v>200</v>
      </c>
      <c r="C14" s="8">
        <v>3000</v>
      </c>
      <c r="D14" s="8">
        <v>1900</v>
      </c>
      <c r="E14" s="8">
        <v>1200</v>
      </c>
      <c r="F14" s="8">
        <v>1500</v>
      </c>
      <c r="G14" s="8">
        <v>3000</v>
      </c>
      <c r="H14" s="9">
        <f t="shared" si="0"/>
        <v>10800</v>
      </c>
      <c r="I14" s="8">
        <v>10000</v>
      </c>
      <c r="J14" s="9" t="str">
        <f t="shared" si="1"/>
        <v>Achieved</v>
      </c>
      <c r="K14" s="8" t="s">
        <v>123</v>
      </c>
      <c r="N14" s="6" t="str">
        <f t="shared" si="2"/>
        <v>ACHIVED</v>
      </c>
    </row>
    <row r="15" spans="1:15">
      <c r="A15" s="8" t="s">
        <v>124</v>
      </c>
      <c r="B15" s="8">
        <v>1600</v>
      </c>
      <c r="C15" s="8">
        <v>1200</v>
      </c>
      <c r="D15" s="8">
        <v>2000</v>
      </c>
      <c r="E15" s="8">
        <v>800</v>
      </c>
      <c r="F15" s="8">
        <v>1700</v>
      </c>
      <c r="G15" s="8">
        <v>800</v>
      </c>
      <c r="H15" s="9">
        <f t="shared" si="0"/>
        <v>8100</v>
      </c>
      <c r="I15" s="8">
        <v>10000</v>
      </c>
      <c r="J15" s="9" t="str">
        <f t="shared" si="1"/>
        <v>Not Achieved</v>
      </c>
      <c r="K15" s="8" t="s">
        <v>124</v>
      </c>
      <c r="N15" s="6" t="str">
        <f t="shared" si="2"/>
        <v>NOT ACHIVED</v>
      </c>
    </row>
    <row r="17" spans="1:15" ht="19.5" customHeight="1">
      <c r="A17" s="14" t="s">
        <v>125</v>
      </c>
      <c r="B17" s="14"/>
      <c r="C17" s="14"/>
      <c r="D17" s="14"/>
      <c r="E17" s="14"/>
      <c r="H17" s="6" t="s">
        <v>126</v>
      </c>
    </row>
    <row r="18" spans="1:15" ht="19.5" customHeight="1">
      <c r="A18" s="14" t="s">
        <v>127</v>
      </c>
      <c r="B18" s="14"/>
      <c r="C18" s="14"/>
      <c r="D18" s="14"/>
      <c r="E18" s="14"/>
      <c r="H18" s="6" t="s">
        <v>128</v>
      </c>
      <c r="M18" s="6" t="str">
        <f>VLOOKUP(B5,B4:K15,10,0)</f>
        <v>RAMESH</v>
      </c>
    </row>
    <row r="19" spans="1:15" ht="19.5" customHeight="1">
      <c r="A19" s="14" t="s">
        <v>129</v>
      </c>
      <c r="B19" s="14"/>
      <c r="C19" s="14"/>
      <c r="D19" s="14"/>
      <c r="E19" s="14"/>
      <c r="H19" s="6" t="s">
        <v>75</v>
      </c>
      <c r="O19" s="6"/>
    </row>
    <row r="20" spans="1:15" ht="19.5" customHeight="1">
      <c r="A20" s="14" t="s">
        <v>130</v>
      </c>
      <c r="B20" s="14"/>
      <c r="C20" s="14"/>
      <c r="D20" s="14"/>
      <c r="E20" s="14"/>
      <c r="G20" s="6">
        <f>COUNTIF(J5:J15,J8)</f>
        <v>5</v>
      </c>
      <c r="H20" s="6" t="s">
        <v>26</v>
      </c>
      <c r="N20" s="6">
        <f>COUNTIF(J5:J15,J8)</f>
        <v>5</v>
      </c>
    </row>
    <row r="21" spans="1:15" ht="19.5" customHeight="1">
      <c r="A21" s="14" t="s">
        <v>131</v>
      </c>
      <c r="B21" s="14"/>
      <c r="C21" s="14"/>
      <c r="D21" s="14"/>
      <c r="E21" s="14"/>
      <c r="H21" s="6" t="s">
        <v>132</v>
      </c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>
      <c r="I26" s="28"/>
      <c r="J26" s="40"/>
    </row>
    <row r="27" spans="1:15" ht="15.75" customHeight="1">
      <c r="H27" s="7"/>
    </row>
    <row r="28" spans="1:15" ht="15.75" customHeight="1"/>
    <row r="29" spans="1:15" ht="15.75" customHeight="1">
      <c r="H29" s="7"/>
    </row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dataValidations count="1">
    <dataValidation type="list" allowBlank="1" sqref="O19">
      <formula1>$A$5:$A$15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L13" sqref="L13"/>
    </sheetView>
  </sheetViews>
  <sheetFormatPr defaultColWidth="14.42578125" defaultRowHeight="15" customHeight="1"/>
  <cols>
    <col min="1" max="1" width="12.85546875" customWidth="1"/>
    <col min="2" max="2" width="14" customWidth="1"/>
    <col min="3" max="3" width="8" customWidth="1"/>
    <col min="4" max="4" width="10" customWidth="1"/>
    <col min="5" max="7" width="8" customWidth="1"/>
    <col min="8" max="8" width="16.140625" customWidth="1"/>
    <col min="9" max="9" width="9.85546875" customWidth="1"/>
    <col min="10" max="26" width="8" customWidth="1"/>
  </cols>
  <sheetData>
    <row r="1" spans="1:9" ht="18.75" customHeight="1">
      <c r="A1" s="310" t="s">
        <v>133</v>
      </c>
      <c r="B1" s="311"/>
      <c r="C1" s="311"/>
      <c r="D1" s="311"/>
      <c r="E1" s="311"/>
      <c r="F1" s="311"/>
      <c r="G1" s="311"/>
    </row>
    <row r="2" spans="1:9">
      <c r="A2" s="14" t="s">
        <v>134</v>
      </c>
      <c r="B2" s="14"/>
      <c r="C2" s="14"/>
    </row>
    <row r="4" spans="1:9">
      <c r="A4" s="41" t="s">
        <v>81</v>
      </c>
      <c r="B4" s="42" t="s">
        <v>135</v>
      </c>
      <c r="C4" s="42" t="s">
        <v>136</v>
      </c>
      <c r="D4" s="42" t="s">
        <v>137</v>
      </c>
      <c r="E4" s="43" t="s">
        <v>138</v>
      </c>
      <c r="H4" s="44"/>
      <c r="I4" s="45"/>
    </row>
    <row r="5" spans="1:9">
      <c r="A5" s="7" t="s">
        <v>119</v>
      </c>
      <c r="B5" s="46">
        <v>29356</v>
      </c>
      <c r="C5" s="9">
        <f ca="1">DATEDIF(B5,TODAY(),"mD")</f>
        <v>28</v>
      </c>
      <c r="D5" s="9">
        <f ca="1">DATEDIF(B5,TODAY(),"yM")</f>
        <v>11</v>
      </c>
      <c r="E5" s="10">
        <f t="shared" ref="E5:E15" ca="1" si="0">DATEDIF(B5,TODAY(),"Y")</f>
        <v>44</v>
      </c>
      <c r="F5" s="5" t="str">
        <f t="shared" ref="F5:F15" ca="1" si="1">IF(E5&gt;20,"ADULT","CHILD")</f>
        <v>ADULT</v>
      </c>
    </row>
    <row r="6" spans="1:9">
      <c r="A6" s="7" t="s">
        <v>98</v>
      </c>
      <c r="B6" s="46">
        <v>29818</v>
      </c>
      <c r="C6" s="9" t="s">
        <v>139</v>
      </c>
      <c r="D6" s="9" t="s">
        <v>139</v>
      </c>
      <c r="E6" s="10">
        <f t="shared" ca="1" si="0"/>
        <v>43</v>
      </c>
      <c r="F6" s="5" t="str">
        <f t="shared" ca="1" si="1"/>
        <v>ADULT</v>
      </c>
    </row>
    <row r="7" spans="1:9">
      <c r="A7" s="7" t="s">
        <v>96</v>
      </c>
      <c r="B7" s="46">
        <v>37909</v>
      </c>
      <c r="C7" s="9" t="s">
        <v>139</v>
      </c>
      <c r="D7" s="9" t="s">
        <v>139</v>
      </c>
      <c r="E7" s="10">
        <f t="shared" ca="1" si="0"/>
        <v>21</v>
      </c>
      <c r="F7" s="5" t="str">
        <f t="shared" ca="1" si="1"/>
        <v>ADULT</v>
      </c>
    </row>
    <row r="8" spans="1:9">
      <c r="A8" s="7" t="s">
        <v>17</v>
      </c>
      <c r="B8" s="46">
        <v>33018</v>
      </c>
      <c r="C8" s="9" t="s">
        <v>139</v>
      </c>
      <c r="D8" s="9" t="s">
        <v>139</v>
      </c>
      <c r="E8" s="10">
        <f t="shared" ca="1" si="0"/>
        <v>34</v>
      </c>
      <c r="F8" s="5" t="str">
        <f t="shared" ca="1" si="1"/>
        <v>ADULT</v>
      </c>
    </row>
    <row r="9" spans="1:9">
      <c r="A9" s="7" t="s">
        <v>12</v>
      </c>
      <c r="B9" s="46">
        <v>33840</v>
      </c>
      <c r="C9" s="9" t="s">
        <v>139</v>
      </c>
      <c r="D9" s="9" t="s">
        <v>139</v>
      </c>
      <c r="E9" s="10">
        <f t="shared" ca="1" si="0"/>
        <v>32</v>
      </c>
      <c r="F9" s="5" t="str">
        <f t="shared" ca="1" si="1"/>
        <v>ADULT</v>
      </c>
    </row>
    <row r="10" spans="1:9">
      <c r="A10" s="7" t="s">
        <v>13</v>
      </c>
      <c r="B10" s="46">
        <v>36030</v>
      </c>
      <c r="C10" s="9" t="s">
        <v>139</v>
      </c>
      <c r="D10" s="9" t="s">
        <v>139</v>
      </c>
      <c r="E10" s="10">
        <f t="shared" ca="1" si="0"/>
        <v>26</v>
      </c>
      <c r="F10" s="5" t="str">
        <f t="shared" ca="1" si="1"/>
        <v>ADULT</v>
      </c>
    </row>
    <row r="11" spans="1:9">
      <c r="A11" s="7" t="s">
        <v>120</v>
      </c>
      <c r="B11" s="46">
        <v>29353</v>
      </c>
      <c r="C11" s="9" t="s">
        <v>139</v>
      </c>
      <c r="D11" s="9" t="s">
        <v>139</v>
      </c>
      <c r="E11" s="10">
        <f t="shared" ca="1" si="0"/>
        <v>45</v>
      </c>
      <c r="F11" s="5" t="str">
        <f t="shared" ca="1" si="1"/>
        <v>ADULT</v>
      </c>
    </row>
    <row r="12" spans="1:9">
      <c r="A12" s="7" t="s">
        <v>121</v>
      </c>
      <c r="B12" s="46">
        <v>38429</v>
      </c>
      <c r="C12" s="9" t="s">
        <v>139</v>
      </c>
      <c r="D12" s="9" t="s">
        <v>139</v>
      </c>
      <c r="E12" s="10">
        <f t="shared" ca="1" si="0"/>
        <v>20</v>
      </c>
      <c r="F12" s="5" t="str">
        <f t="shared" ca="1" si="1"/>
        <v>CHILD</v>
      </c>
    </row>
    <row r="13" spans="1:9">
      <c r="A13" s="7" t="s">
        <v>122</v>
      </c>
      <c r="B13" s="46">
        <v>39309</v>
      </c>
      <c r="C13" s="9" t="s">
        <v>139</v>
      </c>
      <c r="D13" s="9" t="s">
        <v>139</v>
      </c>
      <c r="E13" s="10">
        <f t="shared" ca="1" si="0"/>
        <v>17</v>
      </c>
      <c r="F13" s="5" t="str">
        <f t="shared" ca="1" si="1"/>
        <v>CHILD</v>
      </c>
    </row>
    <row r="14" spans="1:9">
      <c r="A14" s="7" t="s">
        <v>123</v>
      </c>
      <c r="B14" s="46">
        <v>40323</v>
      </c>
      <c r="C14" s="9" t="s">
        <v>139</v>
      </c>
      <c r="D14" s="9" t="s">
        <v>139</v>
      </c>
      <c r="E14" s="10">
        <f t="shared" ca="1" si="0"/>
        <v>14</v>
      </c>
      <c r="F14" s="5" t="str">
        <f t="shared" ca="1" si="1"/>
        <v>CHILD</v>
      </c>
    </row>
    <row r="15" spans="1:9">
      <c r="A15" s="12" t="s">
        <v>124</v>
      </c>
      <c r="B15" s="47">
        <v>34206</v>
      </c>
      <c r="C15" s="48" t="s">
        <v>139</v>
      </c>
      <c r="D15" s="48" t="s">
        <v>139</v>
      </c>
      <c r="E15" s="10">
        <f t="shared" ca="1" si="0"/>
        <v>31</v>
      </c>
      <c r="F15" s="5" t="str">
        <f t="shared" ca="1" si="1"/>
        <v>ADULT</v>
      </c>
    </row>
    <row r="17" spans="1:9" ht="19.5" customHeight="1">
      <c r="A17" s="14" t="s">
        <v>140</v>
      </c>
      <c r="B17" s="14"/>
      <c r="C17" s="14"/>
      <c r="F17" s="49" t="s">
        <v>30</v>
      </c>
      <c r="H17" s="6">
        <f>COUNTA(A5:A15)</f>
        <v>11</v>
      </c>
      <c r="I17" s="6">
        <f>COUNTA(A5:A15)</f>
        <v>11</v>
      </c>
    </row>
    <row r="18" spans="1:9" ht="19.5" customHeight="1">
      <c r="A18" s="14" t="s">
        <v>141</v>
      </c>
      <c r="B18" s="14"/>
      <c r="C18" s="14"/>
      <c r="F18" s="49" t="s">
        <v>28</v>
      </c>
      <c r="H18" s="6">
        <f ca="1">SUMIF(A5:A15,"surendra",E5:E15)</f>
        <v>14</v>
      </c>
    </row>
    <row r="19" spans="1:9" ht="19.5" customHeight="1">
      <c r="A19" s="14" t="s">
        <v>142</v>
      </c>
      <c r="B19" s="14"/>
      <c r="C19" s="14"/>
      <c r="G19" s="49" t="s">
        <v>26</v>
      </c>
      <c r="H19" s="6">
        <f ca="1">COUNTIF(E5:E15,"&gt;20")</f>
        <v>8</v>
      </c>
    </row>
    <row r="20" spans="1:9" ht="19.5" customHeight="1">
      <c r="A20" s="14" t="s">
        <v>143</v>
      </c>
      <c r="B20" s="14"/>
      <c r="C20" s="14"/>
      <c r="H20" s="49" t="s">
        <v>128</v>
      </c>
    </row>
    <row r="21" spans="1:9" ht="19.5" customHeight="1">
      <c r="A21" s="14" t="s">
        <v>144</v>
      </c>
      <c r="B21" s="14"/>
      <c r="C21" s="14"/>
      <c r="G21" s="49" t="s">
        <v>26</v>
      </c>
      <c r="I21" s="6">
        <f ca="1">COUNTIF(E5:E15,"&gt;=20")</f>
        <v>9</v>
      </c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4.42578125" defaultRowHeight="15" customHeight="1"/>
  <cols>
    <col min="1" max="1" width="21.85546875" customWidth="1"/>
    <col min="2" max="2" width="22.28515625" customWidth="1"/>
    <col min="3" max="3" width="24.7109375" customWidth="1"/>
    <col min="4" max="4" width="18.28515625" customWidth="1"/>
    <col min="5" max="26" width="8" customWidth="1"/>
  </cols>
  <sheetData>
    <row r="1" spans="1:11" ht="18.75" customHeight="1">
      <c r="A1" s="50"/>
      <c r="B1" s="1"/>
      <c r="C1" s="1"/>
      <c r="D1" s="16"/>
      <c r="E1" s="16"/>
      <c r="F1" s="16"/>
      <c r="G1" s="16"/>
      <c r="H1" s="16"/>
    </row>
    <row r="2" spans="1:11">
      <c r="A2" s="313" t="s">
        <v>145</v>
      </c>
      <c r="B2" s="311"/>
      <c r="C2" s="311"/>
      <c r="D2" s="14"/>
      <c r="E2" s="14"/>
      <c r="F2" s="14"/>
      <c r="G2" s="14"/>
      <c r="H2" s="14"/>
    </row>
    <row r="4" spans="1:11">
      <c r="A4" s="51" t="s">
        <v>146</v>
      </c>
      <c r="B4" s="52" t="s">
        <v>147</v>
      </c>
      <c r="C4" s="53" t="s">
        <v>148</v>
      </c>
      <c r="D4" s="5" t="s">
        <v>149</v>
      </c>
    </row>
    <row r="5" spans="1:11">
      <c r="A5" s="54" t="s">
        <v>150</v>
      </c>
      <c r="B5" s="55">
        <v>42370</v>
      </c>
      <c r="C5" s="56">
        <v>800</v>
      </c>
      <c r="D5" s="6">
        <f t="shared" ref="D5:D23" si="0">COUNTIF($A$5:$A$23,A5)</f>
        <v>4</v>
      </c>
    </row>
    <row r="6" spans="1:11">
      <c r="A6" s="54" t="s">
        <v>151</v>
      </c>
      <c r="B6" s="55">
        <v>42502</v>
      </c>
      <c r="C6" s="56">
        <v>2000</v>
      </c>
      <c r="D6" s="6">
        <f t="shared" si="0"/>
        <v>5</v>
      </c>
    </row>
    <row r="7" spans="1:11">
      <c r="A7" s="54" t="s">
        <v>150</v>
      </c>
      <c r="B7" s="55">
        <v>42508</v>
      </c>
      <c r="C7" s="56">
        <v>500</v>
      </c>
      <c r="D7" s="6">
        <f t="shared" si="0"/>
        <v>4</v>
      </c>
    </row>
    <row r="8" spans="1:11">
      <c r="A8" s="54" t="s">
        <v>152</v>
      </c>
      <c r="B8" s="55">
        <v>42510</v>
      </c>
      <c r="C8" s="56">
        <v>800</v>
      </c>
      <c r="D8" s="6">
        <f t="shared" si="0"/>
        <v>2</v>
      </c>
    </row>
    <row r="9" spans="1:11">
      <c r="A9" s="54" t="s">
        <v>152</v>
      </c>
      <c r="B9" s="55">
        <v>42410</v>
      </c>
      <c r="C9" s="56">
        <v>1000</v>
      </c>
      <c r="D9" s="6">
        <f t="shared" si="0"/>
        <v>2</v>
      </c>
    </row>
    <row r="10" spans="1:11">
      <c r="A10" s="54" t="s">
        <v>153</v>
      </c>
      <c r="B10" s="55">
        <v>42498</v>
      </c>
      <c r="C10" s="56">
        <v>1000</v>
      </c>
      <c r="D10" s="6">
        <f t="shared" si="0"/>
        <v>5</v>
      </c>
    </row>
    <row r="11" spans="1:11">
      <c r="A11" s="54" t="s">
        <v>151</v>
      </c>
      <c r="B11" s="55">
        <v>42500</v>
      </c>
      <c r="C11" s="56">
        <v>1200</v>
      </c>
      <c r="D11" s="6">
        <f t="shared" si="0"/>
        <v>5</v>
      </c>
      <c r="K11" s="54">
        <f>SUMIF($A$5:$A$23,A5,$C$5:$C$23)</f>
        <v>3500</v>
      </c>
    </row>
    <row r="12" spans="1:11">
      <c r="A12" s="54" t="s">
        <v>151</v>
      </c>
      <c r="B12" s="55">
        <v>42515</v>
      </c>
      <c r="C12" s="56">
        <v>1500</v>
      </c>
      <c r="D12" s="6">
        <f t="shared" si="0"/>
        <v>5</v>
      </c>
      <c r="K12" s="6">
        <f>SUMIF($A$5:$A$23,A10,$C$5:$C$23)</f>
        <v>7300</v>
      </c>
    </row>
    <row r="13" spans="1:11">
      <c r="A13" s="54" t="s">
        <v>154</v>
      </c>
      <c r="B13" s="55">
        <v>42561</v>
      </c>
      <c r="C13" s="56">
        <v>1800</v>
      </c>
      <c r="D13" s="6">
        <f t="shared" si="0"/>
        <v>3</v>
      </c>
      <c r="K13" s="6">
        <f>SUM(K11:K12)</f>
        <v>10800</v>
      </c>
    </row>
    <row r="14" spans="1:11">
      <c r="A14" s="54" t="s">
        <v>151</v>
      </c>
      <c r="B14" s="55">
        <v>42379</v>
      </c>
      <c r="C14" s="56">
        <v>2000</v>
      </c>
      <c r="D14" s="6">
        <f t="shared" si="0"/>
        <v>5</v>
      </c>
    </row>
    <row r="15" spans="1:11">
      <c r="A15" s="54" t="s">
        <v>154</v>
      </c>
      <c r="B15" s="55">
        <v>42536</v>
      </c>
      <c r="C15" s="56">
        <v>1500</v>
      </c>
      <c r="D15" s="6">
        <f t="shared" si="0"/>
        <v>3</v>
      </c>
    </row>
    <row r="16" spans="1:11">
      <c r="A16" s="54" t="s">
        <v>154</v>
      </c>
      <c r="B16" s="55">
        <v>42381</v>
      </c>
      <c r="C16" s="56">
        <v>1000</v>
      </c>
      <c r="D16" s="6">
        <f t="shared" si="0"/>
        <v>3</v>
      </c>
    </row>
    <row r="17" spans="1:14">
      <c r="A17" s="54" t="s">
        <v>153</v>
      </c>
      <c r="B17" s="55">
        <v>42370</v>
      </c>
      <c r="C17" s="56">
        <v>1200</v>
      </c>
      <c r="D17" s="6">
        <f t="shared" si="0"/>
        <v>5</v>
      </c>
    </row>
    <row r="18" spans="1:14">
      <c r="A18" s="54" t="s">
        <v>153</v>
      </c>
      <c r="B18" s="55">
        <v>42500</v>
      </c>
      <c r="C18" s="56">
        <v>1500</v>
      </c>
      <c r="D18" s="6">
        <f t="shared" si="0"/>
        <v>5</v>
      </c>
    </row>
    <row r="19" spans="1:14">
      <c r="A19" s="54" t="s">
        <v>153</v>
      </c>
      <c r="B19" s="55">
        <v>42500</v>
      </c>
      <c r="C19" s="56">
        <v>1800</v>
      </c>
      <c r="D19" s="6">
        <f t="shared" si="0"/>
        <v>5</v>
      </c>
      <c r="N19" s="5" t="s">
        <v>155</v>
      </c>
    </row>
    <row r="20" spans="1:14">
      <c r="A20" s="54" t="s">
        <v>150</v>
      </c>
      <c r="B20" s="55">
        <v>42500</v>
      </c>
      <c r="C20" s="56">
        <v>1000</v>
      </c>
      <c r="D20" s="6">
        <f t="shared" si="0"/>
        <v>4</v>
      </c>
    </row>
    <row r="21" spans="1:14" ht="15.75" customHeight="1">
      <c r="A21" s="54" t="s">
        <v>150</v>
      </c>
      <c r="B21" s="55">
        <v>42596</v>
      </c>
      <c r="C21" s="56">
        <v>1200</v>
      </c>
      <c r="D21" s="6">
        <f t="shared" si="0"/>
        <v>4</v>
      </c>
    </row>
    <row r="22" spans="1:14" ht="15.75" customHeight="1">
      <c r="A22" s="54" t="s">
        <v>151</v>
      </c>
      <c r="B22" s="55">
        <v>42597</v>
      </c>
      <c r="C22" s="56">
        <v>1500</v>
      </c>
      <c r="D22" s="6">
        <f t="shared" si="0"/>
        <v>5</v>
      </c>
    </row>
    <row r="23" spans="1:14" ht="15.75" customHeight="1">
      <c r="A23" s="57" t="s">
        <v>153</v>
      </c>
      <c r="B23" s="58">
        <v>42602</v>
      </c>
      <c r="C23" s="59">
        <v>1800</v>
      </c>
      <c r="D23" s="6">
        <f t="shared" si="0"/>
        <v>5</v>
      </c>
    </row>
    <row r="24" spans="1:14" ht="15.75" customHeight="1"/>
    <row r="25" spans="1:14" ht="15.75" customHeight="1">
      <c r="A25" s="14" t="s">
        <v>156</v>
      </c>
      <c r="B25" s="14"/>
      <c r="D25" s="6" t="s">
        <v>30</v>
      </c>
      <c r="E25" s="6">
        <f>COUNTA(A5:A24)</f>
        <v>19</v>
      </c>
    </row>
    <row r="26" spans="1:14" ht="15.75" customHeight="1">
      <c r="A26" s="14" t="s">
        <v>157</v>
      </c>
      <c r="B26" s="14"/>
      <c r="D26" s="6" t="s">
        <v>26</v>
      </c>
      <c r="E26" s="6">
        <f>COUNTIFS(A5:A23,A19,A5:A23,A5,A5:A23,A6)</f>
        <v>0</v>
      </c>
      <c r="I26" s="6"/>
    </row>
    <row r="27" spans="1:14" ht="15.75" customHeight="1">
      <c r="A27" s="14" t="s">
        <v>158</v>
      </c>
      <c r="B27" s="14"/>
      <c r="C27" s="5">
        <v>2000</v>
      </c>
      <c r="D27" s="6" t="s">
        <v>26</v>
      </c>
      <c r="E27" s="6">
        <f>COUNTIFS(C5:C23,C5&gt;100,C5:C23,C5&lt;1000)</f>
        <v>0</v>
      </c>
    </row>
    <row r="28" spans="1:14" ht="15.75" customHeight="1">
      <c r="A28" s="14" t="s">
        <v>159</v>
      </c>
      <c r="B28" s="14"/>
      <c r="D28" s="6" t="s">
        <v>160</v>
      </c>
    </row>
    <row r="29" spans="1:14" ht="15.75" customHeight="1">
      <c r="A29" s="14" t="s">
        <v>161</v>
      </c>
      <c r="B29" s="14"/>
      <c r="D29" s="6" t="s">
        <v>162</v>
      </c>
    </row>
    <row r="30" spans="1:14" ht="15.75" customHeight="1">
      <c r="A30" s="14" t="s">
        <v>163</v>
      </c>
      <c r="B30" s="14"/>
      <c r="D30" s="6" t="s">
        <v>28</v>
      </c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C23"/>
  <mergeCells count="1">
    <mergeCell ref="A2:C2"/>
  </mergeCells>
  <conditionalFormatting sqref="A5:A13">
    <cfRule type="containsText" dxfId="4" priority="1" operator="containsText" text="BRAKES">
      <formula>NOT(ISERROR(SEARCH(("BRAKES"),(A5))))</formula>
    </cfRule>
  </conditionalFormatting>
  <conditionalFormatting sqref="C5">
    <cfRule type="cellIs" dxfId="3" priority="2" operator="equal">
      <formula>1500</formula>
    </cfRule>
  </conditionalFormatting>
  <conditionalFormatting sqref="C5:C23">
    <cfRule type="cellIs" dxfId="2" priority="3" operator="equal">
      <formula>1500</formula>
    </cfRule>
  </conditionalFormatting>
  <dataValidations count="1">
    <dataValidation type="list" allowBlank="1" sqref="I26">
      <formula1>$A$5:$A$23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J4" sqref="J4"/>
    </sheetView>
  </sheetViews>
  <sheetFormatPr defaultColWidth="14.42578125" defaultRowHeight="15" customHeight="1"/>
  <cols>
    <col min="1" max="1" width="22.28515625" customWidth="1"/>
    <col min="2" max="2" width="8" customWidth="1"/>
    <col min="3" max="3" width="9.28515625" customWidth="1"/>
    <col min="4" max="4" width="9.85546875" customWidth="1"/>
    <col min="5" max="5" width="7.140625" customWidth="1"/>
    <col min="6" max="6" width="15.85546875" customWidth="1"/>
    <col min="7" max="7" width="11.28515625" customWidth="1"/>
    <col min="8" max="26" width="8" customWidth="1"/>
  </cols>
  <sheetData>
    <row r="1" spans="1:10" ht="18.75" customHeight="1">
      <c r="A1" s="310" t="s">
        <v>164</v>
      </c>
      <c r="B1" s="311"/>
      <c r="C1" s="311"/>
      <c r="D1" s="311"/>
      <c r="E1" s="311"/>
      <c r="F1" s="311"/>
      <c r="G1" s="311"/>
    </row>
    <row r="2" spans="1:10">
      <c r="A2" s="314" t="s">
        <v>165</v>
      </c>
      <c r="B2" s="315"/>
      <c r="C2" s="315"/>
      <c r="D2" s="315"/>
      <c r="E2" s="315"/>
      <c r="F2" s="315"/>
      <c r="G2" s="315"/>
    </row>
    <row r="3" spans="1:10">
      <c r="A3" s="60"/>
      <c r="B3" s="60"/>
      <c r="C3" s="60"/>
      <c r="D3" s="60"/>
      <c r="E3" s="60"/>
      <c r="F3" s="60"/>
      <c r="G3" s="60"/>
    </row>
    <row r="4" spans="1:10">
      <c r="A4" s="38" t="s">
        <v>166</v>
      </c>
      <c r="B4" s="316" t="s">
        <v>167</v>
      </c>
      <c r="C4" s="317"/>
      <c r="D4" s="318"/>
      <c r="E4" s="316" t="s">
        <v>168</v>
      </c>
      <c r="F4" s="317"/>
      <c r="G4" s="318"/>
    </row>
    <row r="5" spans="1:10">
      <c r="A5" s="61" t="s">
        <v>169</v>
      </c>
      <c r="B5" s="62" t="s">
        <v>170</v>
      </c>
      <c r="C5" s="62" t="s">
        <v>5</v>
      </c>
      <c r="D5" s="62" t="s">
        <v>7</v>
      </c>
      <c r="E5" s="62" t="s">
        <v>61</v>
      </c>
      <c r="F5" s="62" t="s">
        <v>171</v>
      </c>
      <c r="G5" s="63" t="s">
        <v>40</v>
      </c>
      <c r="I5" s="11">
        <f t="shared" ref="I5:I15" si="0">E6*100/300</f>
        <v>80</v>
      </c>
    </row>
    <row r="6" spans="1:10">
      <c r="A6" s="64" t="s">
        <v>172</v>
      </c>
      <c r="B6" s="65">
        <v>80</v>
      </c>
      <c r="C6" s="65">
        <v>75</v>
      </c>
      <c r="D6" s="65">
        <v>85</v>
      </c>
      <c r="E6" s="66">
        <f t="shared" ref="E6:E15" si="1">SUM(B6:D6)</f>
        <v>240</v>
      </c>
      <c r="F6" s="9">
        <f>E6*100/300</f>
        <v>80</v>
      </c>
      <c r="G6" s="10" t="str">
        <f>IF(F6&gt;=70,"EXCELLENT",IF(F6&gt;=50,"GOOD","BED"))</f>
        <v>EXCELLENT</v>
      </c>
      <c r="I6" s="11">
        <f t="shared" si="0"/>
        <v>40</v>
      </c>
      <c r="J6" s="6" t="str">
        <f t="shared" ref="J6:J15" si="2">IF(I5&gt;70,"excelent",IF(I5&gt;50,"good","bad"))</f>
        <v>excelent</v>
      </c>
    </row>
    <row r="7" spans="1:10">
      <c r="A7" s="64" t="s">
        <v>173</v>
      </c>
      <c r="B7" s="65">
        <v>50</v>
      </c>
      <c r="C7" s="65">
        <v>30</v>
      </c>
      <c r="D7" s="65">
        <v>40</v>
      </c>
      <c r="E7" s="66">
        <f t="shared" si="1"/>
        <v>120</v>
      </c>
      <c r="F7" s="9" t="s">
        <v>139</v>
      </c>
      <c r="G7" s="10" t="s">
        <v>139</v>
      </c>
      <c r="I7" s="11">
        <f t="shared" si="0"/>
        <v>43.333333333333336</v>
      </c>
      <c r="J7" s="6" t="str">
        <f t="shared" si="2"/>
        <v>bad</v>
      </c>
    </row>
    <row r="8" spans="1:10">
      <c r="A8" s="64" t="s">
        <v>174</v>
      </c>
      <c r="B8" s="65">
        <v>60</v>
      </c>
      <c r="C8" s="65">
        <v>70</v>
      </c>
      <c r="D8" s="65" t="s">
        <v>175</v>
      </c>
      <c r="E8" s="66">
        <f t="shared" si="1"/>
        <v>130</v>
      </c>
      <c r="F8" s="9" t="s">
        <v>139</v>
      </c>
      <c r="G8" s="10" t="s">
        <v>139</v>
      </c>
      <c r="I8" s="11">
        <f t="shared" si="0"/>
        <v>90</v>
      </c>
      <c r="J8" s="6" t="str">
        <f t="shared" si="2"/>
        <v>bad</v>
      </c>
    </row>
    <row r="9" spans="1:10">
      <c r="A9" s="64" t="s">
        <v>176</v>
      </c>
      <c r="B9" s="65">
        <v>90</v>
      </c>
      <c r="C9" s="65">
        <v>85</v>
      </c>
      <c r="D9" s="65">
        <v>95</v>
      </c>
      <c r="E9" s="66">
        <f t="shared" si="1"/>
        <v>270</v>
      </c>
      <c r="F9" s="9" t="s">
        <v>139</v>
      </c>
      <c r="G9" s="10" t="s">
        <v>139</v>
      </c>
      <c r="I9" s="11">
        <f t="shared" si="0"/>
        <v>16.666666666666668</v>
      </c>
      <c r="J9" s="6" t="str">
        <f t="shared" si="2"/>
        <v>excelent</v>
      </c>
    </row>
    <row r="10" spans="1:10">
      <c r="A10" s="64" t="s">
        <v>177</v>
      </c>
      <c r="B10" s="65">
        <v>20</v>
      </c>
      <c r="C10" s="65">
        <v>30</v>
      </c>
      <c r="D10" s="65" t="s">
        <v>178</v>
      </c>
      <c r="E10" s="66">
        <f t="shared" si="1"/>
        <v>50</v>
      </c>
      <c r="F10" s="9" t="s">
        <v>139</v>
      </c>
      <c r="G10" s="10" t="s">
        <v>139</v>
      </c>
      <c r="I10" s="11">
        <f t="shared" si="0"/>
        <v>60</v>
      </c>
      <c r="J10" s="6" t="str">
        <f t="shared" si="2"/>
        <v>bad</v>
      </c>
    </row>
    <row r="11" spans="1:10">
      <c r="A11" s="64" t="s">
        <v>179</v>
      </c>
      <c r="B11" s="65">
        <v>40</v>
      </c>
      <c r="C11" s="65">
        <v>60</v>
      </c>
      <c r="D11" s="65">
        <v>80</v>
      </c>
      <c r="E11" s="66">
        <f t="shared" si="1"/>
        <v>180</v>
      </c>
      <c r="F11" s="9" t="s">
        <v>139</v>
      </c>
      <c r="G11" s="10" t="s">
        <v>139</v>
      </c>
      <c r="I11" s="11">
        <f t="shared" si="0"/>
        <v>60</v>
      </c>
      <c r="J11" s="6" t="str">
        <f t="shared" si="2"/>
        <v>good</v>
      </c>
    </row>
    <row r="12" spans="1:10">
      <c r="A12" s="64" t="s">
        <v>180</v>
      </c>
      <c r="B12" s="65">
        <v>10</v>
      </c>
      <c r="C12" s="65">
        <v>90</v>
      </c>
      <c r="D12" s="65">
        <v>80</v>
      </c>
      <c r="E12" s="66">
        <f t="shared" si="1"/>
        <v>180</v>
      </c>
      <c r="F12" s="9" t="s">
        <v>139</v>
      </c>
      <c r="G12" s="10" t="s">
        <v>139</v>
      </c>
      <c r="I12" s="11">
        <f t="shared" si="0"/>
        <v>70</v>
      </c>
      <c r="J12" s="6" t="str">
        <f t="shared" si="2"/>
        <v>good</v>
      </c>
    </row>
    <row r="13" spans="1:10">
      <c r="A13" s="64" t="s">
        <v>181</v>
      </c>
      <c r="B13" s="65">
        <v>80</v>
      </c>
      <c r="C13" s="65">
        <v>70</v>
      </c>
      <c r="D13" s="65">
        <v>60</v>
      </c>
      <c r="E13" s="66">
        <f t="shared" si="1"/>
        <v>210</v>
      </c>
      <c r="F13" s="9" t="s">
        <v>139</v>
      </c>
      <c r="G13" s="10" t="s">
        <v>139</v>
      </c>
      <c r="I13" s="11">
        <f t="shared" si="0"/>
        <v>20</v>
      </c>
      <c r="J13" s="6" t="str">
        <f t="shared" si="2"/>
        <v>good</v>
      </c>
    </row>
    <row r="14" spans="1:10">
      <c r="A14" s="64" t="s">
        <v>182</v>
      </c>
      <c r="B14" s="65">
        <v>30</v>
      </c>
      <c r="C14" s="65">
        <v>10</v>
      </c>
      <c r="D14" s="65">
        <v>20</v>
      </c>
      <c r="E14" s="66">
        <f t="shared" si="1"/>
        <v>60</v>
      </c>
      <c r="F14" s="9" t="s">
        <v>139</v>
      </c>
      <c r="G14" s="10" t="s">
        <v>139</v>
      </c>
      <c r="I14" s="11">
        <f t="shared" si="0"/>
        <v>20</v>
      </c>
      <c r="J14" s="6" t="str">
        <f t="shared" si="2"/>
        <v>bad</v>
      </c>
    </row>
    <row r="15" spans="1:10">
      <c r="A15" s="67" t="s">
        <v>183</v>
      </c>
      <c r="B15" s="68">
        <v>10</v>
      </c>
      <c r="C15" s="68">
        <v>20</v>
      </c>
      <c r="D15" s="68">
        <v>30</v>
      </c>
      <c r="E15" s="69">
        <f t="shared" si="1"/>
        <v>60</v>
      </c>
      <c r="F15" s="48" t="s">
        <v>139</v>
      </c>
      <c r="G15" s="70" t="s">
        <v>139</v>
      </c>
      <c r="I15" s="11">
        <f t="shared" si="0"/>
        <v>0</v>
      </c>
      <c r="J15" s="6" t="str">
        <f t="shared" si="2"/>
        <v>bad</v>
      </c>
    </row>
    <row r="17" spans="1:8" ht="19.5" customHeight="1">
      <c r="A17" s="71" t="s">
        <v>184</v>
      </c>
      <c r="B17" s="14"/>
      <c r="C17" s="14"/>
      <c r="D17" s="14"/>
      <c r="F17" s="72" t="s">
        <v>185</v>
      </c>
      <c r="G17" s="6">
        <f>COUNTA(A6:A15)</f>
        <v>10</v>
      </c>
    </row>
    <row r="18" spans="1:8" ht="19.5" customHeight="1">
      <c r="A18" s="319" t="s">
        <v>186</v>
      </c>
      <c r="B18" s="311"/>
      <c r="C18" s="311"/>
      <c r="D18" s="311"/>
      <c r="F18" s="72" t="s">
        <v>187</v>
      </c>
      <c r="G18" s="6">
        <f>COUNTIF(I5:I14,"&gt;50")</f>
        <v>5</v>
      </c>
    </row>
    <row r="19" spans="1:8" ht="19.5" customHeight="1">
      <c r="A19" s="73" t="s">
        <v>188</v>
      </c>
      <c r="B19" s="14"/>
      <c r="C19" s="14"/>
      <c r="D19" s="14"/>
      <c r="F19" s="72" t="s">
        <v>189</v>
      </c>
      <c r="G19" s="6">
        <f>SUMIF(A6:A15,A7,E6:E15)</f>
        <v>120</v>
      </c>
    </row>
    <row r="20" spans="1:8" ht="19.5" customHeight="1">
      <c r="A20" s="14" t="s">
        <v>190</v>
      </c>
      <c r="B20" s="14"/>
      <c r="C20" s="14"/>
      <c r="D20" s="14"/>
    </row>
    <row r="21" spans="1:8" ht="19.5" customHeight="1">
      <c r="A21" s="14" t="s">
        <v>191</v>
      </c>
      <c r="B21" s="14"/>
      <c r="C21" s="14"/>
      <c r="D21" s="14"/>
      <c r="F21" s="72" t="s">
        <v>187</v>
      </c>
      <c r="H21" s="6">
        <f>COUNTIF(J6:J15,J10)</f>
        <v>5</v>
      </c>
    </row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A2:G2"/>
    <mergeCell ref="B4:D4"/>
    <mergeCell ref="E4:G4"/>
    <mergeCell ref="A18:D1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4125"/>
  </sheetPr>
  <dimension ref="A1:L1000"/>
  <sheetViews>
    <sheetView workbookViewId="0">
      <selection activeCell="M7" sqref="M7"/>
    </sheetView>
  </sheetViews>
  <sheetFormatPr defaultColWidth="14.42578125" defaultRowHeight="15" customHeight="1"/>
  <cols>
    <col min="1" max="1" width="14.5703125" customWidth="1"/>
    <col min="2" max="2" width="12.85546875" customWidth="1"/>
    <col min="3" max="3" width="13" customWidth="1"/>
    <col min="4" max="5" width="8" customWidth="1"/>
    <col min="6" max="6" width="14.5703125" customWidth="1"/>
    <col min="7" max="7" width="10.5703125" customWidth="1"/>
    <col min="8" max="8" width="9" customWidth="1"/>
    <col min="9" max="26" width="8" customWidth="1"/>
  </cols>
  <sheetData>
    <row r="1" spans="1:12" ht="18.75" customHeight="1">
      <c r="A1" s="310" t="s">
        <v>192</v>
      </c>
      <c r="B1" s="311"/>
      <c r="C1" s="311"/>
      <c r="D1" s="311"/>
      <c r="E1" s="311"/>
      <c r="F1" s="311"/>
      <c r="G1" s="311"/>
    </row>
    <row r="2" spans="1:12">
      <c r="A2" s="314" t="s">
        <v>193</v>
      </c>
      <c r="B2" s="315"/>
      <c r="C2" s="315"/>
      <c r="D2" s="315"/>
      <c r="E2" s="315"/>
      <c r="F2" s="315"/>
      <c r="G2" s="315"/>
    </row>
    <row r="4" spans="1:12">
      <c r="A4" s="14" t="s">
        <v>194</v>
      </c>
      <c r="B4" s="14"/>
      <c r="C4" s="74" t="s">
        <v>195</v>
      </c>
      <c r="D4" s="74"/>
      <c r="E4" s="74"/>
      <c r="F4" s="74"/>
      <c r="G4" s="74"/>
    </row>
    <row r="6" spans="1:12" ht="15.75" customHeight="1">
      <c r="A6" s="75" t="s">
        <v>196</v>
      </c>
      <c r="B6" s="75" t="s">
        <v>197</v>
      </c>
      <c r="C6" s="75" t="s">
        <v>198</v>
      </c>
      <c r="F6" s="76" t="s">
        <v>196</v>
      </c>
      <c r="G6" s="76" t="s">
        <v>199</v>
      </c>
      <c r="H6" s="76" t="s">
        <v>200</v>
      </c>
      <c r="I6" s="76" t="s">
        <v>201</v>
      </c>
      <c r="K6">
        <v>391006</v>
      </c>
      <c r="L6" t="str">
        <f>LOOKUP(K6,A7:$A$19,$C$7:$C$19)</f>
        <v>Peter</v>
      </c>
    </row>
    <row r="7" spans="1:12">
      <c r="A7" s="77">
        <v>110608</v>
      </c>
      <c r="B7" s="77" t="s">
        <v>202</v>
      </c>
      <c r="C7" s="77" t="s">
        <v>203</v>
      </c>
      <c r="D7" s="78"/>
      <c r="E7" s="78"/>
      <c r="F7" s="79">
        <v>602693</v>
      </c>
      <c r="G7" s="80">
        <v>84289</v>
      </c>
      <c r="H7" s="8" t="str">
        <f t="shared" ref="H7:H19" si="0">LOOKUP(F7,$A$7:$A$19,$C$7:$C$19)</f>
        <v>Micheal</v>
      </c>
      <c r="I7" s="8" t="str">
        <f t="shared" ref="I7:I19" si="1">LOOKUP(F7,$A$7:$A$19,$B$7:$B$19)</f>
        <v>Vick</v>
      </c>
      <c r="K7">
        <v>602693</v>
      </c>
      <c r="L7" s="309" t="str">
        <f>LOOKUP(K7,A7:$A$19,$C$7:$C$19)</f>
        <v>Micheal</v>
      </c>
    </row>
    <row r="8" spans="1:12">
      <c r="A8" s="77">
        <v>253072</v>
      </c>
      <c r="B8" s="77" t="s">
        <v>204</v>
      </c>
      <c r="C8" s="77" t="s">
        <v>205</v>
      </c>
      <c r="D8" s="78"/>
      <c r="E8" s="78"/>
      <c r="F8" s="79">
        <v>611810</v>
      </c>
      <c r="G8" s="80">
        <v>137670</v>
      </c>
      <c r="H8" s="8" t="str">
        <f t="shared" si="0"/>
        <v>Tiger</v>
      </c>
      <c r="I8" s="8" t="str">
        <f t="shared" si="1"/>
        <v>Woods</v>
      </c>
    </row>
    <row r="9" spans="1:12">
      <c r="A9" s="77">
        <v>352711</v>
      </c>
      <c r="B9" s="77" t="s">
        <v>206</v>
      </c>
      <c r="C9" s="77" t="s">
        <v>203</v>
      </c>
      <c r="D9" s="78"/>
      <c r="E9" s="78"/>
      <c r="F9" s="79">
        <v>549457</v>
      </c>
      <c r="G9" s="80">
        <v>190024</v>
      </c>
      <c r="H9" s="8" t="str">
        <f t="shared" si="0"/>
        <v>John</v>
      </c>
      <c r="I9" s="8" t="str">
        <f t="shared" si="1"/>
        <v>Elway</v>
      </c>
    </row>
    <row r="10" spans="1:12">
      <c r="A10" s="77">
        <v>391006</v>
      </c>
      <c r="B10" s="77" t="s">
        <v>207</v>
      </c>
      <c r="C10" s="77" t="s">
        <v>208</v>
      </c>
      <c r="D10" s="78"/>
      <c r="E10" s="78"/>
      <c r="F10" s="79">
        <v>612235</v>
      </c>
      <c r="G10" s="80">
        <v>122604</v>
      </c>
      <c r="H10" s="8" t="str">
        <f t="shared" si="0"/>
        <v>Micheal</v>
      </c>
      <c r="I10" s="8" t="str">
        <f t="shared" si="1"/>
        <v>Jordan</v>
      </c>
    </row>
    <row r="11" spans="1:12">
      <c r="A11" s="77">
        <v>392128</v>
      </c>
      <c r="B11" s="77" t="s">
        <v>209</v>
      </c>
      <c r="C11" s="77" t="s">
        <v>210</v>
      </c>
      <c r="D11" s="78"/>
      <c r="E11" s="78"/>
      <c r="F11" s="79">
        <v>580622</v>
      </c>
      <c r="G11" s="80">
        <v>111709</v>
      </c>
      <c r="H11" s="8" t="str">
        <f t="shared" si="0"/>
        <v>Eli</v>
      </c>
      <c r="I11" s="8" t="str">
        <f t="shared" si="1"/>
        <v>Manning</v>
      </c>
    </row>
    <row r="12" spans="1:12">
      <c r="A12" s="77">
        <v>549457</v>
      </c>
      <c r="B12" s="77" t="s">
        <v>211</v>
      </c>
      <c r="C12" s="77" t="s">
        <v>203</v>
      </c>
      <c r="D12" s="78"/>
      <c r="E12" s="78"/>
      <c r="F12" s="79">
        <v>830385</v>
      </c>
      <c r="G12" s="80">
        <v>85931</v>
      </c>
      <c r="H12" s="8" t="str">
        <f t="shared" si="0"/>
        <v>Prince</v>
      </c>
      <c r="I12" s="8" t="str">
        <f t="shared" si="1"/>
        <v>Williams</v>
      </c>
    </row>
    <row r="13" spans="1:12">
      <c r="A13" s="77">
        <v>580622</v>
      </c>
      <c r="B13" s="77" t="s">
        <v>212</v>
      </c>
      <c r="C13" s="77" t="s">
        <v>213</v>
      </c>
      <c r="D13" s="78"/>
      <c r="E13" s="78"/>
      <c r="F13" s="79">
        <v>253072</v>
      </c>
      <c r="G13" s="80">
        <v>168114</v>
      </c>
      <c r="H13" s="8" t="str">
        <f t="shared" si="0"/>
        <v>Andy</v>
      </c>
      <c r="I13" s="8" t="str">
        <f t="shared" si="1"/>
        <v>Cline</v>
      </c>
    </row>
    <row r="14" spans="1:12">
      <c r="A14" s="77">
        <v>602693</v>
      </c>
      <c r="B14" s="77" t="s">
        <v>214</v>
      </c>
      <c r="C14" s="77" t="s">
        <v>215</v>
      </c>
      <c r="D14" s="78"/>
      <c r="E14" s="78"/>
      <c r="F14" s="79">
        <v>391006</v>
      </c>
      <c r="G14" s="80">
        <v>89627</v>
      </c>
      <c r="H14" s="8" t="str">
        <f t="shared" si="0"/>
        <v>Peter</v>
      </c>
      <c r="I14" s="8" t="str">
        <f t="shared" si="1"/>
        <v>Pan</v>
      </c>
    </row>
    <row r="15" spans="1:12">
      <c r="A15" s="77">
        <v>611810</v>
      </c>
      <c r="B15" s="77" t="s">
        <v>216</v>
      </c>
      <c r="C15" s="77" t="s">
        <v>217</v>
      </c>
      <c r="D15" s="78"/>
      <c r="E15" s="78"/>
      <c r="F15" s="79">
        <v>990678</v>
      </c>
      <c r="G15" s="80">
        <v>149946</v>
      </c>
      <c r="H15" s="8" t="str">
        <f t="shared" si="0"/>
        <v>Brad</v>
      </c>
      <c r="I15" s="8" t="str">
        <f t="shared" si="1"/>
        <v>Pitt</v>
      </c>
    </row>
    <row r="16" spans="1:12">
      <c r="A16" s="77">
        <v>612235</v>
      </c>
      <c r="B16" s="77" t="s">
        <v>218</v>
      </c>
      <c r="C16" s="77" t="s">
        <v>215</v>
      </c>
      <c r="D16" s="78"/>
      <c r="E16" s="78"/>
      <c r="F16" s="79">
        <v>795574</v>
      </c>
      <c r="G16" s="80">
        <v>145893</v>
      </c>
      <c r="H16" s="8" t="str">
        <f t="shared" si="0"/>
        <v>Tony</v>
      </c>
      <c r="I16" s="8" t="str">
        <f t="shared" si="1"/>
        <v>Stark</v>
      </c>
    </row>
    <row r="17" spans="1:9">
      <c r="A17" s="77">
        <v>795574</v>
      </c>
      <c r="B17" s="77" t="s">
        <v>219</v>
      </c>
      <c r="C17" s="77" t="s">
        <v>220</v>
      </c>
      <c r="D17" s="78"/>
      <c r="E17" s="78"/>
      <c r="F17" s="79">
        <v>392128</v>
      </c>
      <c r="G17" s="80">
        <v>64757</v>
      </c>
      <c r="H17" s="8" t="str">
        <f t="shared" si="0"/>
        <v>Bret</v>
      </c>
      <c r="I17" s="8" t="str">
        <f t="shared" si="1"/>
        <v>Favre</v>
      </c>
    </row>
    <row r="18" spans="1:9">
      <c r="A18" s="77">
        <v>830385</v>
      </c>
      <c r="B18" s="77" t="s">
        <v>221</v>
      </c>
      <c r="C18" s="77" t="s">
        <v>222</v>
      </c>
      <c r="D18" s="78"/>
      <c r="E18" s="78"/>
      <c r="F18" s="79">
        <v>352711</v>
      </c>
      <c r="G18" s="80">
        <v>71478</v>
      </c>
      <c r="H18" s="8" t="str">
        <f t="shared" si="0"/>
        <v>John</v>
      </c>
      <c r="I18" s="8" t="str">
        <f t="shared" si="1"/>
        <v>Smith</v>
      </c>
    </row>
    <row r="19" spans="1:9">
      <c r="A19" s="77">
        <v>990678</v>
      </c>
      <c r="B19" s="77" t="s">
        <v>223</v>
      </c>
      <c r="C19" s="77" t="s">
        <v>224</v>
      </c>
      <c r="D19" s="78"/>
      <c r="E19" s="78"/>
      <c r="F19" s="79">
        <v>110608</v>
      </c>
      <c r="G19" s="80">
        <v>121444</v>
      </c>
      <c r="H19" s="8" t="str">
        <f t="shared" si="0"/>
        <v>John</v>
      </c>
      <c r="I19" s="8" t="str">
        <f t="shared" si="1"/>
        <v>Doe</v>
      </c>
    </row>
    <row r="20" spans="1:9">
      <c r="B20" s="5" t="s">
        <v>225</v>
      </c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/>
  <cols>
    <col min="1" max="1" width="12.140625" customWidth="1"/>
    <col min="2" max="2" width="16.28515625" customWidth="1"/>
    <col min="3" max="3" width="12" customWidth="1"/>
    <col min="4" max="4" width="15" customWidth="1"/>
    <col min="5" max="5" width="20.7109375" customWidth="1"/>
    <col min="6" max="6" width="10.7109375" customWidth="1"/>
    <col min="7" max="26" width="8" customWidth="1"/>
  </cols>
  <sheetData>
    <row r="1" spans="1:7" ht="18.75" customHeight="1"/>
    <row r="2" spans="1:7">
      <c r="A2" s="314" t="s">
        <v>226</v>
      </c>
      <c r="B2" s="315"/>
      <c r="C2" s="315"/>
      <c r="D2" s="315"/>
      <c r="E2" s="315"/>
      <c r="F2" s="315"/>
      <c r="G2" s="315"/>
    </row>
    <row r="4" spans="1:7" ht="26.25" customHeight="1">
      <c r="A4" s="310" t="s">
        <v>227</v>
      </c>
      <c r="B4" s="311"/>
      <c r="C4" s="311"/>
      <c r="D4" s="311"/>
      <c r="E4" s="311"/>
      <c r="F4" s="311"/>
      <c r="G4" s="311"/>
    </row>
    <row r="6" spans="1:7">
      <c r="A6" s="81" t="s">
        <v>228</v>
      </c>
      <c r="B6" s="81" t="s">
        <v>229</v>
      </c>
      <c r="C6" s="81" t="s">
        <v>230</v>
      </c>
      <c r="D6" s="81" t="s">
        <v>231</v>
      </c>
      <c r="E6" s="81" t="s">
        <v>232</v>
      </c>
      <c r="F6" s="81" t="s">
        <v>233</v>
      </c>
    </row>
    <row r="7" spans="1:7">
      <c r="A7" s="82"/>
      <c r="B7" s="9"/>
      <c r="C7" s="9"/>
      <c r="D7" s="9"/>
      <c r="E7" s="9"/>
      <c r="F7" s="9"/>
    </row>
    <row r="8" spans="1:7">
      <c r="A8" s="82" t="s">
        <v>234</v>
      </c>
      <c r="B8" s="9"/>
      <c r="C8" s="9"/>
      <c r="D8" s="9"/>
      <c r="E8" s="9"/>
      <c r="F8" s="9"/>
    </row>
    <row r="9" spans="1:7">
      <c r="A9" s="82" t="s">
        <v>235</v>
      </c>
      <c r="B9" s="9"/>
      <c r="C9" s="9"/>
      <c r="D9" s="9"/>
      <c r="E9" s="9"/>
      <c r="F9" s="9"/>
    </row>
    <row r="11" spans="1:7">
      <c r="A11" s="83" t="s">
        <v>228</v>
      </c>
      <c r="B11" s="83" t="s">
        <v>229</v>
      </c>
      <c r="C11" s="83" t="s">
        <v>230</v>
      </c>
      <c r="D11" s="83" t="s">
        <v>231</v>
      </c>
      <c r="E11" s="83" t="s">
        <v>232</v>
      </c>
      <c r="F11" s="83" t="s">
        <v>233</v>
      </c>
    </row>
    <row r="12" spans="1:7">
      <c r="A12" s="84" t="s">
        <v>236</v>
      </c>
      <c r="B12" s="85" t="s">
        <v>237</v>
      </c>
      <c r="C12" s="86">
        <v>845043962</v>
      </c>
      <c r="D12" s="85" t="s">
        <v>238</v>
      </c>
      <c r="E12" s="87">
        <v>39474</v>
      </c>
      <c r="F12" s="88">
        <v>73500</v>
      </c>
    </row>
    <row r="13" spans="1:7">
      <c r="A13" s="84" t="s">
        <v>234</v>
      </c>
      <c r="B13" s="85" t="s">
        <v>239</v>
      </c>
      <c r="C13" s="86">
        <v>345284935</v>
      </c>
      <c r="D13" s="85" t="s">
        <v>240</v>
      </c>
      <c r="E13" s="87">
        <v>39508</v>
      </c>
      <c r="F13" s="88">
        <v>80000</v>
      </c>
    </row>
    <row r="14" spans="1:7">
      <c r="A14" s="84" t="s">
        <v>235</v>
      </c>
      <c r="B14" s="85" t="s">
        <v>241</v>
      </c>
      <c r="C14" s="86">
        <v>503538350</v>
      </c>
      <c r="D14" s="85" t="s">
        <v>238</v>
      </c>
      <c r="E14" s="87">
        <v>39554</v>
      </c>
      <c r="F14" s="88">
        <v>95000</v>
      </c>
    </row>
    <row r="15" spans="1:7">
      <c r="A15" s="84" t="s">
        <v>242</v>
      </c>
      <c r="B15" s="85" t="s">
        <v>243</v>
      </c>
      <c r="C15" s="86">
        <v>858397967</v>
      </c>
      <c r="D15" s="85" t="s">
        <v>238</v>
      </c>
      <c r="E15" s="87">
        <v>39571</v>
      </c>
      <c r="F15" s="88">
        <v>105000</v>
      </c>
    </row>
    <row r="16" spans="1:7">
      <c r="A16" s="84" t="s">
        <v>244</v>
      </c>
      <c r="B16" s="85" t="s">
        <v>245</v>
      </c>
      <c r="C16" s="86">
        <v>245185890</v>
      </c>
      <c r="D16" s="85" t="s">
        <v>246</v>
      </c>
      <c r="E16" s="87">
        <v>39640</v>
      </c>
      <c r="F16" s="88">
        <v>90000</v>
      </c>
    </row>
    <row r="17" spans="1:7">
      <c r="A17" s="84" t="s">
        <v>247</v>
      </c>
      <c r="B17" s="85" t="s">
        <v>248</v>
      </c>
      <c r="C17" s="86">
        <v>873458675</v>
      </c>
      <c r="D17" s="85" t="s">
        <v>249</v>
      </c>
      <c r="E17" s="87">
        <v>39646</v>
      </c>
      <c r="F17" s="88">
        <v>60000</v>
      </c>
    </row>
    <row r="18" spans="1:7">
      <c r="A18" s="84" t="s">
        <v>250</v>
      </c>
      <c r="B18" s="85" t="s">
        <v>251</v>
      </c>
      <c r="C18" s="86">
        <v>190083679</v>
      </c>
      <c r="D18" s="85" t="s">
        <v>249</v>
      </c>
      <c r="E18" s="87">
        <v>39726</v>
      </c>
      <c r="F18" s="88">
        <v>87000</v>
      </c>
    </row>
    <row r="19" spans="1:7">
      <c r="A19" s="84" t="s">
        <v>252</v>
      </c>
      <c r="B19" s="85" t="s">
        <v>253</v>
      </c>
      <c r="C19" s="86">
        <v>352369553</v>
      </c>
      <c r="D19" s="85" t="s">
        <v>246</v>
      </c>
      <c r="E19" s="87">
        <v>39749</v>
      </c>
      <c r="F19" s="88">
        <v>104000</v>
      </c>
    </row>
    <row r="20" spans="1:7">
      <c r="A20" s="84" t="s">
        <v>254</v>
      </c>
      <c r="B20" s="85" t="s">
        <v>255</v>
      </c>
      <c r="C20" s="86">
        <v>645740451</v>
      </c>
      <c r="D20" s="85" t="s">
        <v>238</v>
      </c>
      <c r="E20" s="87">
        <v>39757</v>
      </c>
      <c r="F20" s="88">
        <v>380050</v>
      </c>
    </row>
    <row r="21" spans="1:7" ht="15.75" customHeight="1">
      <c r="A21" s="84" t="s">
        <v>256</v>
      </c>
      <c r="B21" s="85" t="s">
        <v>257</v>
      </c>
      <c r="C21" s="86">
        <v>558531475</v>
      </c>
      <c r="D21" s="85" t="s">
        <v>238</v>
      </c>
      <c r="E21" s="87">
        <v>39791</v>
      </c>
      <c r="F21" s="88">
        <v>93000</v>
      </c>
    </row>
    <row r="22" spans="1:7" ht="15.75" customHeight="1">
      <c r="A22" s="84" t="s">
        <v>258</v>
      </c>
      <c r="B22" s="85" t="s">
        <v>259</v>
      </c>
      <c r="C22" s="86">
        <v>129426148</v>
      </c>
      <c r="D22" s="85" t="s">
        <v>240</v>
      </c>
      <c r="E22" s="87">
        <v>39856</v>
      </c>
      <c r="F22" s="88">
        <v>180000</v>
      </c>
    </row>
    <row r="23" spans="1:7" ht="15.75" customHeight="1">
      <c r="A23" s="84" t="s">
        <v>260</v>
      </c>
      <c r="B23" s="85" t="s">
        <v>261</v>
      </c>
      <c r="C23" s="86">
        <v>796504767</v>
      </c>
      <c r="D23" s="85" t="s">
        <v>238</v>
      </c>
      <c r="E23" s="87">
        <v>39891</v>
      </c>
      <c r="F23" s="88">
        <v>100000</v>
      </c>
    </row>
    <row r="24" spans="1:7" ht="15.75" customHeight="1">
      <c r="A24" s="84" t="s">
        <v>262</v>
      </c>
      <c r="B24" s="85" t="s">
        <v>263</v>
      </c>
      <c r="C24" s="86">
        <v>266481339</v>
      </c>
      <c r="D24" s="85" t="s">
        <v>264</v>
      </c>
      <c r="E24" s="87">
        <v>39916</v>
      </c>
      <c r="F24" s="88">
        <v>136000</v>
      </c>
    </row>
    <row r="25" spans="1:7" ht="15.75" customHeight="1">
      <c r="A25" s="84" t="s">
        <v>265</v>
      </c>
      <c r="B25" s="85" t="s">
        <v>266</v>
      </c>
      <c r="C25" s="86">
        <v>663003285</v>
      </c>
      <c r="D25" s="85" t="s">
        <v>238</v>
      </c>
      <c r="E25" s="87">
        <v>39931</v>
      </c>
      <c r="F25" s="88">
        <v>68000</v>
      </c>
    </row>
    <row r="26" spans="1:7" ht="15.75" customHeight="1"/>
    <row r="27" spans="1:7" ht="19.5" customHeight="1">
      <c r="A27" s="89" t="s">
        <v>267</v>
      </c>
      <c r="B27" s="14"/>
      <c r="C27" s="14"/>
      <c r="D27" s="14"/>
      <c r="E27" s="49" t="s">
        <v>268</v>
      </c>
      <c r="F27" s="6">
        <f>COUNTA(B12:B25)</f>
        <v>14</v>
      </c>
    </row>
    <row r="28" spans="1:7" ht="19.5" customHeight="1">
      <c r="A28" s="89" t="s">
        <v>269</v>
      </c>
      <c r="B28" s="14"/>
      <c r="C28" s="14"/>
      <c r="D28" s="14"/>
      <c r="E28" s="49" t="s">
        <v>270</v>
      </c>
      <c r="F28" s="6">
        <f>COUNTIF(D12:D25,D17)</f>
        <v>2</v>
      </c>
      <c r="G28" s="6">
        <f>COUNTIF(D12:D25,D15)</f>
        <v>7</v>
      </c>
    </row>
    <row r="29" spans="1:7" ht="19.5" customHeight="1">
      <c r="A29" s="14" t="s">
        <v>271</v>
      </c>
      <c r="B29" s="14"/>
      <c r="C29" s="14"/>
      <c r="D29" s="14"/>
      <c r="E29" s="49" t="s">
        <v>75</v>
      </c>
      <c r="F29" s="6" t="str">
        <f>VLOOKUP(B16,B11:F25,3,0)</f>
        <v>Engineering</v>
      </c>
      <c r="G29" s="88">
        <f>VLOOKUP(B16,B11:F25,5,0)</f>
        <v>90000</v>
      </c>
    </row>
    <row r="30" spans="1:7" ht="19.5" customHeight="1">
      <c r="A30" s="14" t="s">
        <v>272</v>
      </c>
      <c r="B30" s="14"/>
      <c r="C30" s="14"/>
      <c r="D30" s="14"/>
      <c r="E30" s="49" t="s">
        <v>75</v>
      </c>
      <c r="F30" s="90">
        <f>VLOOKUP(B16,B11:F25,2,0)</f>
        <v>245185890</v>
      </c>
    </row>
    <row r="31" spans="1:7" ht="19.5" customHeight="1">
      <c r="A31" s="14" t="s">
        <v>273</v>
      </c>
      <c r="B31" s="14"/>
      <c r="C31" s="14"/>
      <c r="D31" s="14"/>
      <c r="E31" s="49" t="s">
        <v>28</v>
      </c>
      <c r="F31" s="6">
        <f>SUMIF(D12:D25,D15,F12:F25)</f>
        <v>914550</v>
      </c>
    </row>
    <row r="32" spans="1:7" ht="15.75" customHeight="1"/>
    <row r="33" spans="2:2" ht="15.75" customHeight="1"/>
    <row r="34" spans="2:2" ht="15.75" customHeight="1">
      <c r="B34" s="6">
        <f>AVERAGEA(B21:B25)</f>
        <v>0</v>
      </c>
    </row>
    <row r="35" spans="2:2" ht="15.75" customHeight="1"/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G2"/>
    <mergeCell ref="A4:G4"/>
  </mergeCells>
  <dataValidations count="1">
    <dataValidation type="list" allowBlank="1" showInputMessage="1" showErrorMessage="1" prompt="Employee ID - Select Employee ID" sqref="A7:A9">
      <formula1>$B$18:$B$31</formula1>
    </dataValidation>
  </dataValidation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9CB9C"/>
  </sheetPr>
  <dimension ref="A1:G1000"/>
  <sheetViews>
    <sheetView workbookViewId="0">
      <selection sqref="A1:G1"/>
    </sheetView>
  </sheetViews>
  <sheetFormatPr defaultColWidth="14.42578125" defaultRowHeight="15" customHeight="1"/>
  <cols>
    <col min="1" max="1" width="22.7109375" customWidth="1"/>
    <col min="2" max="2" width="8" customWidth="1"/>
    <col min="3" max="3" width="10.7109375" customWidth="1"/>
    <col min="4" max="4" width="9.85546875" customWidth="1"/>
    <col min="5" max="26" width="8" customWidth="1"/>
  </cols>
  <sheetData>
    <row r="1" spans="1:7" ht="18.75" customHeight="1">
      <c r="A1" s="310" t="s">
        <v>274</v>
      </c>
      <c r="B1" s="311"/>
      <c r="C1" s="311"/>
      <c r="D1" s="311"/>
      <c r="E1" s="311"/>
      <c r="F1" s="311"/>
      <c r="G1" s="311"/>
    </row>
    <row r="2" spans="1:7">
      <c r="A2" s="314" t="s">
        <v>275</v>
      </c>
      <c r="B2" s="315"/>
      <c r="C2" s="315"/>
      <c r="D2" s="315"/>
      <c r="E2" s="315"/>
      <c r="F2" s="315"/>
      <c r="G2" s="315"/>
    </row>
    <row r="4" spans="1:7">
      <c r="A4" s="91" t="s">
        <v>276</v>
      </c>
      <c r="B4" s="92" t="s">
        <v>277</v>
      </c>
      <c r="C4" s="92" t="s">
        <v>278</v>
      </c>
      <c r="D4" s="92" t="s">
        <v>279</v>
      </c>
    </row>
    <row r="5" spans="1:7">
      <c r="A5" s="93" t="s">
        <v>280</v>
      </c>
      <c r="B5" s="94">
        <v>2.95</v>
      </c>
      <c r="C5" s="94">
        <v>3.75</v>
      </c>
      <c r="D5" s="94">
        <v>4.1500000000000004</v>
      </c>
    </row>
    <row r="6" spans="1:7">
      <c r="A6" s="93" t="s">
        <v>281</v>
      </c>
      <c r="B6" s="94">
        <v>2.95</v>
      </c>
      <c r="C6" s="94">
        <v>3.65</v>
      </c>
      <c r="D6" s="94">
        <v>4.1500000000000004</v>
      </c>
    </row>
    <row r="7" spans="1:7">
      <c r="A7" s="93" t="s">
        <v>282</v>
      </c>
      <c r="B7" s="94">
        <v>3.75</v>
      </c>
      <c r="C7" s="94">
        <v>3.95</v>
      </c>
      <c r="D7" s="94">
        <v>4.25</v>
      </c>
    </row>
    <row r="8" spans="1:7">
      <c r="A8" s="93" t="s">
        <v>283</v>
      </c>
      <c r="B8" s="94">
        <v>3.25</v>
      </c>
      <c r="C8" s="94">
        <v>3.95</v>
      </c>
      <c r="D8" s="94">
        <v>4.4000000000000004</v>
      </c>
    </row>
    <row r="9" spans="1:7">
      <c r="A9" s="93" t="s">
        <v>284</v>
      </c>
      <c r="B9" s="94">
        <v>3.45</v>
      </c>
      <c r="C9" s="94">
        <v>4.1500000000000004</v>
      </c>
      <c r="D9" s="94">
        <v>4.55</v>
      </c>
    </row>
    <row r="10" spans="1:7">
      <c r="A10" s="93" t="s">
        <v>285</v>
      </c>
      <c r="B10" s="94">
        <v>2</v>
      </c>
      <c r="C10" s="94">
        <v>2.4</v>
      </c>
      <c r="D10" s="94">
        <v>2.75</v>
      </c>
    </row>
    <row r="11" spans="1:7">
      <c r="A11" s="93" t="s">
        <v>286</v>
      </c>
      <c r="B11" s="94">
        <v>3.95</v>
      </c>
      <c r="C11" s="94">
        <v>4.75</v>
      </c>
      <c r="D11" s="94">
        <v>5.15</v>
      </c>
    </row>
    <row r="12" spans="1:7">
      <c r="A12" s="93" t="s">
        <v>287</v>
      </c>
      <c r="B12" s="94">
        <v>2.25</v>
      </c>
      <c r="C12" s="94">
        <v>2.5</v>
      </c>
      <c r="D12" s="94">
        <v>2.75</v>
      </c>
    </row>
    <row r="13" spans="1:7">
      <c r="A13" s="93" t="s">
        <v>288</v>
      </c>
      <c r="B13" s="94">
        <v>1.75</v>
      </c>
      <c r="C13" s="94">
        <v>1.95</v>
      </c>
      <c r="D13" s="94">
        <v>2.0499999999999998</v>
      </c>
    </row>
    <row r="14" spans="1:7">
      <c r="A14" s="93"/>
      <c r="B14" s="93"/>
      <c r="C14" s="93"/>
      <c r="D14" s="93"/>
    </row>
    <row r="15" spans="1:7">
      <c r="A15" s="95" t="s">
        <v>289</v>
      </c>
      <c r="B15" s="96"/>
      <c r="C15" s="96"/>
      <c r="D15" s="96"/>
    </row>
    <row r="16" spans="1:7">
      <c r="A16" s="95" t="s">
        <v>290</v>
      </c>
      <c r="B16" s="96"/>
      <c r="C16" s="96"/>
      <c r="D16" s="96"/>
    </row>
    <row r="17" spans="1:6">
      <c r="A17" s="93"/>
      <c r="B17" s="93"/>
      <c r="C17" s="93"/>
      <c r="D17" s="93"/>
    </row>
    <row r="18" spans="1:6">
      <c r="A18" s="78" t="s">
        <v>291</v>
      </c>
      <c r="B18" s="97">
        <f t="shared" ref="B18:B20" si="0">MATCH(A18,$A$4:$D$4,0)</f>
        <v>3</v>
      </c>
      <c r="C18" s="93" t="s">
        <v>292</v>
      </c>
      <c r="D18" s="93"/>
      <c r="F18" s="6">
        <f>MATCH(A19,$A$4:$D$4,0)</f>
        <v>4</v>
      </c>
    </row>
    <row r="19" spans="1:6">
      <c r="A19" s="98" t="s">
        <v>279</v>
      </c>
      <c r="B19" s="97">
        <f t="shared" si="0"/>
        <v>4</v>
      </c>
      <c r="C19" s="93" t="s">
        <v>292</v>
      </c>
      <c r="D19" s="93"/>
      <c r="F19" s="6">
        <f>MATCH(A18,$A$4:$D$4,0)</f>
        <v>3</v>
      </c>
    </row>
    <row r="20" spans="1:6">
      <c r="A20" s="98" t="s">
        <v>277</v>
      </c>
      <c r="B20" s="97">
        <f t="shared" si="0"/>
        <v>2</v>
      </c>
      <c r="C20" s="93" t="s">
        <v>292</v>
      </c>
      <c r="D20" s="93"/>
      <c r="F20" s="6">
        <f>MATCH(A20,$A$4:$D$4,0)</f>
        <v>2</v>
      </c>
    </row>
    <row r="21" spans="1:6" ht="15.75" customHeight="1"/>
    <row r="22" spans="1:6" ht="15.75" customHeight="1">
      <c r="A22" s="95" t="s">
        <v>293</v>
      </c>
      <c r="B22" s="95"/>
      <c r="C22" s="96"/>
      <c r="D22" s="96"/>
      <c r="E22" s="96"/>
    </row>
    <row r="23" spans="1:6" ht="15.75" customHeight="1">
      <c r="A23" s="95" t="s">
        <v>294</v>
      </c>
      <c r="B23" s="95"/>
      <c r="C23" s="96"/>
      <c r="D23" s="96"/>
      <c r="E23" s="96"/>
    </row>
    <row r="24" spans="1:6" ht="15.75" customHeight="1">
      <c r="A24" s="93"/>
      <c r="B24" s="93"/>
      <c r="C24" s="93"/>
      <c r="D24" s="93"/>
      <c r="E24" s="93"/>
    </row>
    <row r="25" spans="1:6" ht="15.75" customHeight="1">
      <c r="A25" s="78" t="s">
        <v>283</v>
      </c>
      <c r="B25" s="78" t="s">
        <v>291</v>
      </c>
      <c r="C25" s="99">
        <f t="shared" ref="C25:C27" si="1">VLOOKUP(A25,$A$4:$D$13,MATCH(B25,$A$4:$D$4,0))</f>
        <v>3.95</v>
      </c>
      <c r="D25" s="93"/>
      <c r="E25" s="93"/>
    </row>
    <row r="26" spans="1:6" ht="15.75" customHeight="1">
      <c r="A26" s="6" t="str">
        <f>A25</f>
        <v>Caffe Mocha</v>
      </c>
      <c r="B26" s="6" t="str">
        <f>B4</f>
        <v>TALL</v>
      </c>
      <c r="C26" s="99">
        <f t="shared" si="1"/>
        <v>3.25</v>
      </c>
    </row>
    <row r="27" spans="1:6" ht="15.75" customHeight="1">
      <c r="A27" s="6" t="str">
        <f>A25</f>
        <v>Caffe Mocha</v>
      </c>
      <c r="B27" s="6" t="str">
        <f>D4</f>
        <v>VENTI</v>
      </c>
      <c r="C27" s="99">
        <f t="shared" si="1"/>
        <v>4.4000000000000004</v>
      </c>
    </row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sqref="A1:J1"/>
    </sheetView>
  </sheetViews>
  <sheetFormatPr defaultColWidth="14.42578125" defaultRowHeight="15" customHeight="1"/>
  <cols>
    <col min="1" max="1" width="13.7109375" customWidth="1"/>
    <col min="2" max="7" width="8" customWidth="1"/>
    <col min="8" max="8" width="16" customWidth="1"/>
    <col min="9" max="9" width="8" customWidth="1"/>
    <col min="10" max="10" width="10.42578125" customWidth="1"/>
    <col min="11" max="12" width="8" customWidth="1"/>
    <col min="13" max="13" width="10.42578125" customWidth="1"/>
    <col min="14" max="26" width="8" customWidth="1"/>
  </cols>
  <sheetData>
    <row r="1" spans="1:16" ht="18.75" customHeight="1">
      <c r="A1" s="310" t="s">
        <v>295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6">
      <c r="A2" s="313" t="s">
        <v>296</v>
      </c>
      <c r="B2" s="311"/>
      <c r="C2" s="311"/>
      <c r="D2" s="311"/>
      <c r="E2" s="311"/>
      <c r="F2" s="311"/>
      <c r="G2" s="311"/>
      <c r="H2" s="311"/>
      <c r="I2" s="311"/>
      <c r="J2" s="311"/>
    </row>
    <row r="4" spans="1:16" ht="19.5" customHeight="1">
      <c r="A4" s="100" t="s">
        <v>297</v>
      </c>
      <c r="B4" s="101" t="s">
        <v>298</v>
      </c>
      <c r="C4" s="101" t="s">
        <v>299</v>
      </c>
      <c r="D4" s="101" t="s">
        <v>300</v>
      </c>
      <c r="E4" s="101" t="s">
        <v>301</v>
      </c>
      <c r="F4" s="101" t="s">
        <v>302</v>
      </c>
      <c r="G4" s="101" t="s">
        <v>303</v>
      </c>
      <c r="H4" s="101" t="s">
        <v>304</v>
      </c>
      <c r="I4" s="101" t="s">
        <v>305</v>
      </c>
      <c r="J4" s="102" t="s">
        <v>306</v>
      </c>
    </row>
    <row r="5" spans="1:16" ht="19.5" customHeight="1">
      <c r="A5" s="103" t="s">
        <v>307</v>
      </c>
      <c r="B5" s="104">
        <v>2773</v>
      </c>
      <c r="C5" s="104">
        <v>17462</v>
      </c>
      <c r="D5" s="104">
        <v>5954</v>
      </c>
      <c r="E5" s="104">
        <v>1348</v>
      </c>
      <c r="F5" s="104">
        <v>28158</v>
      </c>
      <c r="G5" s="104">
        <v>28799</v>
      </c>
      <c r="H5" s="104">
        <v>25415</v>
      </c>
      <c r="I5" s="104">
        <v>17227</v>
      </c>
      <c r="J5" s="104">
        <f t="shared" ref="J5:J6" si="0">SUM(B5:I5)</f>
        <v>127136</v>
      </c>
    </row>
    <row r="6" spans="1:16" ht="19.5" customHeight="1">
      <c r="A6" s="103" t="s">
        <v>308</v>
      </c>
      <c r="B6" s="104">
        <v>12908</v>
      </c>
      <c r="C6" s="104">
        <v>3083</v>
      </c>
      <c r="D6" s="104">
        <v>24492</v>
      </c>
      <c r="E6" s="104">
        <v>5825</v>
      </c>
      <c r="F6" s="104">
        <v>1080</v>
      </c>
      <c r="G6" s="104">
        <v>2188</v>
      </c>
      <c r="H6" s="104">
        <v>11087</v>
      </c>
      <c r="I6" s="104">
        <v>15544</v>
      </c>
      <c r="J6" s="105">
        <f t="shared" si="0"/>
        <v>76207</v>
      </c>
      <c r="N6" s="5" t="s">
        <v>300</v>
      </c>
      <c r="O6" s="5" t="s">
        <v>304</v>
      </c>
    </row>
    <row r="7" spans="1:16" ht="19.5" customHeight="1">
      <c r="A7" s="103" t="s">
        <v>309</v>
      </c>
      <c r="B7" s="104">
        <v>6554</v>
      </c>
      <c r="C7" s="104">
        <v>14262</v>
      </c>
      <c r="D7" s="104">
        <v>8377</v>
      </c>
      <c r="E7" s="104">
        <v>24982</v>
      </c>
      <c r="F7" s="104">
        <v>12184</v>
      </c>
      <c r="G7" s="104">
        <v>6430</v>
      </c>
      <c r="H7" s="104">
        <v>21159</v>
      </c>
      <c r="I7" s="104">
        <v>18597</v>
      </c>
      <c r="J7" s="9" t="s">
        <v>139</v>
      </c>
      <c r="M7" s="103" t="s">
        <v>309</v>
      </c>
      <c r="N7" s="106">
        <f t="shared" ref="N7:O7" si="1">VLOOKUP($M7,$A$5:$J$12,MATCH($N$6,$A$4:$J$4, 0),0)</f>
        <v>8377</v>
      </c>
      <c r="O7" s="106">
        <f t="shared" si="1"/>
        <v>8377</v>
      </c>
    </row>
    <row r="8" spans="1:16" ht="19.5" customHeight="1">
      <c r="A8" s="103" t="s">
        <v>310</v>
      </c>
      <c r="B8" s="104">
        <v>28913</v>
      </c>
      <c r="C8" s="104">
        <v>1437</v>
      </c>
      <c r="D8" s="104">
        <v>20019</v>
      </c>
      <c r="E8" s="104">
        <v>13026</v>
      </c>
      <c r="F8" s="104">
        <v>26952</v>
      </c>
      <c r="G8" s="104">
        <v>27076</v>
      </c>
      <c r="H8" s="104">
        <v>7040</v>
      </c>
      <c r="I8" s="104">
        <v>10884</v>
      </c>
      <c r="J8" s="9" t="s">
        <v>139</v>
      </c>
      <c r="M8" s="103" t="s">
        <v>311</v>
      </c>
      <c r="N8" s="106">
        <f t="shared" ref="N8:O8" si="2">VLOOKUP($M8,$A$5:$J$12,MATCH($N$6,$A$4:$J$4, 0),0)</f>
        <v>6469</v>
      </c>
      <c r="O8" s="106">
        <f t="shared" si="2"/>
        <v>6469</v>
      </c>
    </row>
    <row r="9" spans="1:16" ht="19.5" customHeight="1">
      <c r="A9" s="103" t="s">
        <v>312</v>
      </c>
      <c r="B9" s="104">
        <v>4768</v>
      </c>
      <c r="C9" s="104">
        <v>7622</v>
      </c>
      <c r="D9" s="104">
        <v>28918</v>
      </c>
      <c r="E9" s="104">
        <v>27141</v>
      </c>
      <c r="F9" s="104">
        <v>3578</v>
      </c>
      <c r="G9" s="104">
        <v>10092</v>
      </c>
      <c r="H9" s="104">
        <v>15207</v>
      </c>
      <c r="I9" s="104">
        <v>12771</v>
      </c>
      <c r="J9" s="9" t="s">
        <v>139</v>
      </c>
    </row>
    <row r="10" spans="1:16" ht="19.5" customHeight="1">
      <c r="A10" s="103" t="s">
        <v>313</v>
      </c>
      <c r="B10" s="104">
        <v>13390</v>
      </c>
      <c r="C10" s="104">
        <v>3611</v>
      </c>
      <c r="D10" s="104">
        <v>6226</v>
      </c>
      <c r="E10" s="104">
        <v>27567</v>
      </c>
      <c r="F10" s="104">
        <v>29962</v>
      </c>
      <c r="G10" s="104">
        <v>2967</v>
      </c>
      <c r="H10" s="104">
        <v>5740</v>
      </c>
      <c r="I10" s="104">
        <v>2137</v>
      </c>
      <c r="J10" s="9" t="s">
        <v>139</v>
      </c>
    </row>
    <row r="11" spans="1:16" ht="19.5" customHeight="1">
      <c r="A11" s="103" t="s">
        <v>314</v>
      </c>
      <c r="B11" s="104">
        <v>17585</v>
      </c>
      <c r="C11" s="104">
        <v>28508</v>
      </c>
      <c r="D11" s="104">
        <v>9614</v>
      </c>
      <c r="E11" s="104">
        <v>17110</v>
      </c>
      <c r="F11" s="104">
        <v>12143</v>
      </c>
      <c r="G11" s="104">
        <v>7365</v>
      </c>
      <c r="H11" s="104">
        <v>24185</v>
      </c>
      <c r="I11" s="104">
        <v>1643</v>
      </c>
      <c r="J11" s="9" t="s">
        <v>139</v>
      </c>
    </row>
    <row r="12" spans="1:16">
      <c r="A12" s="103" t="s">
        <v>311</v>
      </c>
      <c r="B12" s="104">
        <v>22579</v>
      </c>
      <c r="C12" s="104">
        <v>16301</v>
      </c>
      <c r="D12" s="104">
        <v>6469</v>
      </c>
      <c r="E12" s="104">
        <v>22050</v>
      </c>
      <c r="F12" s="104">
        <v>8740</v>
      </c>
      <c r="G12" s="104">
        <v>18806</v>
      </c>
      <c r="H12" s="104">
        <v>3334</v>
      </c>
      <c r="I12" s="104">
        <v>3597</v>
      </c>
      <c r="J12" s="9" t="s">
        <v>139</v>
      </c>
      <c r="P12" s="107">
        <f>MATCH(N6,$B$4:$J$4, 0)</f>
        <v>3</v>
      </c>
    </row>
    <row r="14" spans="1:16">
      <c r="A14" s="108" t="s">
        <v>315</v>
      </c>
      <c r="G14" s="6">
        <f>COUNTA(A5:A12)</f>
        <v>8</v>
      </c>
    </row>
    <row r="15" spans="1:16">
      <c r="A15" s="108" t="s">
        <v>316</v>
      </c>
      <c r="H15" s="5" t="s">
        <v>300</v>
      </c>
      <c r="I15" s="5" t="s">
        <v>304</v>
      </c>
    </row>
    <row r="16" spans="1:16">
      <c r="G16" s="5" t="s">
        <v>309</v>
      </c>
      <c r="H16" s="106">
        <f>VLOOKUP(G16,$A$4:$J$12,4,0)</f>
        <v>8377</v>
      </c>
    </row>
    <row r="17" spans="7:7">
      <c r="G17" s="5" t="s">
        <v>317</v>
      </c>
    </row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D1"/>
    </sheetView>
  </sheetViews>
  <sheetFormatPr defaultColWidth="14.42578125" defaultRowHeight="15" customHeight="1"/>
  <cols>
    <col min="1" max="1" width="11.28515625" customWidth="1"/>
    <col min="2" max="2" width="15.7109375" customWidth="1"/>
    <col min="3" max="3" width="11.28515625" customWidth="1"/>
    <col min="4" max="4" width="11.140625" customWidth="1"/>
    <col min="5" max="26" width="8" customWidth="1"/>
  </cols>
  <sheetData>
    <row r="1" spans="1:10" ht="18.75" customHeight="1">
      <c r="A1" s="310" t="s">
        <v>318</v>
      </c>
      <c r="B1" s="311"/>
      <c r="C1" s="311"/>
      <c r="D1" s="311"/>
      <c r="E1" s="16"/>
      <c r="F1" s="16"/>
      <c r="G1" s="16"/>
      <c r="H1" s="16"/>
      <c r="I1" s="16"/>
      <c r="J1" s="16"/>
    </row>
    <row r="2" spans="1:10">
      <c r="A2" s="313" t="s">
        <v>319</v>
      </c>
      <c r="B2" s="311"/>
      <c r="C2" s="311"/>
      <c r="D2" s="311"/>
      <c r="E2" s="14"/>
      <c r="F2" s="14"/>
      <c r="G2" s="14"/>
      <c r="H2" s="14"/>
      <c r="I2" s="14"/>
      <c r="J2" s="14"/>
    </row>
    <row r="4" spans="1:10">
      <c r="A4" s="109" t="s">
        <v>197</v>
      </c>
      <c r="B4" s="109" t="s">
        <v>320</v>
      </c>
      <c r="C4" s="109" t="s">
        <v>321</v>
      </c>
      <c r="D4" s="109" t="s">
        <v>322</v>
      </c>
    </row>
    <row r="5" spans="1:10">
      <c r="A5" s="9" t="s">
        <v>206</v>
      </c>
      <c r="B5" s="110">
        <v>16753</v>
      </c>
      <c r="C5" s="9" t="s">
        <v>323</v>
      </c>
      <c r="D5" s="9" t="s">
        <v>324</v>
      </c>
    </row>
    <row r="6" spans="1:10">
      <c r="A6" s="9" t="s">
        <v>325</v>
      </c>
      <c r="B6" s="110">
        <v>14808</v>
      </c>
      <c r="C6" s="9" t="s">
        <v>326</v>
      </c>
      <c r="D6" s="9" t="s">
        <v>327</v>
      </c>
    </row>
    <row r="7" spans="1:10">
      <c r="A7" s="9" t="s">
        <v>221</v>
      </c>
      <c r="B7" s="110">
        <v>10644</v>
      </c>
      <c r="C7" s="9" t="s">
        <v>323</v>
      </c>
      <c r="D7" s="9" t="s">
        <v>328</v>
      </c>
    </row>
    <row r="8" spans="1:10">
      <c r="A8" s="9" t="s">
        <v>329</v>
      </c>
      <c r="B8" s="110">
        <v>1390</v>
      </c>
      <c r="C8" s="9" t="s">
        <v>326</v>
      </c>
      <c r="D8" s="9" t="s">
        <v>324</v>
      </c>
    </row>
    <row r="9" spans="1:10">
      <c r="A9" s="9" t="s">
        <v>330</v>
      </c>
      <c r="B9" s="110">
        <v>4865</v>
      </c>
      <c r="C9" s="9" t="s">
        <v>326</v>
      </c>
      <c r="D9" s="9" t="s">
        <v>327</v>
      </c>
    </row>
    <row r="10" spans="1:10">
      <c r="A10" s="9" t="s">
        <v>221</v>
      </c>
      <c r="B10" s="110">
        <v>12438</v>
      </c>
      <c r="C10" s="9" t="s">
        <v>323</v>
      </c>
      <c r="D10" s="9" t="s">
        <v>331</v>
      </c>
    </row>
    <row r="11" spans="1:10">
      <c r="A11" s="9" t="s">
        <v>325</v>
      </c>
      <c r="B11" s="110">
        <v>9339</v>
      </c>
      <c r="C11" s="9" t="s">
        <v>323</v>
      </c>
      <c r="D11" s="9" t="s">
        <v>328</v>
      </c>
    </row>
    <row r="12" spans="1:10">
      <c r="A12" s="9" t="s">
        <v>206</v>
      </c>
      <c r="B12" s="110">
        <v>18919</v>
      </c>
      <c r="C12" s="9" t="s">
        <v>326</v>
      </c>
      <c r="D12" s="9" t="s">
        <v>324</v>
      </c>
    </row>
    <row r="13" spans="1:10">
      <c r="A13" s="9" t="s">
        <v>329</v>
      </c>
      <c r="B13" s="110">
        <v>9213</v>
      </c>
      <c r="C13" s="9" t="s">
        <v>326</v>
      </c>
      <c r="D13" s="9" t="s">
        <v>327</v>
      </c>
    </row>
    <row r="14" spans="1:10">
      <c r="A14" s="9" t="s">
        <v>329</v>
      </c>
      <c r="B14" s="110">
        <v>7433</v>
      </c>
      <c r="C14" s="9" t="s">
        <v>323</v>
      </c>
      <c r="D14" s="9" t="s">
        <v>331</v>
      </c>
    </row>
    <row r="15" spans="1:10">
      <c r="A15" s="9" t="s">
        <v>330</v>
      </c>
      <c r="B15" s="110">
        <v>3255</v>
      </c>
      <c r="C15" s="9" t="s">
        <v>326</v>
      </c>
      <c r="D15" s="9" t="s">
        <v>328</v>
      </c>
    </row>
    <row r="16" spans="1:10">
      <c r="A16" s="9" t="s">
        <v>221</v>
      </c>
      <c r="B16" s="110">
        <v>14867</v>
      </c>
      <c r="C16" s="9" t="s">
        <v>326</v>
      </c>
      <c r="D16" s="9" t="s">
        <v>324</v>
      </c>
    </row>
    <row r="17" spans="1:4">
      <c r="A17" s="9" t="s">
        <v>221</v>
      </c>
      <c r="B17" s="110">
        <v>19302</v>
      </c>
      <c r="C17" s="9" t="s">
        <v>323</v>
      </c>
      <c r="D17" s="9" t="s">
        <v>327</v>
      </c>
    </row>
    <row r="18" spans="1:4">
      <c r="A18" s="9" t="s">
        <v>206</v>
      </c>
      <c r="B18" s="110">
        <v>9698</v>
      </c>
      <c r="C18" s="9" t="s">
        <v>326</v>
      </c>
      <c r="D18" s="9" t="s">
        <v>331</v>
      </c>
    </row>
    <row r="20" spans="1:4">
      <c r="A20" s="78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sqref="A1:G1"/>
    </sheetView>
  </sheetViews>
  <sheetFormatPr defaultColWidth="14.42578125" defaultRowHeight="15" customHeight="1"/>
  <cols>
    <col min="1" max="1" width="8" customWidth="1"/>
    <col min="2" max="2" width="8.42578125" customWidth="1"/>
    <col min="3" max="3" width="10.42578125" customWidth="1"/>
    <col min="4" max="4" width="10.85546875" customWidth="1"/>
    <col min="5" max="5" width="9.7109375" customWidth="1"/>
    <col min="6" max="26" width="8" customWidth="1"/>
  </cols>
  <sheetData>
    <row r="1" spans="1:7" ht="18.75" customHeight="1">
      <c r="A1" s="310" t="s">
        <v>332</v>
      </c>
      <c r="B1" s="311"/>
      <c r="C1" s="311"/>
      <c r="D1" s="311"/>
      <c r="E1" s="311"/>
      <c r="F1" s="311"/>
      <c r="G1" s="311"/>
    </row>
    <row r="2" spans="1:7">
      <c r="A2" s="314" t="s">
        <v>333</v>
      </c>
      <c r="B2" s="315"/>
      <c r="C2" s="315"/>
      <c r="D2" s="315"/>
      <c r="E2" s="315"/>
      <c r="F2" s="315"/>
      <c r="G2" s="315"/>
    </row>
    <row r="4" spans="1:7">
      <c r="A4" s="111" t="s">
        <v>334</v>
      </c>
      <c r="B4" s="111" t="s">
        <v>335</v>
      </c>
      <c r="C4" s="111" t="s">
        <v>336</v>
      </c>
      <c r="D4" s="111" t="s">
        <v>337</v>
      </c>
      <c r="E4" s="111" t="s">
        <v>338</v>
      </c>
    </row>
    <row r="5" spans="1:7">
      <c r="A5" s="112" t="s">
        <v>339</v>
      </c>
      <c r="B5" s="112">
        <v>1998</v>
      </c>
      <c r="C5" s="112" t="s">
        <v>340</v>
      </c>
      <c r="D5" s="112" t="s">
        <v>341</v>
      </c>
      <c r="E5" s="113">
        <v>554536</v>
      </c>
    </row>
    <row r="6" spans="1:7">
      <c r="A6" s="112" t="s">
        <v>339</v>
      </c>
      <c r="B6" s="112">
        <v>1998</v>
      </c>
      <c r="C6" s="112" t="s">
        <v>342</v>
      </c>
      <c r="D6" s="112" t="s">
        <v>341</v>
      </c>
      <c r="E6" s="113">
        <v>540643</v>
      </c>
    </row>
    <row r="7" spans="1:7">
      <c r="A7" s="112" t="s">
        <v>339</v>
      </c>
      <c r="B7" s="112">
        <v>1998</v>
      </c>
      <c r="C7" s="112" t="s">
        <v>343</v>
      </c>
      <c r="D7" s="112" t="s">
        <v>341</v>
      </c>
      <c r="E7" s="113">
        <v>577548</v>
      </c>
    </row>
    <row r="8" spans="1:7">
      <c r="A8" s="112" t="s">
        <v>339</v>
      </c>
      <c r="B8" s="112">
        <v>1998</v>
      </c>
      <c r="C8" s="112" t="s">
        <v>344</v>
      </c>
      <c r="D8" s="112" t="s">
        <v>341</v>
      </c>
      <c r="E8" s="113">
        <v>455905</v>
      </c>
    </row>
    <row r="9" spans="1:7">
      <c r="A9" s="112" t="s">
        <v>339</v>
      </c>
      <c r="B9" s="112">
        <v>1998</v>
      </c>
      <c r="C9" s="112" t="s">
        <v>345</v>
      </c>
      <c r="D9" s="112" t="s">
        <v>341</v>
      </c>
      <c r="E9" s="113">
        <v>490871</v>
      </c>
    </row>
    <row r="10" spans="1:7">
      <c r="A10" s="112" t="s">
        <v>339</v>
      </c>
      <c r="B10" s="112">
        <v>1998</v>
      </c>
      <c r="C10" s="112" t="s">
        <v>346</v>
      </c>
      <c r="D10" s="112" t="s">
        <v>341</v>
      </c>
      <c r="E10" s="113">
        <v>446383</v>
      </c>
    </row>
    <row r="11" spans="1:7">
      <c r="A11" s="112" t="s">
        <v>339</v>
      </c>
      <c r="B11" s="112">
        <v>1998</v>
      </c>
      <c r="C11" s="112" t="s">
        <v>340</v>
      </c>
      <c r="D11" s="112" t="s">
        <v>347</v>
      </c>
      <c r="E11" s="113">
        <v>457726</v>
      </c>
    </row>
    <row r="12" spans="1:7">
      <c r="A12" s="112" t="s">
        <v>339</v>
      </c>
      <c r="B12" s="112">
        <v>1998</v>
      </c>
      <c r="C12" s="112" t="s">
        <v>342</v>
      </c>
      <c r="D12" s="112" t="s">
        <v>347</v>
      </c>
      <c r="E12" s="113">
        <v>347696</v>
      </c>
    </row>
    <row r="13" spans="1:7">
      <c r="A13" s="112" t="s">
        <v>339</v>
      </c>
      <c r="B13" s="112">
        <v>1998</v>
      </c>
      <c r="C13" s="112" t="s">
        <v>343</v>
      </c>
      <c r="D13" s="112" t="s">
        <v>347</v>
      </c>
      <c r="E13" s="113">
        <v>384541</v>
      </c>
    </row>
    <row r="14" spans="1:7">
      <c r="A14" s="112" t="s">
        <v>339</v>
      </c>
      <c r="B14" s="112">
        <v>1998</v>
      </c>
      <c r="C14" s="112" t="s">
        <v>344</v>
      </c>
      <c r="D14" s="112" t="s">
        <v>347</v>
      </c>
      <c r="E14" s="113">
        <v>386420</v>
      </c>
    </row>
    <row r="15" spans="1:7">
      <c r="A15" s="112" t="s">
        <v>339</v>
      </c>
      <c r="B15" s="112">
        <v>1998</v>
      </c>
      <c r="C15" s="112" t="s">
        <v>345</v>
      </c>
      <c r="D15" s="112" t="s">
        <v>347</v>
      </c>
      <c r="E15" s="113">
        <v>370970</v>
      </c>
    </row>
    <row r="16" spans="1:7">
      <c r="A16" s="112" t="s">
        <v>339</v>
      </c>
      <c r="B16" s="112">
        <v>1998</v>
      </c>
      <c r="C16" s="112" t="s">
        <v>346</v>
      </c>
      <c r="D16" s="112" t="s">
        <v>347</v>
      </c>
      <c r="E16" s="113">
        <v>430754</v>
      </c>
    </row>
    <row r="17" spans="1:5">
      <c r="A17" s="112" t="s">
        <v>339</v>
      </c>
      <c r="B17" s="112">
        <v>1998</v>
      </c>
      <c r="C17" s="112" t="s">
        <v>340</v>
      </c>
      <c r="D17" s="112" t="s">
        <v>348</v>
      </c>
      <c r="E17" s="113">
        <v>500847</v>
      </c>
    </row>
    <row r="18" spans="1:5">
      <c r="A18" s="112" t="s">
        <v>339</v>
      </c>
      <c r="B18" s="112">
        <v>1998</v>
      </c>
      <c r="C18" s="112" t="s">
        <v>342</v>
      </c>
      <c r="D18" s="112" t="s">
        <v>348</v>
      </c>
      <c r="E18" s="113">
        <v>507070</v>
      </c>
    </row>
    <row r="19" spans="1:5">
      <c r="A19" s="112" t="s">
        <v>339</v>
      </c>
      <c r="B19" s="112">
        <v>1998</v>
      </c>
      <c r="C19" s="112" t="s">
        <v>343</v>
      </c>
      <c r="D19" s="112" t="s">
        <v>348</v>
      </c>
      <c r="E19" s="113">
        <v>482346</v>
      </c>
    </row>
    <row r="20" spans="1:5">
      <c r="A20" s="112" t="s">
        <v>339</v>
      </c>
      <c r="B20" s="112">
        <v>1998</v>
      </c>
      <c r="C20" s="112" t="s">
        <v>344</v>
      </c>
      <c r="D20" s="112" t="s">
        <v>348</v>
      </c>
      <c r="E20" s="113">
        <v>608713</v>
      </c>
    </row>
    <row r="21" spans="1:5" ht="15.75" customHeight="1">
      <c r="A21" s="112" t="s">
        <v>339</v>
      </c>
      <c r="B21" s="112">
        <v>1998</v>
      </c>
      <c r="C21" s="112" t="s">
        <v>345</v>
      </c>
      <c r="D21" s="112" t="s">
        <v>348</v>
      </c>
      <c r="E21" s="113">
        <v>150000</v>
      </c>
    </row>
    <row r="22" spans="1:5" ht="15.75" customHeight="1">
      <c r="A22" s="112" t="s">
        <v>339</v>
      </c>
      <c r="B22" s="112">
        <v>1998</v>
      </c>
      <c r="C22" s="112" t="s">
        <v>346</v>
      </c>
      <c r="D22" s="112" t="s">
        <v>348</v>
      </c>
      <c r="E22" s="113">
        <v>500649</v>
      </c>
    </row>
    <row r="23" spans="1:5" ht="15.75" customHeight="1">
      <c r="A23" s="112" t="s">
        <v>349</v>
      </c>
      <c r="B23" s="112">
        <v>1998</v>
      </c>
      <c r="C23" s="112" t="s">
        <v>340</v>
      </c>
      <c r="D23" s="112" t="s">
        <v>341</v>
      </c>
      <c r="E23" s="113">
        <v>545780</v>
      </c>
    </row>
    <row r="24" spans="1:5" ht="15.75" customHeight="1">
      <c r="A24" s="112" t="s">
        <v>349</v>
      </c>
      <c r="B24" s="112">
        <v>1998</v>
      </c>
      <c r="C24" s="112" t="s">
        <v>342</v>
      </c>
      <c r="D24" s="112" t="s">
        <v>341</v>
      </c>
      <c r="E24" s="113">
        <v>440644</v>
      </c>
    </row>
    <row r="25" spans="1:5" ht="15.75" customHeight="1">
      <c r="A25" s="112" t="s">
        <v>349</v>
      </c>
      <c r="B25" s="112">
        <v>1998</v>
      </c>
      <c r="C25" s="112" t="s">
        <v>343</v>
      </c>
      <c r="D25" s="112" t="s">
        <v>341</v>
      </c>
      <c r="E25" s="113">
        <v>580359</v>
      </c>
    </row>
    <row r="26" spans="1:5" ht="15.75" customHeight="1">
      <c r="A26" s="112" t="s">
        <v>349</v>
      </c>
      <c r="B26" s="112">
        <v>1998</v>
      </c>
      <c r="C26" s="112" t="s">
        <v>344</v>
      </c>
      <c r="D26" s="112" t="s">
        <v>341</v>
      </c>
      <c r="E26" s="113">
        <v>536225</v>
      </c>
    </row>
    <row r="27" spans="1:5" ht="15.75" customHeight="1">
      <c r="A27" s="112" t="s">
        <v>349</v>
      </c>
      <c r="B27" s="112">
        <v>1998</v>
      </c>
      <c r="C27" s="112" t="s">
        <v>345</v>
      </c>
      <c r="D27" s="112" t="s">
        <v>341</v>
      </c>
      <c r="E27" s="113">
        <v>414908</v>
      </c>
    </row>
    <row r="28" spans="1:5" ht="15.75" customHeight="1">
      <c r="A28" s="112" t="s">
        <v>349</v>
      </c>
      <c r="B28" s="112">
        <v>1998</v>
      </c>
      <c r="C28" s="112" t="s">
        <v>346</v>
      </c>
      <c r="D28" s="112" t="s">
        <v>341</v>
      </c>
      <c r="E28" s="113">
        <v>377997</v>
      </c>
    </row>
    <row r="29" spans="1:5" ht="15.75" customHeight="1">
      <c r="A29" s="112" t="s">
        <v>349</v>
      </c>
      <c r="B29" s="112">
        <v>1998</v>
      </c>
      <c r="C29" s="112" t="s">
        <v>340</v>
      </c>
      <c r="D29" s="112" t="s">
        <v>347</v>
      </c>
      <c r="E29" s="113">
        <v>331289</v>
      </c>
    </row>
    <row r="30" spans="1:5" ht="15.75" customHeight="1">
      <c r="A30" s="112" t="s">
        <v>349</v>
      </c>
      <c r="B30" s="112">
        <v>1998</v>
      </c>
      <c r="C30" s="112" t="s">
        <v>342</v>
      </c>
      <c r="D30" s="112" t="s">
        <v>347</v>
      </c>
      <c r="E30" s="113">
        <v>384572</v>
      </c>
    </row>
    <row r="31" spans="1:5" ht="15.75" customHeight="1">
      <c r="A31" s="112" t="s">
        <v>349</v>
      </c>
      <c r="B31" s="112">
        <v>1998</v>
      </c>
      <c r="C31" s="112" t="s">
        <v>343</v>
      </c>
      <c r="D31" s="112" t="s">
        <v>347</v>
      </c>
      <c r="E31" s="113">
        <v>365813</v>
      </c>
    </row>
    <row r="32" spans="1:5" ht="15.75" customHeight="1">
      <c r="A32" s="112" t="s">
        <v>349</v>
      </c>
      <c r="B32" s="112">
        <v>1998</v>
      </c>
      <c r="C32" s="112" t="s">
        <v>344</v>
      </c>
      <c r="D32" s="112" t="s">
        <v>347</v>
      </c>
      <c r="E32" s="113">
        <v>396338</v>
      </c>
    </row>
    <row r="33" spans="1:8" ht="15.75" customHeight="1">
      <c r="A33" s="112" t="s">
        <v>349</v>
      </c>
      <c r="B33" s="112">
        <v>1998</v>
      </c>
      <c r="C33" s="112" t="s">
        <v>345</v>
      </c>
      <c r="D33" s="112" t="s">
        <v>347</v>
      </c>
      <c r="E33" s="113">
        <v>453761</v>
      </c>
    </row>
    <row r="34" spans="1:8" ht="15.75" customHeight="1">
      <c r="A34" s="112" t="s">
        <v>349</v>
      </c>
      <c r="B34" s="112">
        <v>1998</v>
      </c>
      <c r="C34" s="112" t="s">
        <v>346</v>
      </c>
      <c r="D34" s="112" t="s">
        <v>347</v>
      </c>
      <c r="E34" s="113">
        <v>356538</v>
      </c>
    </row>
    <row r="35" spans="1:8" ht="15.75" customHeight="1">
      <c r="A35" s="112" t="s">
        <v>349</v>
      </c>
      <c r="B35" s="112">
        <v>1998</v>
      </c>
      <c r="C35" s="112" t="s">
        <v>340</v>
      </c>
      <c r="D35" s="112" t="s">
        <v>348</v>
      </c>
      <c r="E35" s="113">
        <v>606332</v>
      </c>
    </row>
    <row r="36" spans="1:8" ht="15.75" customHeight="1">
      <c r="A36" s="112" t="s">
        <v>349</v>
      </c>
      <c r="B36" s="112">
        <v>1998</v>
      </c>
      <c r="C36" s="112" t="s">
        <v>342</v>
      </c>
      <c r="D36" s="112" t="s">
        <v>348</v>
      </c>
      <c r="E36" s="113">
        <v>535218</v>
      </c>
    </row>
    <row r="37" spans="1:8" ht="15.75" customHeight="1">
      <c r="A37" s="112" t="s">
        <v>349</v>
      </c>
      <c r="B37" s="112">
        <v>1998</v>
      </c>
      <c r="C37" s="112" t="s">
        <v>343</v>
      </c>
      <c r="D37" s="112" t="s">
        <v>348</v>
      </c>
      <c r="E37" s="113">
        <v>493364</v>
      </c>
    </row>
    <row r="38" spans="1:8" ht="15.75" customHeight="1">
      <c r="A38" s="112" t="s">
        <v>349</v>
      </c>
      <c r="B38" s="112">
        <v>1998</v>
      </c>
      <c r="C38" s="112" t="s">
        <v>344</v>
      </c>
      <c r="D38" s="112" t="s">
        <v>348</v>
      </c>
      <c r="E38" s="113">
        <v>559100</v>
      </c>
    </row>
    <row r="39" spans="1:8" ht="15.75" customHeight="1">
      <c r="A39" s="112" t="s">
        <v>349</v>
      </c>
      <c r="B39" s="112">
        <v>1998</v>
      </c>
      <c r="C39" s="112" t="s">
        <v>345</v>
      </c>
      <c r="D39" s="112" t="s">
        <v>348</v>
      </c>
      <c r="E39" s="113">
        <v>220350</v>
      </c>
    </row>
    <row r="40" spans="1:8" ht="15.75" customHeight="1">
      <c r="A40" s="112" t="s">
        <v>349</v>
      </c>
      <c r="B40" s="112">
        <v>1998</v>
      </c>
      <c r="C40" s="112" t="s">
        <v>346</v>
      </c>
      <c r="D40" s="112" t="s">
        <v>348</v>
      </c>
      <c r="E40" s="113">
        <v>476975</v>
      </c>
    </row>
    <row r="41" spans="1:8" ht="15.75" customHeight="1"/>
    <row r="42" spans="1:8" ht="15.75" customHeight="1">
      <c r="A42" s="73" t="s">
        <v>350</v>
      </c>
      <c r="B42" s="14"/>
      <c r="G42" s="49" t="s">
        <v>351</v>
      </c>
      <c r="H42" s="49"/>
    </row>
    <row r="43" spans="1:8" ht="15.75" customHeight="1">
      <c r="A43" s="98" t="s">
        <v>352</v>
      </c>
      <c r="B43" s="98"/>
      <c r="C43" s="78"/>
      <c r="D43" s="78"/>
      <c r="G43" s="49" t="s">
        <v>353</v>
      </c>
      <c r="H43" s="49"/>
    </row>
    <row r="44" spans="1:8" ht="15.75" customHeight="1">
      <c r="A44" s="98" t="s">
        <v>354</v>
      </c>
      <c r="B44" s="98"/>
      <c r="C44" s="78"/>
      <c r="D44" s="78"/>
      <c r="G44" s="49" t="s">
        <v>355</v>
      </c>
      <c r="H44" s="49"/>
    </row>
    <row r="45" spans="1:8" ht="15.75" customHeight="1">
      <c r="A45" s="98" t="s">
        <v>356</v>
      </c>
      <c r="B45" s="98"/>
      <c r="C45" s="78"/>
      <c r="D45" s="78"/>
      <c r="G45" s="49" t="s">
        <v>353</v>
      </c>
      <c r="H45" s="49"/>
    </row>
    <row r="46" spans="1:8" ht="15.75" customHeight="1">
      <c r="A46" s="98" t="s">
        <v>357</v>
      </c>
      <c r="B46" s="98"/>
      <c r="C46" s="78"/>
      <c r="D46" s="78"/>
    </row>
    <row r="47" spans="1:8" ht="15.75" customHeight="1">
      <c r="A47" s="78"/>
      <c r="B47" s="78"/>
      <c r="C47" s="78"/>
      <c r="D47" s="78"/>
    </row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sqref="A1:F1"/>
    </sheetView>
  </sheetViews>
  <sheetFormatPr defaultColWidth="14.42578125" defaultRowHeight="15" customHeight="1"/>
  <cols>
    <col min="1" max="1" width="10.5703125" customWidth="1"/>
    <col min="2" max="2" width="10" customWidth="1"/>
    <col min="3" max="3" width="11" customWidth="1"/>
    <col min="4" max="4" width="10.28515625" customWidth="1"/>
    <col min="5" max="5" width="10.42578125" customWidth="1"/>
    <col min="6" max="6" width="15.42578125" customWidth="1"/>
    <col min="7" max="12" width="8" customWidth="1"/>
    <col min="13" max="13" width="9.5703125" customWidth="1"/>
    <col min="14" max="26" width="8" customWidth="1"/>
  </cols>
  <sheetData>
    <row r="1" spans="1:6" ht="18.75" customHeight="1">
      <c r="A1" s="310" t="s">
        <v>358</v>
      </c>
      <c r="B1" s="311"/>
      <c r="C1" s="311"/>
      <c r="D1" s="311"/>
      <c r="E1" s="311"/>
      <c r="F1" s="311"/>
    </row>
    <row r="2" spans="1:6">
      <c r="A2" s="313" t="s">
        <v>359</v>
      </c>
      <c r="B2" s="311"/>
      <c r="C2" s="311"/>
      <c r="D2" s="311"/>
      <c r="E2" s="311"/>
      <c r="F2" s="311"/>
    </row>
    <row r="4" spans="1:6">
      <c r="A4" s="2" t="s">
        <v>360</v>
      </c>
      <c r="B4" s="3" t="s">
        <v>361</v>
      </c>
      <c r="C4" s="3" t="s">
        <v>362</v>
      </c>
      <c r="D4" s="3" t="s">
        <v>363</v>
      </c>
      <c r="E4" s="3" t="s">
        <v>147</v>
      </c>
      <c r="F4" s="4" t="s">
        <v>321</v>
      </c>
    </row>
    <row r="5" spans="1:6">
      <c r="A5" s="7">
        <v>1</v>
      </c>
      <c r="B5" s="8" t="s">
        <v>364</v>
      </c>
      <c r="C5" s="8" t="s">
        <v>365</v>
      </c>
      <c r="D5" s="104">
        <v>4270</v>
      </c>
      <c r="E5" s="46">
        <v>42375</v>
      </c>
      <c r="F5" s="34" t="s">
        <v>366</v>
      </c>
    </row>
    <row r="6" spans="1:6">
      <c r="A6" s="7">
        <v>2</v>
      </c>
      <c r="B6" s="8" t="s">
        <v>367</v>
      </c>
      <c r="C6" s="8" t="s">
        <v>365</v>
      </c>
      <c r="D6" s="104">
        <v>8239</v>
      </c>
      <c r="E6" s="46">
        <v>42376</v>
      </c>
      <c r="F6" s="34" t="s">
        <v>368</v>
      </c>
    </row>
    <row r="7" spans="1:6">
      <c r="A7" s="7">
        <v>3</v>
      </c>
      <c r="B7" s="8" t="s">
        <v>369</v>
      </c>
      <c r="C7" s="8" t="s">
        <v>370</v>
      </c>
      <c r="D7" s="104">
        <v>617</v>
      </c>
      <c r="E7" s="46">
        <v>42377</v>
      </c>
      <c r="F7" s="34" t="s">
        <v>366</v>
      </c>
    </row>
    <row r="8" spans="1:6">
      <c r="A8" s="7">
        <v>4</v>
      </c>
      <c r="B8" s="8" t="s">
        <v>369</v>
      </c>
      <c r="C8" s="8" t="s">
        <v>370</v>
      </c>
      <c r="D8" s="104">
        <v>8384</v>
      </c>
      <c r="E8" s="46">
        <v>42379</v>
      </c>
      <c r="F8" s="34" t="s">
        <v>371</v>
      </c>
    </row>
    <row r="9" spans="1:6">
      <c r="A9" s="7">
        <v>5</v>
      </c>
      <c r="B9" s="8" t="s">
        <v>372</v>
      </c>
      <c r="C9" s="8" t="s">
        <v>365</v>
      </c>
      <c r="D9" s="104">
        <v>2626</v>
      </c>
      <c r="E9" s="46">
        <v>42379</v>
      </c>
      <c r="F9" s="34" t="s">
        <v>373</v>
      </c>
    </row>
    <row r="10" spans="1:6">
      <c r="A10" s="7">
        <v>6</v>
      </c>
      <c r="B10" s="8" t="s">
        <v>374</v>
      </c>
      <c r="C10" s="8" t="s">
        <v>370</v>
      </c>
      <c r="D10" s="104">
        <v>3610</v>
      </c>
      <c r="E10" s="46">
        <v>42380</v>
      </c>
      <c r="F10" s="34" t="s">
        <v>366</v>
      </c>
    </row>
    <row r="11" spans="1:6">
      <c r="A11" s="7">
        <v>7</v>
      </c>
      <c r="B11" s="8" t="s">
        <v>367</v>
      </c>
      <c r="C11" s="8" t="s">
        <v>365</v>
      </c>
      <c r="D11" s="104">
        <v>9062</v>
      </c>
      <c r="E11" s="46">
        <v>42380</v>
      </c>
      <c r="F11" s="34" t="s">
        <v>375</v>
      </c>
    </row>
    <row r="12" spans="1:6">
      <c r="A12" s="7">
        <v>8</v>
      </c>
      <c r="B12" s="8" t="s">
        <v>369</v>
      </c>
      <c r="C12" s="8" t="s">
        <v>370</v>
      </c>
      <c r="D12" s="104">
        <v>6906</v>
      </c>
      <c r="E12" s="46">
        <v>42385</v>
      </c>
      <c r="F12" s="34" t="s">
        <v>376</v>
      </c>
    </row>
    <row r="13" spans="1:6">
      <c r="A13" s="7">
        <v>9</v>
      </c>
      <c r="B13" s="8" t="s">
        <v>377</v>
      </c>
      <c r="C13" s="8" t="s">
        <v>370</v>
      </c>
      <c r="D13" s="104">
        <v>2417</v>
      </c>
      <c r="E13" s="46">
        <v>42385</v>
      </c>
      <c r="F13" s="34" t="s">
        <v>378</v>
      </c>
    </row>
    <row r="14" spans="1:6">
      <c r="A14" s="7">
        <v>10</v>
      </c>
      <c r="B14" s="8" t="s">
        <v>377</v>
      </c>
      <c r="C14" s="8" t="s">
        <v>370</v>
      </c>
      <c r="D14" s="104">
        <v>7431</v>
      </c>
      <c r="E14" s="46">
        <v>42385</v>
      </c>
      <c r="F14" s="34" t="s">
        <v>371</v>
      </c>
    </row>
    <row r="15" spans="1:6">
      <c r="A15" s="7">
        <v>11</v>
      </c>
      <c r="B15" s="8" t="s">
        <v>369</v>
      </c>
      <c r="C15" s="8" t="s">
        <v>370</v>
      </c>
      <c r="D15" s="104">
        <v>8250</v>
      </c>
      <c r="E15" s="46">
        <v>42385</v>
      </c>
      <c r="F15" s="34" t="s">
        <v>373</v>
      </c>
    </row>
    <row r="16" spans="1:6">
      <c r="A16" s="7">
        <v>12</v>
      </c>
      <c r="B16" s="8" t="s">
        <v>367</v>
      </c>
      <c r="C16" s="8" t="s">
        <v>365</v>
      </c>
      <c r="D16" s="104">
        <v>7012</v>
      </c>
      <c r="E16" s="46">
        <v>42387</v>
      </c>
      <c r="F16" s="34" t="s">
        <v>366</v>
      </c>
    </row>
    <row r="17" spans="1:14">
      <c r="A17" s="7">
        <v>13</v>
      </c>
      <c r="B17" s="8" t="s">
        <v>364</v>
      </c>
      <c r="C17" s="8" t="s">
        <v>365</v>
      </c>
      <c r="D17" s="104">
        <v>1903</v>
      </c>
      <c r="E17" s="46">
        <v>42389</v>
      </c>
      <c r="F17" s="34" t="s">
        <v>373</v>
      </c>
    </row>
    <row r="18" spans="1:14">
      <c r="A18" s="7">
        <v>14</v>
      </c>
      <c r="B18" s="8" t="s">
        <v>367</v>
      </c>
      <c r="C18" s="8" t="s">
        <v>365</v>
      </c>
      <c r="D18" s="104">
        <v>2824</v>
      </c>
      <c r="E18" s="46">
        <v>42391</v>
      </c>
      <c r="F18" s="34" t="s">
        <v>371</v>
      </c>
    </row>
    <row r="19" spans="1:14">
      <c r="A19" s="7">
        <v>15</v>
      </c>
      <c r="B19" s="8" t="s">
        <v>377</v>
      </c>
      <c r="C19" s="8" t="s">
        <v>370</v>
      </c>
      <c r="D19" s="104">
        <v>6946</v>
      </c>
      <c r="E19" s="46">
        <v>42393</v>
      </c>
      <c r="F19" s="34" t="s">
        <v>378</v>
      </c>
    </row>
    <row r="20" spans="1:14">
      <c r="A20" s="7">
        <v>16</v>
      </c>
      <c r="B20" s="8" t="s">
        <v>369</v>
      </c>
      <c r="C20" s="8" t="s">
        <v>370</v>
      </c>
      <c r="D20" s="104">
        <v>2320</v>
      </c>
      <c r="E20" s="46">
        <v>42396</v>
      </c>
      <c r="F20" s="34" t="s">
        <v>368</v>
      </c>
    </row>
    <row r="21" spans="1:14" ht="15.75" customHeight="1">
      <c r="A21" s="7">
        <v>17</v>
      </c>
      <c r="B21" s="8" t="s">
        <v>369</v>
      </c>
      <c r="C21" s="8" t="s">
        <v>370</v>
      </c>
      <c r="D21" s="104">
        <v>2116</v>
      </c>
      <c r="E21" s="46">
        <v>42397</v>
      </c>
      <c r="F21" s="34" t="s">
        <v>366</v>
      </c>
    </row>
    <row r="22" spans="1:14" ht="15.75" customHeight="1">
      <c r="A22" s="7">
        <v>18</v>
      </c>
      <c r="B22" s="8" t="s">
        <v>369</v>
      </c>
      <c r="C22" s="8" t="s">
        <v>370</v>
      </c>
      <c r="D22" s="104">
        <v>1135</v>
      </c>
      <c r="E22" s="46">
        <v>42399</v>
      </c>
      <c r="F22" s="34" t="s">
        <v>368</v>
      </c>
    </row>
    <row r="23" spans="1:14" ht="15.75" customHeight="1">
      <c r="A23" s="7">
        <v>19</v>
      </c>
      <c r="B23" s="8" t="s">
        <v>367</v>
      </c>
      <c r="C23" s="8" t="s">
        <v>365</v>
      </c>
      <c r="D23" s="104">
        <v>3595</v>
      </c>
      <c r="E23" s="46">
        <v>42399</v>
      </c>
      <c r="F23" s="34" t="s">
        <v>368</v>
      </c>
    </row>
    <row r="24" spans="1:14" ht="15.75" customHeight="1">
      <c r="A24" s="7">
        <v>20</v>
      </c>
      <c r="B24" s="8" t="s">
        <v>377</v>
      </c>
      <c r="C24" s="8" t="s">
        <v>370</v>
      </c>
      <c r="D24" s="104">
        <v>1161</v>
      </c>
      <c r="E24" s="46">
        <v>42402</v>
      </c>
      <c r="F24" s="34" t="s">
        <v>366</v>
      </c>
    </row>
    <row r="25" spans="1:14" ht="15.75" customHeight="1">
      <c r="A25" s="7">
        <v>21</v>
      </c>
      <c r="B25" s="8" t="s">
        <v>374</v>
      </c>
      <c r="C25" s="8" t="s">
        <v>370</v>
      </c>
      <c r="D25" s="104">
        <v>2256</v>
      </c>
      <c r="E25" s="46">
        <v>42404</v>
      </c>
      <c r="F25" s="34" t="s">
        <v>378</v>
      </c>
    </row>
    <row r="26" spans="1:14" ht="15.75" customHeight="1">
      <c r="A26" s="7">
        <v>22</v>
      </c>
      <c r="B26" s="8" t="s">
        <v>369</v>
      </c>
      <c r="C26" s="8" t="s">
        <v>370</v>
      </c>
      <c r="D26" s="104">
        <v>1004</v>
      </c>
      <c r="E26" s="46">
        <v>42411</v>
      </c>
      <c r="F26" s="34" t="s">
        <v>376</v>
      </c>
    </row>
    <row r="27" spans="1:14" ht="15.75" customHeight="1">
      <c r="A27" s="7">
        <v>23</v>
      </c>
      <c r="B27" s="8" t="s">
        <v>369</v>
      </c>
      <c r="C27" s="8" t="s">
        <v>370</v>
      </c>
      <c r="D27" s="104">
        <v>3642</v>
      </c>
      <c r="E27" s="46">
        <v>42414</v>
      </c>
      <c r="F27" s="34" t="s">
        <v>371</v>
      </c>
    </row>
    <row r="28" spans="1:14" ht="15.75" customHeight="1">
      <c r="A28" s="7">
        <v>24</v>
      </c>
      <c r="B28" s="8" t="s">
        <v>369</v>
      </c>
      <c r="C28" s="8" t="s">
        <v>370</v>
      </c>
      <c r="D28" s="104">
        <v>4582</v>
      </c>
      <c r="E28" s="46">
        <v>42417</v>
      </c>
      <c r="F28" s="34" t="s">
        <v>366</v>
      </c>
      <c r="M28" s="34" t="s">
        <v>371</v>
      </c>
      <c r="N28" s="34" t="s">
        <v>368</v>
      </c>
    </row>
    <row r="29" spans="1:14" ht="15.75" customHeight="1">
      <c r="A29" s="7">
        <v>25</v>
      </c>
      <c r="B29" s="8" t="s">
        <v>372</v>
      </c>
      <c r="C29" s="8" t="s">
        <v>365</v>
      </c>
      <c r="D29" s="104">
        <v>3559</v>
      </c>
      <c r="E29" s="46">
        <v>42417</v>
      </c>
      <c r="F29" s="34" t="s">
        <v>368</v>
      </c>
      <c r="L29" s="114" t="s">
        <v>369</v>
      </c>
      <c r="M29" s="5">
        <f t="shared" ref="M29:N29" si="0">COUNTIFS($B$5:$B$34,$L29,$F$5:$F$34,M$28)</f>
        <v>2</v>
      </c>
      <c r="N29" s="5">
        <f t="shared" si="0"/>
        <v>2</v>
      </c>
    </row>
    <row r="30" spans="1:14" ht="15.75" customHeight="1">
      <c r="A30" s="7">
        <v>26</v>
      </c>
      <c r="B30" s="8" t="s">
        <v>364</v>
      </c>
      <c r="C30" s="8" t="s">
        <v>365</v>
      </c>
      <c r="D30" s="104">
        <v>5154</v>
      </c>
      <c r="E30" s="46">
        <v>42417</v>
      </c>
      <c r="F30" s="34" t="s">
        <v>375</v>
      </c>
      <c r="L30" s="115" t="s">
        <v>377</v>
      </c>
      <c r="M30" s="5">
        <f t="shared" ref="M30:N30" si="1">COUNTIFS($B$5:$B$34,$L30,$F$5:$F$34,M$28)</f>
        <v>1</v>
      </c>
      <c r="N30" s="5">
        <f t="shared" si="1"/>
        <v>0</v>
      </c>
    </row>
    <row r="31" spans="1:14" ht="15.75" customHeight="1">
      <c r="A31" s="7">
        <v>27</v>
      </c>
      <c r="B31" s="8" t="s">
        <v>379</v>
      </c>
      <c r="C31" s="8" t="s">
        <v>370</v>
      </c>
      <c r="D31" s="104">
        <v>7388</v>
      </c>
      <c r="E31" s="46">
        <v>42418</v>
      </c>
      <c r="F31" s="34" t="s">
        <v>378</v>
      </c>
    </row>
    <row r="32" spans="1:14" ht="15.75" customHeight="1">
      <c r="A32" s="7">
        <v>28</v>
      </c>
      <c r="B32" s="8" t="s">
        <v>372</v>
      </c>
      <c r="C32" s="8" t="s">
        <v>365</v>
      </c>
      <c r="D32" s="104">
        <v>7163</v>
      </c>
      <c r="E32" s="46">
        <v>42418</v>
      </c>
      <c r="F32" s="34" t="s">
        <v>366</v>
      </c>
    </row>
    <row r="33" spans="1:10" ht="15.75" customHeight="1">
      <c r="A33" s="7">
        <v>29</v>
      </c>
      <c r="B33" s="8" t="s">
        <v>372</v>
      </c>
      <c r="C33" s="8" t="s">
        <v>365</v>
      </c>
      <c r="D33" s="104">
        <v>5101</v>
      </c>
      <c r="E33" s="46">
        <v>42420</v>
      </c>
      <c r="F33" s="34" t="s">
        <v>373</v>
      </c>
    </row>
    <row r="34" spans="1:10" ht="15.75" customHeight="1">
      <c r="A34" s="12">
        <v>30</v>
      </c>
      <c r="B34" s="13" t="s">
        <v>377</v>
      </c>
      <c r="C34" s="13" t="s">
        <v>370</v>
      </c>
      <c r="D34" s="116">
        <v>7602</v>
      </c>
      <c r="E34" s="47">
        <v>42421</v>
      </c>
      <c r="F34" s="117" t="s">
        <v>378</v>
      </c>
    </row>
    <row r="35" spans="1:10" ht="15.75" customHeight="1">
      <c r="H35" s="5" t="s">
        <v>380</v>
      </c>
      <c r="I35" s="5" t="s">
        <v>381</v>
      </c>
      <c r="J35" s="5" t="s">
        <v>382</v>
      </c>
    </row>
    <row r="36" spans="1:10" ht="15.75" customHeight="1">
      <c r="A36" s="14" t="s">
        <v>383</v>
      </c>
      <c r="B36" s="14"/>
      <c r="C36" s="14"/>
      <c r="D36" s="14"/>
      <c r="F36" s="49" t="s">
        <v>270</v>
      </c>
      <c r="G36" s="49"/>
      <c r="H36" s="49">
        <f>COUNTIF(C5:C34,C31)</f>
        <v>18</v>
      </c>
      <c r="I36" s="6">
        <f>COUNTIF(C5:C34,C30)</f>
        <v>12</v>
      </c>
      <c r="J36" s="6">
        <f>SUMIF( B5:B34,B26,D5:D34)</f>
        <v>38956</v>
      </c>
    </row>
    <row r="37" spans="1:10" ht="15.75" customHeight="1">
      <c r="A37" s="14" t="s">
        <v>384</v>
      </c>
      <c r="B37" s="14"/>
      <c r="C37" s="14"/>
      <c r="D37" s="14"/>
      <c r="F37" s="49" t="s">
        <v>385</v>
      </c>
      <c r="G37" s="49"/>
      <c r="H37" s="49">
        <f>SUMIF(B5:B34,B24,D5:D34)</f>
        <v>25557</v>
      </c>
    </row>
    <row r="38" spans="1:10" ht="15.75" customHeight="1">
      <c r="A38" s="14" t="s">
        <v>386</v>
      </c>
      <c r="B38" s="14"/>
      <c r="C38" s="14"/>
      <c r="D38" s="14"/>
      <c r="F38" s="49"/>
      <c r="G38" s="49" t="s">
        <v>30</v>
      </c>
      <c r="H38" s="49"/>
      <c r="I38" s="6">
        <f>COUNTA(B5:B34)</f>
        <v>30</v>
      </c>
    </row>
    <row r="39" spans="1:10" ht="15.75" customHeight="1">
      <c r="A39" s="14" t="s">
        <v>387</v>
      </c>
      <c r="B39" s="14"/>
      <c r="C39" s="14"/>
      <c r="D39" s="14"/>
      <c r="F39" s="49"/>
      <c r="G39" s="49" t="s">
        <v>388</v>
      </c>
      <c r="H39" s="49"/>
    </row>
    <row r="40" spans="1:10" ht="15.75" customHeight="1">
      <c r="A40" s="14" t="s">
        <v>389</v>
      </c>
      <c r="B40" s="14"/>
      <c r="C40" s="14"/>
      <c r="D40" s="14"/>
      <c r="F40" s="49"/>
      <c r="G40" s="49" t="s">
        <v>390</v>
      </c>
      <c r="H40" s="49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G1"/>
    </sheetView>
  </sheetViews>
  <sheetFormatPr defaultColWidth="14.42578125" defaultRowHeight="15" customHeight="1"/>
  <cols>
    <col min="1" max="1" width="8" customWidth="1"/>
    <col min="2" max="2" width="14" customWidth="1"/>
    <col min="3" max="3" width="15.5703125" customWidth="1"/>
    <col min="4" max="4" width="15" customWidth="1"/>
    <col min="5" max="26" width="8" customWidth="1"/>
  </cols>
  <sheetData>
    <row r="1" spans="1:7" ht="18.75" customHeight="1">
      <c r="A1" s="310" t="s">
        <v>391</v>
      </c>
      <c r="B1" s="311"/>
      <c r="C1" s="311"/>
      <c r="D1" s="311"/>
      <c r="E1" s="311"/>
      <c r="F1" s="311"/>
      <c r="G1" s="311"/>
    </row>
    <row r="2" spans="1:7">
      <c r="A2" s="314" t="s">
        <v>392</v>
      </c>
      <c r="B2" s="315"/>
      <c r="C2" s="315"/>
      <c r="D2" s="315"/>
      <c r="E2" s="315"/>
      <c r="F2" s="315"/>
      <c r="G2" s="315"/>
    </row>
    <row r="4" spans="1:7">
      <c r="A4" s="118" t="s">
        <v>169</v>
      </c>
      <c r="B4" s="118" t="s">
        <v>393</v>
      </c>
      <c r="C4" s="118" t="s">
        <v>321</v>
      </c>
      <c r="D4" s="118" t="s">
        <v>394</v>
      </c>
    </row>
    <row r="5" spans="1:7">
      <c r="A5" s="8" t="s">
        <v>395</v>
      </c>
      <c r="B5" s="8" t="s">
        <v>396</v>
      </c>
      <c r="C5" s="8" t="s">
        <v>366</v>
      </c>
      <c r="D5" s="8">
        <v>74</v>
      </c>
    </row>
    <row r="6" spans="1:7">
      <c r="A6" s="8" t="s">
        <v>397</v>
      </c>
      <c r="B6" s="8" t="s">
        <v>398</v>
      </c>
      <c r="C6" s="8" t="s">
        <v>368</v>
      </c>
      <c r="D6" s="8">
        <v>92</v>
      </c>
    </row>
    <row r="7" spans="1:7">
      <c r="A7" s="8" t="s">
        <v>399</v>
      </c>
      <c r="B7" s="8" t="s">
        <v>396</v>
      </c>
      <c r="C7" s="8" t="s">
        <v>366</v>
      </c>
      <c r="D7" s="8">
        <v>65</v>
      </c>
    </row>
    <row r="8" spans="1:7">
      <c r="A8" s="8" t="s">
        <v>400</v>
      </c>
      <c r="B8" s="8" t="s">
        <v>398</v>
      </c>
      <c r="C8" s="8" t="s">
        <v>371</v>
      </c>
      <c r="D8" s="8">
        <v>82</v>
      </c>
    </row>
    <row r="9" spans="1:7">
      <c r="A9" s="8" t="s">
        <v>401</v>
      </c>
      <c r="B9" s="8" t="s">
        <v>398</v>
      </c>
      <c r="C9" s="8" t="s">
        <v>375</v>
      </c>
      <c r="D9" s="8">
        <v>50</v>
      </c>
    </row>
    <row r="10" spans="1:7">
      <c r="A10" s="8" t="s">
        <v>402</v>
      </c>
      <c r="B10" s="8" t="s">
        <v>398</v>
      </c>
      <c r="C10" s="8" t="s">
        <v>371</v>
      </c>
      <c r="D10" s="8">
        <v>91</v>
      </c>
    </row>
    <row r="11" spans="1:7">
      <c r="A11" s="8" t="s">
        <v>174</v>
      </c>
      <c r="B11" s="8" t="s">
        <v>398</v>
      </c>
      <c r="C11" s="8" t="s">
        <v>366</v>
      </c>
      <c r="D11" s="8">
        <v>96</v>
      </c>
    </row>
    <row r="12" spans="1:7">
      <c r="A12" s="8" t="s">
        <v>403</v>
      </c>
      <c r="B12" s="8" t="s">
        <v>396</v>
      </c>
      <c r="C12" s="8" t="s">
        <v>366</v>
      </c>
      <c r="D12" s="8">
        <v>58</v>
      </c>
    </row>
    <row r="13" spans="1:7">
      <c r="A13" s="8" t="s">
        <v>203</v>
      </c>
      <c r="B13" s="8" t="s">
        <v>396</v>
      </c>
      <c r="C13" s="8" t="s">
        <v>371</v>
      </c>
      <c r="D13" s="8">
        <v>67</v>
      </c>
    </row>
    <row r="14" spans="1:7">
      <c r="A14" s="8" t="s">
        <v>404</v>
      </c>
      <c r="B14" s="8" t="s">
        <v>398</v>
      </c>
      <c r="C14" s="8" t="s">
        <v>368</v>
      </c>
      <c r="D14" s="8">
        <v>54</v>
      </c>
    </row>
    <row r="15" spans="1:7">
      <c r="A15" s="8" t="s">
        <v>176</v>
      </c>
      <c r="B15" s="8" t="s">
        <v>396</v>
      </c>
      <c r="C15" s="8" t="s">
        <v>366</v>
      </c>
      <c r="D15" s="8">
        <v>83</v>
      </c>
    </row>
    <row r="17" spans="1:10" ht="19.5" customHeight="1">
      <c r="A17" s="14" t="s">
        <v>405</v>
      </c>
      <c r="B17" s="14"/>
      <c r="C17" s="14"/>
      <c r="E17" s="49" t="s">
        <v>270</v>
      </c>
      <c r="F17" s="49"/>
      <c r="G17" s="49"/>
      <c r="H17" s="49">
        <f>COUNTIF(B5:B15,B6)</f>
        <v>6</v>
      </c>
      <c r="I17" s="49"/>
    </row>
    <row r="18" spans="1:10" ht="19.5" customHeight="1">
      <c r="A18" s="14" t="s">
        <v>406</v>
      </c>
      <c r="B18" s="14"/>
      <c r="C18" s="14"/>
      <c r="E18" s="49" t="s">
        <v>407</v>
      </c>
      <c r="F18" s="49"/>
      <c r="G18" s="49"/>
      <c r="H18" s="49">
        <f>COUNTIFS(C5:C15,C5,B5:B15,B5)</f>
        <v>4</v>
      </c>
      <c r="I18" s="49"/>
    </row>
    <row r="19" spans="1:10" ht="19.5" customHeight="1">
      <c r="A19" s="14" t="s">
        <v>408</v>
      </c>
      <c r="B19" s="14"/>
      <c r="C19" s="14"/>
      <c r="E19" s="49" t="s">
        <v>75</v>
      </c>
      <c r="F19" s="49"/>
      <c r="G19" s="49"/>
      <c r="H19" s="49" t="str">
        <f>VLOOKUP(A8,$A$4:$D$15,3,0)</f>
        <v>Canada</v>
      </c>
      <c r="I19" s="49" t="str">
        <f>VLOOKUP(A13,$A$4:$D$15,3,0)</f>
        <v>Canada</v>
      </c>
    </row>
    <row r="20" spans="1:10" ht="19.5" customHeight="1">
      <c r="A20" s="14" t="s">
        <v>409</v>
      </c>
      <c r="B20" s="14"/>
      <c r="C20" s="14"/>
      <c r="E20" s="49" t="s">
        <v>410</v>
      </c>
      <c r="F20" s="49"/>
      <c r="G20" s="49"/>
      <c r="H20" s="49"/>
      <c r="I20" s="49"/>
      <c r="J20" s="6">
        <f>SUMIFS(D5:D15,C5:C15,C5,B5:B15,B6)</f>
        <v>96</v>
      </c>
    </row>
    <row r="21" spans="1:10" ht="19.5" customHeight="1">
      <c r="A21" s="14" t="s">
        <v>411</v>
      </c>
      <c r="B21" s="14"/>
      <c r="C21" s="14"/>
      <c r="E21" s="49"/>
      <c r="F21" s="49"/>
      <c r="G21" s="49" t="s">
        <v>412</v>
      </c>
      <c r="H21" s="49"/>
      <c r="I21" s="49"/>
      <c r="J21" s="6">
        <f>SUMIFS(D5:D15,C5:C15,C5,B5:B15,B5)</f>
        <v>280</v>
      </c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G1"/>
    </sheetView>
  </sheetViews>
  <sheetFormatPr defaultColWidth="14.42578125" defaultRowHeight="15" customHeight="1"/>
  <cols>
    <col min="1" max="1" width="11.42578125" customWidth="1"/>
    <col min="2" max="2" width="11.28515625" customWidth="1"/>
    <col min="3" max="3" width="11.85546875" customWidth="1"/>
    <col min="4" max="6" width="8" customWidth="1"/>
    <col min="7" max="7" width="10.140625" customWidth="1"/>
    <col min="8" max="26" width="8" customWidth="1"/>
  </cols>
  <sheetData>
    <row r="1" spans="1:7" ht="18.75" customHeight="1">
      <c r="A1" s="310" t="s">
        <v>413</v>
      </c>
      <c r="B1" s="311"/>
      <c r="C1" s="311"/>
      <c r="D1" s="311"/>
      <c r="E1" s="311"/>
      <c r="F1" s="311"/>
      <c r="G1" s="311"/>
    </row>
    <row r="2" spans="1:7">
      <c r="A2" s="314" t="s">
        <v>414</v>
      </c>
      <c r="B2" s="315"/>
      <c r="C2" s="315"/>
      <c r="D2" s="315"/>
      <c r="E2" s="315"/>
      <c r="F2" s="315"/>
      <c r="G2" s="315"/>
    </row>
    <row r="4" spans="1:7">
      <c r="A4" s="2" t="s">
        <v>415</v>
      </c>
      <c r="B4" s="3" t="s">
        <v>416</v>
      </c>
      <c r="C4" s="4" t="s">
        <v>361</v>
      </c>
      <c r="E4" s="119" t="s">
        <v>415</v>
      </c>
      <c r="F4" s="119" t="s">
        <v>417</v>
      </c>
      <c r="G4" s="119" t="s">
        <v>418</v>
      </c>
    </row>
    <row r="5" spans="1:7">
      <c r="A5" s="7">
        <v>101</v>
      </c>
      <c r="B5" s="8" t="s">
        <v>419</v>
      </c>
      <c r="C5" s="34" t="s">
        <v>420</v>
      </c>
      <c r="E5" s="8">
        <v>104</v>
      </c>
      <c r="F5" s="9"/>
      <c r="G5" s="9"/>
    </row>
    <row r="6" spans="1:7">
      <c r="A6" s="7">
        <v>102</v>
      </c>
      <c r="B6" s="8" t="s">
        <v>421</v>
      </c>
      <c r="C6" s="34" t="s">
        <v>422</v>
      </c>
      <c r="E6" s="8">
        <v>103</v>
      </c>
      <c r="F6" s="9"/>
      <c r="G6" s="9"/>
    </row>
    <row r="7" spans="1:7">
      <c r="A7" s="7">
        <v>103</v>
      </c>
      <c r="B7" s="8" t="s">
        <v>421</v>
      </c>
      <c r="C7" s="34" t="s">
        <v>423</v>
      </c>
      <c r="E7" s="8">
        <v>104</v>
      </c>
      <c r="F7" s="9"/>
      <c r="G7" s="9"/>
    </row>
    <row r="8" spans="1:7">
      <c r="A8" s="12">
        <v>104</v>
      </c>
      <c r="B8" s="13" t="s">
        <v>424</v>
      </c>
      <c r="C8" s="117" t="s">
        <v>425</v>
      </c>
      <c r="E8" s="8">
        <v>101</v>
      </c>
      <c r="F8" s="9"/>
      <c r="G8" s="9"/>
    </row>
    <row r="9" spans="1:7">
      <c r="E9" s="8">
        <v>102</v>
      </c>
      <c r="F9" s="9"/>
      <c r="G9" s="9"/>
    </row>
    <row r="10" spans="1:7">
      <c r="A10" s="14" t="s">
        <v>426</v>
      </c>
      <c r="E10" s="8">
        <v>103</v>
      </c>
      <c r="F10" s="9"/>
      <c r="G10" s="9"/>
    </row>
    <row r="11" spans="1:7">
      <c r="E11" s="8">
        <v>101</v>
      </c>
      <c r="F11" s="9"/>
      <c r="G11" s="9"/>
    </row>
    <row r="12" spans="1:7">
      <c r="E12" s="8">
        <v>104</v>
      </c>
      <c r="F12" s="9"/>
      <c r="G12" s="9"/>
    </row>
    <row r="13" spans="1:7">
      <c r="E13" s="8">
        <v>101</v>
      </c>
      <c r="F13" s="9"/>
      <c r="G13" s="9"/>
    </row>
    <row r="14" spans="1:7">
      <c r="E14" s="8">
        <v>102</v>
      </c>
      <c r="F14" s="9"/>
      <c r="G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sqref="A1:G1"/>
    </sheetView>
  </sheetViews>
  <sheetFormatPr defaultColWidth="14.42578125" defaultRowHeight="15" customHeight="1"/>
  <cols>
    <col min="1" max="1" width="8" customWidth="1"/>
    <col min="2" max="2" width="10.85546875" customWidth="1"/>
    <col min="3" max="3" width="11.28515625" customWidth="1"/>
    <col min="4" max="4" width="10.140625" customWidth="1"/>
    <col min="5" max="5" width="11" customWidth="1"/>
    <col min="6" max="7" width="8" customWidth="1"/>
    <col min="8" max="8" width="32.85546875" customWidth="1"/>
    <col min="9" max="26" width="8" customWidth="1"/>
  </cols>
  <sheetData>
    <row r="1" spans="1:12" ht="18.75" customHeight="1">
      <c r="A1" s="310" t="s">
        <v>427</v>
      </c>
      <c r="B1" s="311"/>
      <c r="C1" s="311"/>
      <c r="D1" s="311"/>
      <c r="E1" s="311"/>
      <c r="F1" s="311"/>
      <c r="G1" s="311"/>
    </row>
    <row r="2" spans="1:12">
      <c r="A2" s="314" t="s">
        <v>428</v>
      </c>
      <c r="B2" s="315"/>
      <c r="C2" s="315"/>
      <c r="D2" s="315"/>
      <c r="E2" s="315"/>
      <c r="F2" s="315"/>
      <c r="G2" s="315"/>
    </row>
    <row r="5" spans="1:12">
      <c r="A5" s="120" t="s">
        <v>415</v>
      </c>
      <c r="B5" s="121">
        <v>101</v>
      </c>
      <c r="C5" s="121">
        <v>102</v>
      </c>
      <c r="D5" s="121">
        <v>103</v>
      </c>
      <c r="E5" s="121">
        <v>104</v>
      </c>
      <c r="L5" s="6" t="str">
        <f>VLOOKUP(A6,A6:E7,4)</f>
        <v>Logitech</v>
      </c>
    </row>
    <row r="6" spans="1:12">
      <c r="A6" s="38" t="s">
        <v>416</v>
      </c>
      <c r="B6" s="9" t="s">
        <v>419</v>
      </c>
      <c r="C6" s="9" t="s">
        <v>421</v>
      </c>
      <c r="D6" s="9" t="s">
        <v>421</v>
      </c>
      <c r="E6" s="9" t="s">
        <v>424</v>
      </c>
    </row>
    <row r="7" spans="1:12">
      <c r="A7" s="38" t="s">
        <v>361</v>
      </c>
      <c r="B7" s="9" t="s">
        <v>420</v>
      </c>
      <c r="C7" s="9" t="s">
        <v>422</v>
      </c>
      <c r="D7" s="9" t="s">
        <v>423</v>
      </c>
      <c r="E7" s="9" t="s">
        <v>425</v>
      </c>
      <c r="H7" s="6" t="str">
        <f>HLOOKUP(C5,A5:E7,3)</f>
        <v>Keyboard</v>
      </c>
    </row>
    <row r="9" spans="1:12">
      <c r="A9" s="122" t="s">
        <v>415</v>
      </c>
      <c r="B9" s="122" t="s">
        <v>361</v>
      </c>
      <c r="C9" s="123" t="str">
        <f>A6</f>
        <v>Brand</v>
      </c>
    </row>
    <row r="10" spans="1:12">
      <c r="A10" s="8">
        <v>104</v>
      </c>
      <c r="B10" s="8" t="str">
        <f t="shared" ref="B10:B19" si="0">HLOOKUP(A10,$A$5:$E$7,3,0)</f>
        <v>Printer</v>
      </c>
      <c r="C10" s="38" t="str">
        <f t="shared" ref="C10:C19" si="1">HLOOKUP(A10,$A$5:$E$7,2,0)</f>
        <v>HP</v>
      </c>
    </row>
    <row r="11" spans="1:12">
      <c r="A11" s="8">
        <v>103</v>
      </c>
      <c r="B11" s="8" t="str">
        <f t="shared" si="0"/>
        <v>Mouse</v>
      </c>
      <c r="C11" s="38" t="str">
        <f t="shared" si="1"/>
        <v>Logitech</v>
      </c>
    </row>
    <row r="12" spans="1:12">
      <c r="A12" s="8">
        <v>104</v>
      </c>
      <c r="B12" s="8" t="str">
        <f t="shared" si="0"/>
        <v>Printer</v>
      </c>
      <c r="C12" s="38" t="str">
        <f t="shared" si="1"/>
        <v>HP</v>
      </c>
    </row>
    <row r="13" spans="1:12">
      <c r="A13" s="8">
        <v>101</v>
      </c>
      <c r="B13" s="8" t="str">
        <f t="shared" si="0"/>
        <v>Computer</v>
      </c>
      <c r="C13" s="38" t="str">
        <f t="shared" si="1"/>
        <v>Dell</v>
      </c>
    </row>
    <row r="14" spans="1:12">
      <c r="A14" s="8">
        <v>102</v>
      </c>
      <c r="B14" s="8" t="str">
        <f t="shared" si="0"/>
        <v>Keyboard</v>
      </c>
      <c r="C14" s="38" t="str">
        <f t="shared" si="1"/>
        <v>Logitech</v>
      </c>
    </row>
    <row r="15" spans="1:12">
      <c r="A15" s="8">
        <v>103</v>
      </c>
      <c r="B15" s="8" t="str">
        <f t="shared" si="0"/>
        <v>Mouse</v>
      </c>
      <c r="C15" s="38" t="str">
        <f t="shared" si="1"/>
        <v>Logitech</v>
      </c>
    </row>
    <row r="16" spans="1:12">
      <c r="A16" s="8">
        <v>101</v>
      </c>
      <c r="B16" s="8" t="str">
        <f t="shared" si="0"/>
        <v>Computer</v>
      </c>
      <c r="C16" s="38" t="str">
        <f t="shared" si="1"/>
        <v>Dell</v>
      </c>
    </row>
    <row r="17" spans="1:3">
      <c r="A17" s="8">
        <v>104</v>
      </c>
      <c r="B17" s="8" t="str">
        <f t="shared" si="0"/>
        <v>Printer</v>
      </c>
      <c r="C17" s="38" t="str">
        <f t="shared" si="1"/>
        <v>HP</v>
      </c>
    </row>
    <row r="18" spans="1:3">
      <c r="A18" s="8">
        <v>101</v>
      </c>
      <c r="B18" s="8" t="str">
        <f t="shared" si="0"/>
        <v>Computer</v>
      </c>
      <c r="C18" s="38" t="str">
        <f t="shared" si="1"/>
        <v>Dell</v>
      </c>
    </row>
    <row r="19" spans="1:3">
      <c r="A19" s="8">
        <v>102</v>
      </c>
      <c r="B19" s="8" t="str">
        <f t="shared" si="0"/>
        <v>Keyboard</v>
      </c>
      <c r="C19" s="38" t="str">
        <f t="shared" si="1"/>
        <v>Logitech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G1"/>
    </sheetView>
  </sheetViews>
  <sheetFormatPr defaultColWidth="14.42578125" defaultRowHeight="15" customHeight="1"/>
  <cols>
    <col min="1" max="26" width="8" customWidth="1"/>
  </cols>
  <sheetData>
    <row r="1" spans="1:7" ht="18.75" customHeight="1">
      <c r="A1" s="310" t="s">
        <v>429</v>
      </c>
      <c r="B1" s="311"/>
      <c r="C1" s="311"/>
      <c r="D1" s="311"/>
      <c r="E1" s="311"/>
      <c r="F1" s="311"/>
      <c r="G1" s="311"/>
    </row>
    <row r="2" spans="1:7">
      <c r="A2" s="314" t="s">
        <v>430</v>
      </c>
      <c r="B2" s="315"/>
      <c r="C2" s="315"/>
      <c r="D2" s="315"/>
      <c r="E2" s="315"/>
      <c r="F2" s="315"/>
      <c r="G2" s="315"/>
    </row>
    <row r="4" spans="1:7">
      <c r="A4" s="124" t="s">
        <v>431</v>
      </c>
      <c r="B4" s="125" t="s">
        <v>298</v>
      </c>
      <c r="C4" s="125" t="s">
        <v>432</v>
      </c>
      <c r="D4" s="125" t="s">
        <v>300</v>
      </c>
    </row>
    <row r="5" spans="1:7">
      <c r="A5" s="126" t="s">
        <v>433</v>
      </c>
      <c r="B5" s="127">
        <v>5535</v>
      </c>
      <c r="C5" s="127">
        <v>5414</v>
      </c>
      <c r="D5" s="127">
        <v>9027</v>
      </c>
    </row>
    <row r="6" spans="1:7">
      <c r="A6" s="126" t="s">
        <v>434</v>
      </c>
      <c r="B6" s="127">
        <v>5013</v>
      </c>
      <c r="C6" s="127">
        <v>5107</v>
      </c>
      <c r="D6" s="127">
        <v>11667</v>
      </c>
    </row>
    <row r="7" spans="1:7">
      <c r="A7" s="126" t="s">
        <v>435</v>
      </c>
      <c r="B7" s="127">
        <v>6597</v>
      </c>
      <c r="C7" s="127">
        <v>3858</v>
      </c>
      <c r="D7" s="127">
        <v>1507</v>
      </c>
    </row>
    <row r="8" spans="1:7">
      <c r="A8" s="126" t="s">
        <v>436</v>
      </c>
      <c r="B8" s="127">
        <v>3195</v>
      </c>
      <c r="C8" s="127">
        <v>3654</v>
      </c>
      <c r="D8" s="127">
        <v>7225</v>
      </c>
    </row>
    <row r="10" spans="1:7">
      <c r="A10" s="128" t="s">
        <v>435</v>
      </c>
      <c r="B10" s="125" t="s">
        <v>300</v>
      </c>
      <c r="C10" s="128">
        <f t="array" ref="C10">INDEX(A4:D8,MATCH(A10,A4:A8,0),MATCH(B10,A4:D4,0))</f>
        <v>1507</v>
      </c>
    </row>
    <row r="11" spans="1:7">
      <c r="A11" s="8" t="str">
        <f>A8</f>
        <v>West</v>
      </c>
      <c r="B11" s="9" t="s">
        <v>432</v>
      </c>
      <c r="C11" s="9" t="e">
        <f t="shared" ref="C11:C13" si="0">INDEX($A$4:$D$8,MATCH($A11,$A$4:$A$8,MATCH($B11,$A$4:$D$4,0)))</f>
        <v>#REF!</v>
      </c>
      <c r="D11" s="129">
        <v>3195</v>
      </c>
      <c r="E11" s="130">
        <v>3654</v>
      </c>
      <c r="F11" s="130">
        <v>7225</v>
      </c>
    </row>
    <row r="12" spans="1:7">
      <c r="A12" s="8" t="str">
        <f>A6</f>
        <v>South</v>
      </c>
      <c r="B12" s="9" t="s">
        <v>298</v>
      </c>
      <c r="C12" s="9" t="e">
        <f t="shared" si="0"/>
        <v>#REF!</v>
      </c>
      <c r="D12" s="129">
        <v>6597</v>
      </c>
      <c r="E12" s="130">
        <v>3858</v>
      </c>
      <c r="F12" s="130">
        <v>1507</v>
      </c>
    </row>
    <row r="13" spans="1:7">
      <c r="A13" s="8" t="str">
        <f>A5</f>
        <v>North</v>
      </c>
      <c r="B13" s="9" t="s">
        <v>300</v>
      </c>
      <c r="C13" s="9" t="e">
        <f t="shared" si="0"/>
        <v>#N/A</v>
      </c>
      <c r="D13" s="129">
        <v>5535</v>
      </c>
      <c r="E13" s="130">
        <v>5414</v>
      </c>
      <c r="F13" s="130">
        <v>9027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Z1000"/>
  <sheetViews>
    <sheetView workbookViewId="0">
      <selection sqref="A1:K1"/>
    </sheetView>
  </sheetViews>
  <sheetFormatPr defaultColWidth="14.42578125" defaultRowHeight="15" customHeight="1"/>
  <cols>
    <col min="1" max="1" width="8.28515625" customWidth="1"/>
    <col min="2" max="2" width="11.140625" customWidth="1"/>
    <col min="3" max="5" width="8" customWidth="1"/>
    <col min="6" max="6" width="12.42578125" customWidth="1"/>
    <col min="7" max="7" width="18.42578125" customWidth="1"/>
    <col min="8" max="8" width="10" customWidth="1"/>
    <col min="9" max="9" width="10.85546875" customWidth="1"/>
    <col min="10" max="10" width="8" customWidth="1"/>
    <col min="11" max="11" width="13.7109375" customWidth="1"/>
    <col min="12" max="15" width="8" customWidth="1"/>
    <col min="16" max="16" width="11.7109375" customWidth="1"/>
    <col min="17" max="17" width="17.140625" customWidth="1"/>
    <col min="18" max="26" width="8" customWidth="1"/>
  </cols>
  <sheetData>
    <row r="1" spans="1:26" ht="18.75" customHeight="1">
      <c r="A1" s="310" t="s">
        <v>437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</row>
    <row r="2" spans="1:26">
      <c r="A2" s="313" t="s">
        <v>438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</row>
    <row r="4" spans="1:26" ht="45" customHeight="1">
      <c r="A4" s="131" t="s">
        <v>439</v>
      </c>
      <c r="B4" s="131" t="s">
        <v>440</v>
      </c>
      <c r="C4" s="131" t="s">
        <v>441</v>
      </c>
      <c r="D4" s="131" t="s">
        <v>442</v>
      </c>
      <c r="E4" s="131" t="s">
        <v>443</v>
      </c>
      <c r="F4" s="131" t="s">
        <v>444</v>
      </c>
      <c r="G4" s="131" t="s">
        <v>445</v>
      </c>
      <c r="H4" s="131" t="s">
        <v>297</v>
      </c>
      <c r="I4" s="131" t="s">
        <v>446</v>
      </c>
      <c r="J4" s="131" t="s">
        <v>447</v>
      </c>
      <c r="K4" s="132" t="s">
        <v>448</v>
      </c>
      <c r="N4" s="6">
        <f ca="1">IFERROR(__xludf.DUMMYFUNCTION("FILTER(A9:K29,(H9:H29=H5)*(E9:E29=E5))"),1)</f>
        <v>1</v>
      </c>
      <c r="O4" s="133">
        <f ca="1">IFERROR(__xludf.DUMMYFUNCTION("""COMPUTED_VALUE"""),43039)</f>
        <v>43039</v>
      </c>
      <c r="P4" s="6" t="str">
        <f ca="1">IFERROR(__xludf.DUMMYFUNCTION("""COMPUTED_VALUE"""),"Abhay Gaurav")</f>
        <v>Abhay Gaurav</v>
      </c>
      <c r="Q4" s="6" t="str">
        <f ca="1">IFERROR(__xludf.DUMMYFUNCTION("""COMPUTED_VALUE"""),"Aakash Harit")</f>
        <v>Aakash Harit</v>
      </c>
      <c r="R4" s="6" t="str">
        <f ca="1">IFERROR(__xludf.DUMMYFUNCTION("""COMPUTED_VALUE"""),"Chloe Jones")</f>
        <v>Chloe Jones</v>
      </c>
      <c r="S4" s="6" t="str">
        <f ca="1">IFERROR(__xludf.DUMMYFUNCTION("""COMPUTED_VALUE"""),"919-555-8658")</f>
        <v>919-555-8658</v>
      </c>
      <c r="T4" s="6" t="str">
        <f ca="1">IFERROR(__xludf.DUMMYFUNCTION("""COMPUTED_VALUE"""),"lo@email.com")</f>
        <v>lo@email.com</v>
      </c>
      <c r="U4" s="6" t="str">
        <f ca="1">IFERROR(__xludf.DUMMYFUNCTION("""COMPUTED_VALUE"""),"Apple")</f>
        <v>Apple</v>
      </c>
      <c r="V4" s="134">
        <f ca="1">IFERROR(__xludf.DUMMYFUNCTION("""COMPUTED_VALUE"""),14)</f>
        <v>14</v>
      </c>
      <c r="W4" s="135">
        <f ca="1">IFERROR(__xludf.DUMMYFUNCTION("""COMPUTED_VALUE"""),76)</f>
        <v>76</v>
      </c>
      <c r="X4" s="136">
        <f ca="1">IFERROR(__xludf.DUMMYFUNCTION("""COMPUTED_VALUE"""),1064)</f>
        <v>1064</v>
      </c>
    </row>
    <row r="5" spans="1:26" ht="30" customHeight="1">
      <c r="A5" s="137"/>
      <c r="B5" s="8"/>
      <c r="C5" s="138"/>
      <c r="D5" s="138"/>
      <c r="E5" s="138" t="s">
        <v>449</v>
      </c>
      <c r="F5" s="8"/>
      <c r="G5" s="8"/>
      <c r="H5" s="137" t="s">
        <v>377</v>
      </c>
      <c r="I5" s="8"/>
      <c r="J5" s="9"/>
      <c r="K5" s="137"/>
      <c r="N5" s="6">
        <f ca="1">IFERROR(__xludf.DUMMYFUNCTION("""COMPUTED_VALUE"""),9)</f>
        <v>9</v>
      </c>
      <c r="O5" s="133">
        <f ca="1">IFERROR(__xludf.DUMMYFUNCTION("""COMPUTED_VALUE"""),43049)</f>
        <v>43049</v>
      </c>
      <c r="P5" s="6" t="str">
        <f ca="1">IFERROR(__xludf.DUMMYFUNCTION("""COMPUTED_VALUE"""),"Nishu Kumari")</f>
        <v>Nishu Kumari</v>
      </c>
      <c r="Q5" s="6" t="str">
        <f ca="1">IFERROR(__xludf.DUMMYFUNCTION("""COMPUTED_VALUE"""),"Aakash Harit")</f>
        <v>Aakash Harit</v>
      </c>
      <c r="R5" s="6" t="str">
        <f ca="1">IFERROR(__xludf.DUMMYFUNCTION("""COMPUTED_VALUE"""),"Chloe Jones")</f>
        <v>Chloe Jones</v>
      </c>
      <c r="S5" s="6" t="str">
        <f ca="1">IFERROR(__xludf.DUMMYFUNCTION("""COMPUTED_VALUE"""),"919-555-8658")</f>
        <v>919-555-8658</v>
      </c>
      <c r="T5" s="6" t="str">
        <f ca="1">IFERROR(__xludf.DUMMYFUNCTION("""COMPUTED_VALUE"""),"lo@email.com")</f>
        <v>lo@email.com</v>
      </c>
      <c r="U5" s="6" t="str">
        <f ca="1">IFERROR(__xludf.DUMMYFUNCTION("""COMPUTED_VALUE"""),"Apple")</f>
        <v>Apple</v>
      </c>
      <c r="V5" s="134">
        <f ca="1">IFERROR(__xludf.DUMMYFUNCTION("""COMPUTED_VALUE"""),14)</f>
        <v>14</v>
      </c>
      <c r="W5" s="135">
        <f ca="1">IFERROR(__xludf.DUMMYFUNCTION("""COMPUTED_VALUE"""),15)</f>
        <v>15</v>
      </c>
      <c r="X5" s="136">
        <f ca="1">IFERROR(__xludf.DUMMYFUNCTION("""COMPUTED_VALUE"""),210)</f>
        <v>210</v>
      </c>
    </row>
    <row r="6" spans="1:26">
      <c r="A6" s="137"/>
      <c r="B6" s="8"/>
      <c r="C6" s="138"/>
      <c r="D6" s="8"/>
      <c r="E6" s="8"/>
      <c r="F6" s="8"/>
      <c r="G6" s="8"/>
      <c r="H6" s="137"/>
      <c r="I6" s="8"/>
      <c r="J6" s="8"/>
      <c r="K6" s="137"/>
    </row>
    <row r="7" spans="1:26">
      <c r="A7" s="139"/>
    </row>
    <row r="8" spans="1:26">
      <c r="A8" s="139"/>
    </row>
    <row r="9" spans="1:26" ht="45" customHeight="1">
      <c r="A9" s="140" t="s">
        <v>439</v>
      </c>
      <c r="B9" s="141" t="s">
        <v>440</v>
      </c>
      <c r="C9" s="141" t="s">
        <v>441</v>
      </c>
      <c r="D9" s="141" t="s">
        <v>442</v>
      </c>
      <c r="E9" s="141" t="s">
        <v>443</v>
      </c>
      <c r="F9" s="141" t="s">
        <v>444</v>
      </c>
      <c r="G9" s="141" t="s">
        <v>445</v>
      </c>
      <c r="H9" s="141" t="s">
        <v>297</v>
      </c>
      <c r="I9" s="141" t="s">
        <v>446</v>
      </c>
      <c r="J9" s="141" t="s">
        <v>447</v>
      </c>
      <c r="K9" s="142" t="s">
        <v>448</v>
      </c>
      <c r="P9" s="6">
        <f ca="1">IFERROR(__xludf.DUMMYFUNCTION("FILTER(A9:K29,(H9:H29=""Apple"")*(E9:E29=E5))"),1)</f>
        <v>1</v>
      </c>
      <c r="Q9" s="133">
        <f ca="1">IFERROR(__xludf.DUMMYFUNCTION("""COMPUTED_VALUE"""),43039)</f>
        <v>43039</v>
      </c>
      <c r="R9" s="6" t="str">
        <f ca="1">IFERROR(__xludf.DUMMYFUNCTION("""COMPUTED_VALUE"""),"Abhay Gaurav")</f>
        <v>Abhay Gaurav</v>
      </c>
      <c r="S9" s="6" t="str">
        <f ca="1">IFERROR(__xludf.DUMMYFUNCTION("""COMPUTED_VALUE"""),"Aakash Harit")</f>
        <v>Aakash Harit</v>
      </c>
      <c r="T9" s="6" t="str">
        <f ca="1">IFERROR(__xludf.DUMMYFUNCTION("""COMPUTED_VALUE"""),"Chloe Jones")</f>
        <v>Chloe Jones</v>
      </c>
      <c r="U9" s="6" t="str">
        <f ca="1">IFERROR(__xludf.DUMMYFUNCTION("""COMPUTED_VALUE"""),"919-555-8658")</f>
        <v>919-555-8658</v>
      </c>
      <c r="V9" s="6" t="str">
        <f ca="1">IFERROR(__xludf.DUMMYFUNCTION("""COMPUTED_VALUE"""),"lo@email.com")</f>
        <v>lo@email.com</v>
      </c>
      <c r="W9" s="6" t="str">
        <f ca="1">IFERROR(__xludf.DUMMYFUNCTION("""COMPUTED_VALUE"""),"Apple")</f>
        <v>Apple</v>
      </c>
      <c r="X9" s="134">
        <f ca="1">IFERROR(__xludf.DUMMYFUNCTION("""COMPUTED_VALUE"""),14)</f>
        <v>14</v>
      </c>
      <c r="Y9" s="135">
        <f ca="1">IFERROR(__xludf.DUMMYFUNCTION("""COMPUTED_VALUE"""),76)</f>
        <v>76</v>
      </c>
      <c r="Z9" s="136">
        <f ca="1">IFERROR(__xludf.DUMMYFUNCTION("""COMPUTED_VALUE"""),1064)</f>
        <v>1064</v>
      </c>
    </row>
    <row r="10" spans="1:26" ht="30" customHeight="1">
      <c r="A10" s="137">
        <v>1</v>
      </c>
      <c r="B10" s="46">
        <v>43039</v>
      </c>
      <c r="C10" s="138" t="s">
        <v>450</v>
      </c>
      <c r="D10" s="138" t="s">
        <v>451</v>
      </c>
      <c r="E10" s="138" t="s">
        <v>449</v>
      </c>
      <c r="F10" s="8" t="s">
        <v>452</v>
      </c>
      <c r="G10" s="8" t="s">
        <v>453</v>
      </c>
      <c r="H10" s="8" t="s">
        <v>377</v>
      </c>
      <c r="I10" s="143">
        <v>14</v>
      </c>
      <c r="J10" s="144">
        <v>76</v>
      </c>
      <c r="K10" s="145">
        <v>1064</v>
      </c>
      <c r="P10" s="6">
        <f ca="1">IFERROR(__xludf.DUMMYFUNCTION("""COMPUTED_VALUE"""),9)</f>
        <v>9</v>
      </c>
      <c r="Q10" s="133">
        <f ca="1">IFERROR(__xludf.DUMMYFUNCTION("""COMPUTED_VALUE"""),43049)</f>
        <v>43049</v>
      </c>
      <c r="R10" s="6" t="str">
        <f ca="1">IFERROR(__xludf.DUMMYFUNCTION("""COMPUTED_VALUE"""),"Nishu Kumari")</f>
        <v>Nishu Kumari</v>
      </c>
      <c r="S10" s="6" t="str">
        <f ca="1">IFERROR(__xludf.DUMMYFUNCTION("""COMPUTED_VALUE"""),"Aakash Harit")</f>
        <v>Aakash Harit</v>
      </c>
      <c r="T10" s="6" t="str">
        <f ca="1">IFERROR(__xludf.DUMMYFUNCTION("""COMPUTED_VALUE"""),"Chloe Jones")</f>
        <v>Chloe Jones</v>
      </c>
      <c r="U10" s="6" t="str">
        <f ca="1">IFERROR(__xludf.DUMMYFUNCTION("""COMPUTED_VALUE"""),"919-555-8658")</f>
        <v>919-555-8658</v>
      </c>
      <c r="V10" s="6" t="str">
        <f ca="1">IFERROR(__xludf.DUMMYFUNCTION("""COMPUTED_VALUE"""),"lo@email.com")</f>
        <v>lo@email.com</v>
      </c>
      <c r="W10" s="6" t="str">
        <f ca="1">IFERROR(__xludf.DUMMYFUNCTION("""COMPUTED_VALUE"""),"Apple")</f>
        <v>Apple</v>
      </c>
      <c r="X10" s="134">
        <f ca="1">IFERROR(__xludf.DUMMYFUNCTION("""COMPUTED_VALUE"""),14)</f>
        <v>14</v>
      </c>
      <c r="Y10" s="135">
        <f ca="1">IFERROR(__xludf.DUMMYFUNCTION("""COMPUTED_VALUE"""),15)</f>
        <v>15</v>
      </c>
      <c r="Z10" s="136">
        <f ca="1">IFERROR(__xludf.DUMMYFUNCTION("""COMPUTED_VALUE"""),210)</f>
        <v>210</v>
      </c>
    </row>
    <row r="11" spans="1:26" ht="30" customHeight="1">
      <c r="A11" s="137">
        <v>2</v>
      </c>
      <c r="B11" s="46">
        <v>42912</v>
      </c>
      <c r="C11" s="138" t="s">
        <v>454</v>
      </c>
      <c r="D11" s="138" t="s">
        <v>451</v>
      </c>
      <c r="E11" s="138" t="s">
        <v>455</v>
      </c>
      <c r="F11" s="8" t="s">
        <v>456</v>
      </c>
      <c r="G11" s="8" t="s">
        <v>457</v>
      </c>
      <c r="H11" s="8" t="s">
        <v>369</v>
      </c>
      <c r="I11" s="143">
        <v>3</v>
      </c>
      <c r="J11" s="144">
        <v>33</v>
      </c>
      <c r="K11" s="145">
        <v>99</v>
      </c>
    </row>
    <row r="12" spans="1:26" ht="30" customHeight="1">
      <c r="A12" s="137">
        <v>3</v>
      </c>
      <c r="B12" s="46">
        <v>42755</v>
      </c>
      <c r="C12" s="138" t="s">
        <v>450</v>
      </c>
      <c r="D12" s="138" t="s">
        <v>451</v>
      </c>
      <c r="E12" s="138" t="s">
        <v>458</v>
      </c>
      <c r="F12" s="8" t="s">
        <v>459</v>
      </c>
      <c r="G12" s="8" t="s">
        <v>460</v>
      </c>
      <c r="H12" s="8" t="s">
        <v>369</v>
      </c>
      <c r="I12" s="143">
        <v>3</v>
      </c>
      <c r="J12" s="144">
        <v>73</v>
      </c>
      <c r="K12" s="145">
        <v>219</v>
      </c>
    </row>
    <row r="13" spans="1:26" ht="30" customHeight="1">
      <c r="A13" s="137">
        <v>4</v>
      </c>
      <c r="B13" s="46">
        <v>43081</v>
      </c>
      <c r="C13" s="138" t="s">
        <v>461</v>
      </c>
      <c r="D13" s="138" t="s">
        <v>451</v>
      </c>
      <c r="E13" s="138" t="s">
        <v>455</v>
      </c>
      <c r="F13" s="8" t="s">
        <v>456</v>
      </c>
      <c r="G13" s="8" t="s">
        <v>457</v>
      </c>
      <c r="H13" s="8" t="s">
        <v>377</v>
      </c>
      <c r="I13" s="143">
        <v>14</v>
      </c>
      <c r="J13" s="144">
        <v>44</v>
      </c>
      <c r="K13" s="145">
        <v>616</v>
      </c>
      <c r="O13" s="6">
        <f ca="1">IFERROR(__xludf.DUMMYFUNCTION("filter(A9:K29,(E9:E29=E5) *(H9:H29=H5))"),1)</f>
        <v>1</v>
      </c>
      <c r="P13" s="133">
        <f ca="1">IFERROR(__xludf.DUMMYFUNCTION("""COMPUTED_VALUE"""),43039)</f>
        <v>43039</v>
      </c>
      <c r="Q13" s="6" t="str">
        <f ca="1">IFERROR(__xludf.DUMMYFUNCTION("""COMPUTED_VALUE"""),"Abhay Gaurav")</f>
        <v>Abhay Gaurav</v>
      </c>
      <c r="R13" s="6" t="str">
        <f ca="1">IFERROR(__xludf.DUMMYFUNCTION("""COMPUTED_VALUE"""),"Aakash Harit")</f>
        <v>Aakash Harit</v>
      </c>
      <c r="S13" s="6" t="str">
        <f ca="1">IFERROR(__xludf.DUMMYFUNCTION("""COMPUTED_VALUE"""),"Chloe Jones")</f>
        <v>Chloe Jones</v>
      </c>
      <c r="T13" s="6" t="str">
        <f ca="1">IFERROR(__xludf.DUMMYFUNCTION("""COMPUTED_VALUE"""),"919-555-8658")</f>
        <v>919-555-8658</v>
      </c>
      <c r="U13" s="6" t="str">
        <f ca="1">IFERROR(__xludf.DUMMYFUNCTION("""COMPUTED_VALUE"""),"lo@email.com")</f>
        <v>lo@email.com</v>
      </c>
      <c r="V13" s="6" t="str">
        <f ca="1">IFERROR(__xludf.DUMMYFUNCTION("""COMPUTED_VALUE"""),"Apple")</f>
        <v>Apple</v>
      </c>
      <c r="W13" s="134">
        <f ca="1">IFERROR(__xludf.DUMMYFUNCTION("""COMPUTED_VALUE"""),14)</f>
        <v>14</v>
      </c>
      <c r="X13" s="135">
        <f ca="1">IFERROR(__xludf.DUMMYFUNCTION("""COMPUTED_VALUE"""),76)</f>
        <v>76</v>
      </c>
      <c r="Y13" s="136">
        <f ca="1">IFERROR(__xludf.DUMMYFUNCTION("""COMPUTED_VALUE"""),1064)</f>
        <v>1064</v>
      </c>
    </row>
    <row r="14" spans="1:26" ht="30" customHeight="1">
      <c r="A14" s="137">
        <v>5</v>
      </c>
      <c r="B14" s="46">
        <v>42934</v>
      </c>
      <c r="C14" s="138" t="s">
        <v>450</v>
      </c>
      <c r="D14" s="138" t="s">
        <v>451</v>
      </c>
      <c r="E14" s="138" t="s">
        <v>462</v>
      </c>
      <c r="F14" s="8" t="s">
        <v>463</v>
      </c>
      <c r="G14" s="8" t="s">
        <v>464</v>
      </c>
      <c r="H14" s="8" t="s">
        <v>377</v>
      </c>
      <c r="I14" s="143">
        <v>14</v>
      </c>
      <c r="J14" s="144">
        <v>44</v>
      </c>
      <c r="K14" s="145">
        <v>616</v>
      </c>
      <c r="O14" s="6">
        <f ca="1">IFERROR(__xludf.DUMMYFUNCTION("""COMPUTED_VALUE"""),9)</f>
        <v>9</v>
      </c>
      <c r="P14" s="133">
        <f ca="1">IFERROR(__xludf.DUMMYFUNCTION("""COMPUTED_VALUE"""),43049)</f>
        <v>43049</v>
      </c>
      <c r="Q14" s="6" t="str">
        <f ca="1">IFERROR(__xludf.DUMMYFUNCTION("""COMPUTED_VALUE"""),"Nishu Kumari")</f>
        <v>Nishu Kumari</v>
      </c>
      <c r="R14" s="6" t="str">
        <f ca="1">IFERROR(__xludf.DUMMYFUNCTION("""COMPUTED_VALUE"""),"Aakash Harit")</f>
        <v>Aakash Harit</v>
      </c>
      <c r="S14" s="6" t="str">
        <f ca="1">IFERROR(__xludf.DUMMYFUNCTION("""COMPUTED_VALUE"""),"Chloe Jones")</f>
        <v>Chloe Jones</v>
      </c>
      <c r="T14" s="6" t="str">
        <f ca="1">IFERROR(__xludf.DUMMYFUNCTION("""COMPUTED_VALUE"""),"919-555-8658")</f>
        <v>919-555-8658</v>
      </c>
      <c r="U14" s="6" t="str">
        <f ca="1">IFERROR(__xludf.DUMMYFUNCTION("""COMPUTED_VALUE"""),"lo@email.com")</f>
        <v>lo@email.com</v>
      </c>
      <c r="V14" s="6" t="str">
        <f ca="1">IFERROR(__xludf.DUMMYFUNCTION("""COMPUTED_VALUE"""),"Apple")</f>
        <v>Apple</v>
      </c>
      <c r="W14" s="134">
        <f ca="1">IFERROR(__xludf.DUMMYFUNCTION("""COMPUTED_VALUE"""),14)</f>
        <v>14</v>
      </c>
      <c r="X14" s="135">
        <f ca="1">IFERROR(__xludf.DUMMYFUNCTION("""COMPUTED_VALUE"""),15)</f>
        <v>15</v>
      </c>
      <c r="Y14" s="136">
        <f ca="1">IFERROR(__xludf.DUMMYFUNCTION("""COMPUTED_VALUE"""),210)</f>
        <v>210</v>
      </c>
    </row>
    <row r="15" spans="1:26" ht="30" customHeight="1">
      <c r="A15" s="137">
        <v>6</v>
      </c>
      <c r="B15" s="46">
        <v>42808</v>
      </c>
      <c r="C15" s="138" t="s">
        <v>450</v>
      </c>
      <c r="D15" s="138" t="s">
        <v>451</v>
      </c>
      <c r="E15" s="138" t="s">
        <v>465</v>
      </c>
      <c r="F15" s="8" t="s">
        <v>466</v>
      </c>
      <c r="G15" s="8" t="s">
        <v>467</v>
      </c>
      <c r="H15" s="8" t="s">
        <v>369</v>
      </c>
      <c r="I15" s="143">
        <v>3</v>
      </c>
      <c r="J15" s="144">
        <v>12</v>
      </c>
      <c r="K15" s="145">
        <v>36</v>
      </c>
    </row>
    <row r="16" spans="1:26" ht="30" customHeight="1">
      <c r="A16" s="137">
        <v>7</v>
      </c>
      <c r="B16" s="46">
        <v>43060</v>
      </c>
      <c r="C16" s="138" t="s">
        <v>461</v>
      </c>
      <c r="D16" s="138" t="s">
        <v>451</v>
      </c>
      <c r="E16" s="138" t="s">
        <v>462</v>
      </c>
      <c r="F16" s="8" t="s">
        <v>463</v>
      </c>
      <c r="G16" s="8" t="s">
        <v>464</v>
      </c>
      <c r="H16" s="8" t="s">
        <v>468</v>
      </c>
      <c r="I16" s="143">
        <v>33</v>
      </c>
      <c r="J16" s="144">
        <v>98</v>
      </c>
      <c r="K16" s="145">
        <v>3234</v>
      </c>
    </row>
    <row r="17" spans="1:11" ht="30" customHeight="1">
      <c r="A17" s="137">
        <v>8</v>
      </c>
      <c r="B17" s="46">
        <v>42877</v>
      </c>
      <c r="C17" s="138" t="s">
        <v>461</v>
      </c>
      <c r="D17" s="138" t="s">
        <v>451</v>
      </c>
      <c r="E17" s="138" t="s">
        <v>465</v>
      </c>
      <c r="F17" s="8" t="s">
        <v>466</v>
      </c>
      <c r="G17" s="8" t="s">
        <v>467</v>
      </c>
      <c r="H17" s="8" t="s">
        <v>468</v>
      </c>
      <c r="I17" s="143">
        <v>33</v>
      </c>
      <c r="J17" s="144">
        <v>42</v>
      </c>
      <c r="K17" s="145">
        <v>1386</v>
      </c>
    </row>
    <row r="18" spans="1:11" ht="30" customHeight="1">
      <c r="A18" s="137">
        <v>9</v>
      </c>
      <c r="B18" s="46">
        <v>43049</v>
      </c>
      <c r="C18" s="138" t="s">
        <v>461</v>
      </c>
      <c r="D18" s="138" t="s">
        <v>451</v>
      </c>
      <c r="E18" s="138" t="s">
        <v>449</v>
      </c>
      <c r="F18" s="8" t="s">
        <v>452</v>
      </c>
      <c r="G18" s="8" t="s">
        <v>453</v>
      </c>
      <c r="H18" s="8" t="s">
        <v>377</v>
      </c>
      <c r="I18" s="143">
        <v>14</v>
      </c>
      <c r="J18" s="144">
        <v>15</v>
      </c>
      <c r="K18" s="145">
        <v>210</v>
      </c>
    </row>
    <row r="19" spans="1:11" ht="30" customHeight="1">
      <c r="A19" s="137">
        <v>10</v>
      </c>
      <c r="B19" s="46">
        <v>43038</v>
      </c>
      <c r="C19" s="138" t="s">
        <v>450</v>
      </c>
      <c r="D19" s="138" t="s">
        <v>451</v>
      </c>
      <c r="E19" s="138" t="s">
        <v>458</v>
      </c>
      <c r="F19" s="8" t="s">
        <v>459</v>
      </c>
      <c r="G19" s="8" t="s">
        <v>460</v>
      </c>
      <c r="H19" s="8" t="s">
        <v>317</v>
      </c>
      <c r="I19" s="143">
        <v>24</v>
      </c>
      <c r="J19" s="144">
        <v>40</v>
      </c>
      <c r="K19" s="145">
        <v>960</v>
      </c>
    </row>
    <row r="20" spans="1:11" ht="30" customHeight="1">
      <c r="A20" s="137">
        <v>11</v>
      </c>
      <c r="B20" s="46">
        <v>42885</v>
      </c>
      <c r="C20" s="138" t="s">
        <v>461</v>
      </c>
      <c r="D20" s="138" t="s">
        <v>451</v>
      </c>
      <c r="E20" s="138" t="s">
        <v>455</v>
      </c>
      <c r="F20" s="8" t="s">
        <v>456</v>
      </c>
      <c r="G20" s="8" t="s">
        <v>457</v>
      </c>
      <c r="H20" s="8" t="s">
        <v>317</v>
      </c>
      <c r="I20" s="143">
        <v>24</v>
      </c>
      <c r="J20" s="144">
        <v>71</v>
      </c>
      <c r="K20" s="145">
        <v>1704</v>
      </c>
    </row>
    <row r="21" spans="1:11" ht="30" customHeight="1">
      <c r="A21" s="137">
        <v>12</v>
      </c>
      <c r="B21" s="46">
        <v>42868</v>
      </c>
      <c r="C21" s="138" t="s">
        <v>461</v>
      </c>
      <c r="D21" s="138" t="s">
        <v>451</v>
      </c>
      <c r="E21" s="138" t="s">
        <v>455</v>
      </c>
      <c r="F21" s="8" t="s">
        <v>456</v>
      </c>
      <c r="G21" s="8" t="s">
        <v>457</v>
      </c>
      <c r="H21" s="8" t="s">
        <v>377</v>
      </c>
      <c r="I21" s="143">
        <v>14</v>
      </c>
      <c r="J21" s="144">
        <v>84</v>
      </c>
      <c r="K21" s="145">
        <v>1176</v>
      </c>
    </row>
    <row r="22" spans="1:11" ht="30" customHeight="1">
      <c r="A22" s="137">
        <v>13</v>
      </c>
      <c r="B22" s="46">
        <v>42737</v>
      </c>
      <c r="C22" s="138" t="s">
        <v>454</v>
      </c>
      <c r="D22" s="138" t="s">
        <v>451</v>
      </c>
      <c r="E22" s="138" t="s">
        <v>462</v>
      </c>
      <c r="F22" s="8" t="s">
        <v>463</v>
      </c>
      <c r="G22" s="8" t="s">
        <v>464</v>
      </c>
      <c r="H22" s="8" t="s">
        <v>377</v>
      </c>
      <c r="I22" s="143">
        <v>14</v>
      </c>
      <c r="J22" s="144">
        <v>97</v>
      </c>
      <c r="K22" s="145">
        <v>1358</v>
      </c>
    </row>
    <row r="23" spans="1:11" ht="30" customHeight="1">
      <c r="A23" s="137">
        <v>14</v>
      </c>
      <c r="B23" s="46">
        <v>42994</v>
      </c>
      <c r="C23" s="138" t="s">
        <v>450</v>
      </c>
      <c r="D23" s="138" t="s">
        <v>451</v>
      </c>
      <c r="E23" s="138" t="s">
        <v>465</v>
      </c>
      <c r="F23" s="8" t="s">
        <v>466</v>
      </c>
      <c r="G23" s="8" t="s">
        <v>467</v>
      </c>
      <c r="H23" s="8" t="s">
        <v>369</v>
      </c>
      <c r="I23" s="143">
        <v>3</v>
      </c>
      <c r="J23" s="144">
        <v>28</v>
      </c>
      <c r="K23" s="145">
        <v>84</v>
      </c>
    </row>
    <row r="24" spans="1:11" ht="30" customHeight="1">
      <c r="A24" s="137">
        <v>14</v>
      </c>
      <c r="B24" s="46">
        <v>42994</v>
      </c>
      <c r="C24" s="138" t="s">
        <v>450</v>
      </c>
      <c r="D24" s="138" t="s">
        <v>451</v>
      </c>
      <c r="E24" s="138" t="s">
        <v>465</v>
      </c>
      <c r="F24" s="8" t="s">
        <v>466</v>
      </c>
      <c r="G24" s="8" t="s">
        <v>467</v>
      </c>
      <c r="H24" s="8" t="s">
        <v>369</v>
      </c>
      <c r="I24" s="143">
        <v>3</v>
      </c>
      <c r="J24" s="144">
        <v>28</v>
      </c>
      <c r="K24" s="145">
        <v>84</v>
      </c>
    </row>
    <row r="25" spans="1:11" ht="30" customHeight="1">
      <c r="A25" s="137">
        <v>8</v>
      </c>
      <c r="B25" s="46">
        <v>42877</v>
      </c>
      <c r="C25" s="138" t="s">
        <v>461</v>
      </c>
      <c r="D25" s="138" t="s">
        <v>451</v>
      </c>
      <c r="E25" s="138" t="s">
        <v>465</v>
      </c>
      <c r="F25" s="8" t="s">
        <v>466</v>
      </c>
      <c r="G25" s="8" t="s">
        <v>467</v>
      </c>
      <c r="H25" s="8" t="s">
        <v>468</v>
      </c>
      <c r="I25" s="143">
        <v>33</v>
      </c>
      <c r="J25" s="144">
        <v>42</v>
      </c>
      <c r="K25" s="145">
        <v>1386</v>
      </c>
    </row>
    <row r="26" spans="1:11" ht="30" customHeight="1">
      <c r="A26" s="137">
        <v>17</v>
      </c>
      <c r="B26" s="46">
        <v>42765</v>
      </c>
      <c r="C26" s="138" t="s">
        <v>469</v>
      </c>
      <c r="D26" s="138" t="s">
        <v>470</v>
      </c>
      <c r="E26" s="138" t="s">
        <v>462</v>
      </c>
      <c r="F26" s="8" t="s">
        <v>463</v>
      </c>
      <c r="G26" s="8" t="s">
        <v>464</v>
      </c>
      <c r="H26" s="8" t="s">
        <v>317</v>
      </c>
      <c r="I26" s="143">
        <v>24</v>
      </c>
      <c r="J26" s="144">
        <v>28</v>
      </c>
      <c r="K26" s="145">
        <v>672</v>
      </c>
    </row>
    <row r="27" spans="1:11" ht="30" customHeight="1">
      <c r="A27" s="137">
        <v>5</v>
      </c>
      <c r="B27" s="46">
        <v>42934</v>
      </c>
      <c r="C27" s="138" t="s">
        <v>450</v>
      </c>
      <c r="D27" s="138" t="s">
        <v>451</v>
      </c>
      <c r="E27" s="138" t="s">
        <v>462</v>
      </c>
      <c r="F27" s="8" t="s">
        <v>463</v>
      </c>
      <c r="G27" s="8" t="s">
        <v>464</v>
      </c>
      <c r="H27" s="8" t="s">
        <v>377</v>
      </c>
      <c r="I27" s="143">
        <v>14</v>
      </c>
      <c r="J27" s="144">
        <v>44</v>
      </c>
      <c r="K27" s="145">
        <v>616</v>
      </c>
    </row>
    <row r="28" spans="1:11" ht="30" customHeight="1">
      <c r="A28" s="137">
        <v>19</v>
      </c>
      <c r="B28" s="46">
        <v>42944</v>
      </c>
      <c r="C28" s="138" t="s">
        <v>469</v>
      </c>
      <c r="D28" s="138" t="s">
        <v>470</v>
      </c>
      <c r="E28" s="138" t="s">
        <v>458</v>
      </c>
      <c r="F28" s="8" t="s">
        <v>459</v>
      </c>
      <c r="G28" s="8" t="s">
        <v>460</v>
      </c>
      <c r="H28" s="8" t="s">
        <v>468</v>
      </c>
      <c r="I28" s="143">
        <v>33</v>
      </c>
      <c r="J28" s="144">
        <v>14</v>
      </c>
      <c r="K28" s="145">
        <v>462</v>
      </c>
    </row>
    <row r="29" spans="1:11" ht="30" customHeight="1">
      <c r="A29" s="137">
        <v>20</v>
      </c>
      <c r="B29" s="46">
        <v>42818</v>
      </c>
      <c r="C29" s="138" t="s">
        <v>469</v>
      </c>
      <c r="D29" s="138" t="s">
        <v>470</v>
      </c>
      <c r="E29" s="138" t="s">
        <v>455</v>
      </c>
      <c r="F29" s="8" t="s">
        <v>456</v>
      </c>
      <c r="G29" s="8" t="s">
        <v>457</v>
      </c>
      <c r="H29" s="8" t="s">
        <v>377</v>
      </c>
      <c r="I29" s="143">
        <v>14</v>
      </c>
      <c r="J29" s="144">
        <v>48</v>
      </c>
      <c r="K29" s="145">
        <v>672</v>
      </c>
    </row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1"/>
  <mergeCells count="2">
    <mergeCell ref="A1:K1"/>
    <mergeCell ref="A2:K2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sqref="A1:H1"/>
    </sheetView>
  </sheetViews>
  <sheetFormatPr defaultColWidth="14.42578125" defaultRowHeight="15" customHeight="1"/>
  <cols>
    <col min="1" max="1" width="10.7109375" customWidth="1"/>
    <col min="2" max="2" width="8.42578125" customWidth="1"/>
    <col min="3" max="3" width="11.7109375" customWidth="1"/>
    <col min="4" max="4" width="8.85546875" customWidth="1"/>
    <col min="5" max="7" width="8" customWidth="1"/>
    <col min="8" max="8" width="12.7109375" customWidth="1"/>
    <col min="9" max="26" width="8" customWidth="1"/>
  </cols>
  <sheetData>
    <row r="1" spans="1:8" ht="18.75" customHeight="1">
      <c r="A1" s="310" t="s">
        <v>471</v>
      </c>
      <c r="B1" s="311"/>
      <c r="C1" s="311"/>
      <c r="D1" s="311"/>
      <c r="E1" s="311"/>
      <c r="F1" s="311"/>
      <c r="G1" s="311"/>
      <c r="H1" s="311"/>
    </row>
    <row r="2" spans="1:8">
      <c r="A2" s="314" t="s">
        <v>472</v>
      </c>
      <c r="B2" s="315"/>
      <c r="C2" s="315"/>
      <c r="D2" s="315"/>
      <c r="E2" s="315"/>
      <c r="F2" s="315"/>
      <c r="G2" s="315"/>
    </row>
    <row r="4" spans="1:8" ht="15.75" customHeight="1">
      <c r="A4" s="146" t="s">
        <v>473</v>
      </c>
      <c r="B4" s="146" t="s">
        <v>474</v>
      </c>
      <c r="C4" s="146" t="s">
        <v>231</v>
      </c>
      <c r="D4" s="146" t="s">
        <v>475</v>
      </c>
      <c r="E4" s="147"/>
      <c r="F4" s="26"/>
      <c r="G4" s="146" t="s">
        <v>475</v>
      </c>
      <c r="H4" s="146" t="s">
        <v>474</v>
      </c>
    </row>
    <row r="5" spans="1:8" ht="15.75" customHeight="1">
      <c r="A5" s="148" t="s">
        <v>476</v>
      </c>
      <c r="B5" s="149">
        <v>92671</v>
      </c>
      <c r="C5" s="148" t="s">
        <v>320</v>
      </c>
      <c r="D5" s="148" t="s">
        <v>477</v>
      </c>
      <c r="E5" s="147"/>
      <c r="F5" s="26"/>
      <c r="G5" s="148" t="s">
        <v>477</v>
      </c>
      <c r="H5" s="149">
        <f t="array" ref="H5">INDEX($B$2:$B$21,MATCH(G5,$D$2:$D$21,0))</f>
        <v>92671</v>
      </c>
    </row>
    <row r="6" spans="1:8" ht="15.75" customHeight="1">
      <c r="A6" s="148" t="s">
        <v>478</v>
      </c>
      <c r="B6" s="149">
        <v>84120</v>
      </c>
      <c r="C6" s="148" t="s">
        <v>479</v>
      </c>
      <c r="D6" s="148" t="s">
        <v>480</v>
      </c>
      <c r="E6" s="147"/>
      <c r="F6" s="26"/>
      <c r="G6" s="148" t="s">
        <v>480</v>
      </c>
      <c r="H6" s="149" t="s">
        <v>139</v>
      </c>
    </row>
    <row r="7" spans="1:8" ht="15.75" customHeight="1">
      <c r="A7" s="148" t="s">
        <v>481</v>
      </c>
      <c r="B7" s="149">
        <v>50793</v>
      </c>
      <c r="C7" s="148" t="s">
        <v>238</v>
      </c>
      <c r="D7" s="148" t="s">
        <v>482</v>
      </c>
      <c r="E7" s="147"/>
      <c r="F7" s="26"/>
      <c r="G7" s="148" t="s">
        <v>482</v>
      </c>
      <c r="H7" s="149" t="s">
        <v>139</v>
      </c>
    </row>
    <row r="8" spans="1:8" ht="15.75" customHeight="1">
      <c r="A8" s="148" t="s">
        <v>483</v>
      </c>
      <c r="B8" s="149">
        <v>77833</v>
      </c>
      <c r="C8" s="148" t="s">
        <v>484</v>
      </c>
      <c r="D8" s="148" t="s">
        <v>485</v>
      </c>
      <c r="E8" s="147"/>
      <c r="F8" s="26"/>
      <c r="G8" s="148" t="s">
        <v>485</v>
      </c>
      <c r="H8" s="149" t="s">
        <v>139</v>
      </c>
    </row>
    <row r="9" spans="1:8" ht="15.75" customHeight="1">
      <c r="A9" s="148" t="s">
        <v>486</v>
      </c>
      <c r="B9" s="149">
        <v>58914</v>
      </c>
      <c r="C9" s="148" t="s">
        <v>249</v>
      </c>
      <c r="D9" s="148" t="s">
        <v>487</v>
      </c>
      <c r="E9" s="147"/>
      <c r="F9" s="26"/>
      <c r="G9" s="148" t="s">
        <v>487</v>
      </c>
      <c r="H9" s="149" t="s">
        <v>139</v>
      </c>
    </row>
    <row r="10" spans="1:8" ht="15.75" customHeight="1">
      <c r="A10" s="148" t="s">
        <v>488</v>
      </c>
      <c r="B10" s="149">
        <v>51096</v>
      </c>
      <c r="C10" s="148" t="s">
        <v>489</v>
      </c>
      <c r="D10" s="148" t="s">
        <v>490</v>
      </c>
      <c r="E10" s="147"/>
      <c r="F10" s="26"/>
      <c r="G10" s="148" t="s">
        <v>490</v>
      </c>
      <c r="H10" s="149" t="s">
        <v>139</v>
      </c>
    </row>
    <row r="11" spans="1:8" ht="15.75" customHeight="1">
      <c r="A11" s="148" t="s">
        <v>491</v>
      </c>
      <c r="B11" s="149">
        <v>83735</v>
      </c>
      <c r="C11" s="148" t="s">
        <v>238</v>
      </c>
      <c r="D11" s="148" t="s">
        <v>492</v>
      </c>
      <c r="E11" s="147"/>
      <c r="F11" s="26"/>
      <c r="G11" s="148" t="s">
        <v>492</v>
      </c>
      <c r="H11" s="149" t="s">
        <v>139</v>
      </c>
    </row>
    <row r="12" spans="1:8" ht="15.75" customHeight="1">
      <c r="A12" s="148" t="s">
        <v>493</v>
      </c>
      <c r="B12" s="149">
        <v>74418</v>
      </c>
      <c r="C12" s="148" t="s">
        <v>489</v>
      </c>
      <c r="D12" s="148" t="s">
        <v>494</v>
      </c>
      <c r="E12" s="147"/>
      <c r="F12" s="26"/>
      <c r="G12" s="148" t="s">
        <v>494</v>
      </c>
      <c r="H12" s="149" t="s">
        <v>139</v>
      </c>
    </row>
    <row r="13" spans="1:8" ht="15.75" customHeight="1">
      <c r="A13" s="148" t="s">
        <v>495</v>
      </c>
      <c r="B13" s="149">
        <v>51366</v>
      </c>
      <c r="C13" s="148" t="s">
        <v>320</v>
      </c>
      <c r="D13" s="148" t="s">
        <v>496</v>
      </c>
      <c r="E13" s="147"/>
      <c r="F13" s="26"/>
      <c r="G13" s="148" t="s">
        <v>496</v>
      </c>
      <c r="H13" s="149" t="s">
        <v>139</v>
      </c>
    </row>
    <row r="14" spans="1:8" ht="15.75" customHeight="1">
      <c r="A14" s="148" t="s">
        <v>497</v>
      </c>
      <c r="B14" s="149">
        <v>54600</v>
      </c>
      <c r="C14" s="148" t="s">
        <v>249</v>
      </c>
      <c r="D14" s="148" t="s">
        <v>498</v>
      </c>
      <c r="E14" s="147"/>
      <c r="F14" s="26"/>
      <c r="G14" s="148" t="s">
        <v>498</v>
      </c>
      <c r="H14" s="149" t="s">
        <v>139</v>
      </c>
    </row>
    <row r="15" spans="1:8" ht="15.75" customHeight="1">
      <c r="A15" s="148" t="s">
        <v>499</v>
      </c>
      <c r="B15" s="149">
        <v>93509</v>
      </c>
      <c r="C15" s="148" t="s">
        <v>479</v>
      </c>
      <c r="D15" s="148" t="s">
        <v>500</v>
      </c>
      <c r="E15" s="147"/>
      <c r="F15" s="26"/>
      <c r="G15" s="148" t="s">
        <v>500</v>
      </c>
      <c r="H15" s="149" t="s">
        <v>139</v>
      </c>
    </row>
    <row r="16" spans="1:8" ht="15.75" customHeight="1">
      <c r="A16" s="148" t="s">
        <v>501</v>
      </c>
      <c r="B16" s="149">
        <v>80105</v>
      </c>
      <c r="C16" s="148" t="s">
        <v>249</v>
      </c>
      <c r="D16" s="148" t="s">
        <v>502</v>
      </c>
      <c r="E16" s="147"/>
      <c r="F16" s="26"/>
      <c r="G16" s="148" t="s">
        <v>502</v>
      </c>
      <c r="H16" s="149" t="s">
        <v>139</v>
      </c>
    </row>
    <row r="17" spans="1:8" ht="15.75" customHeight="1">
      <c r="A17" s="148" t="s">
        <v>503</v>
      </c>
      <c r="B17" s="149">
        <v>60802</v>
      </c>
      <c r="C17" s="148" t="s">
        <v>238</v>
      </c>
      <c r="D17" s="148" t="s">
        <v>504</v>
      </c>
      <c r="E17" s="147"/>
      <c r="F17" s="26"/>
      <c r="G17" s="148" t="s">
        <v>504</v>
      </c>
      <c r="H17" s="149" t="s">
        <v>139</v>
      </c>
    </row>
    <row r="18" spans="1:8" ht="15.75" customHeight="1">
      <c r="A18" s="148" t="s">
        <v>505</v>
      </c>
      <c r="B18" s="149">
        <v>76260</v>
      </c>
      <c r="C18" s="148" t="s">
        <v>320</v>
      </c>
      <c r="D18" s="148" t="s">
        <v>506</v>
      </c>
      <c r="E18" s="147"/>
      <c r="F18" s="26"/>
      <c r="G18" s="148" t="s">
        <v>506</v>
      </c>
      <c r="H18" s="149" t="s">
        <v>139</v>
      </c>
    </row>
    <row r="19" spans="1:8" ht="15.75" customHeight="1">
      <c r="A19" s="148" t="s">
        <v>507</v>
      </c>
      <c r="B19" s="149">
        <v>88965</v>
      </c>
      <c r="C19" s="148" t="s">
        <v>489</v>
      </c>
      <c r="D19" s="148" t="s">
        <v>508</v>
      </c>
      <c r="E19" s="147"/>
      <c r="F19" s="26"/>
      <c r="G19" s="148" t="s">
        <v>508</v>
      </c>
      <c r="H19" s="149" t="s">
        <v>139</v>
      </c>
    </row>
    <row r="20" spans="1:8" ht="15.75" customHeight="1">
      <c r="A20" s="148" t="s">
        <v>509</v>
      </c>
      <c r="B20" s="149">
        <v>63288</v>
      </c>
      <c r="C20" s="148" t="s">
        <v>479</v>
      </c>
      <c r="D20" s="148" t="s">
        <v>510</v>
      </c>
      <c r="E20" s="147"/>
      <c r="F20" s="26"/>
      <c r="G20" s="148" t="s">
        <v>510</v>
      </c>
      <c r="H20" s="149" t="s">
        <v>139</v>
      </c>
    </row>
    <row r="21" spans="1:8" ht="15.75" customHeight="1">
      <c r="A21" s="148" t="s">
        <v>511</v>
      </c>
      <c r="B21" s="149">
        <v>45742</v>
      </c>
      <c r="C21" s="148" t="s">
        <v>320</v>
      </c>
      <c r="D21" s="148" t="s">
        <v>512</v>
      </c>
      <c r="E21" s="147"/>
      <c r="F21" s="26"/>
      <c r="G21" s="148" t="s">
        <v>512</v>
      </c>
      <c r="H21" s="149" t="s">
        <v>139</v>
      </c>
    </row>
    <row r="22" spans="1:8" ht="15.75" customHeight="1">
      <c r="A22" s="148" t="s">
        <v>176</v>
      </c>
      <c r="B22" s="149">
        <v>88354</v>
      </c>
      <c r="C22" s="148" t="s">
        <v>238</v>
      </c>
      <c r="D22" s="148" t="s">
        <v>513</v>
      </c>
      <c r="E22" s="147"/>
      <c r="F22" s="26"/>
      <c r="G22" s="148" t="s">
        <v>513</v>
      </c>
      <c r="H22" s="149" t="s">
        <v>139</v>
      </c>
    </row>
    <row r="23" spans="1:8" ht="15.75" customHeight="1">
      <c r="A23" s="148" t="s">
        <v>514</v>
      </c>
      <c r="B23" s="149">
        <v>76641</v>
      </c>
      <c r="C23" s="148" t="s">
        <v>238</v>
      </c>
      <c r="D23" s="148" t="s">
        <v>515</v>
      </c>
      <c r="E23" s="147"/>
      <c r="F23" s="26"/>
      <c r="G23" s="148" t="s">
        <v>515</v>
      </c>
      <c r="H23" s="149" t="s">
        <v>139</v>
      </c>
    </row>
    <row r="24" spans="1:8" ht="15.75" customHeight="1">
      <c r="A24" s="148" t="s">
        <v>208</v>
      </c>
      <c r="B24" s="149">
        <v>61678</v>
      </c>
      <c r="C24" s="148" t="s">
        <v>320</v>
      </c>
      <c r="D24" s="148" t="s">
        <v>516</v>
      </c>
      <c r="E24" s="147"/>
      <c r="F24" s="26"/>
      <c r="G24" s="148" t="s">
        <v>516</v>
      </c>
      <c r="H24" s="149" t="s">
        <v>139</v>
      </c>
    </row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G2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00"/>
  <sheetViews>
    <sheetView workbookViewId="0"/>
  </sheetViews>
  <sheetFormatPr defaultColWidth="14.42578125" defaultRowHeight="15" customHeight="1"/>
  <cols>
    <col min="1" max="1" width="11.5703125" customWidth="1"/>
    <col min="2" max="2" width="8.42578125" customWidth="1"/>
    <col min="3" max="3" width="12.85546875" customWidth="1"/>
    <col min="4" max="4" width="11.28515625" customWidth="1"/>
    <col min="5" max="7" width="8" customWidth="1"/>
    <col min="8" max="8" width="11.5703125" customWidth="1"/>
    <col min="9" max="26" width="8" customWidth="1"/>
  </cols>
  <sheetData>
    <row r="1" spans="1:9" ht="18.75" customHeight="1"/>
    <row r="2" spans="1:9">
      <c r="A2" s="313" t="s">
        <v>517</v>
      </c>
      <c r="B2" s="311"/>
      <c r="C2" s="311"/>
      <c r="D2" s="311"/>
      <c r="E2" s="311"/>
      <c r="F2" s="311"/>
      <c r="G2" s="311"/>
      <c r="H2" s="311"/>
    </row>
    <row r="4" spans="1:9" ht="15.75" customHeight="1">
      <c r="A4" s="146" t="s">
        <v>473</v>
      </c>
      <c r="B4" s="146" t="s">
        <v>474</v>
      </c>
      <c r="C4" s="146" t="s">
        <v>231</v>
      </c>
      <c r="D4" s="146" t="s">
        <v>475</v>
      </c>
      <c r="E4" s="147"/>
      <c r="F4" s="26"/>
      <c r="G4" s="146" t="s">
        <v>475</v>
      </c>
      <c r="H4" s="146" t="s">
        <v>474</v>
      </c>
    </row>
    <row r="5" spans="1:9" ht="15.75" customHeight="1">
      <c r="A5" s="148" t="s">
        <v>476</v>
      </c>
      <c r="B5" s="149">
        <v>92671</v>
      </c>
      <c r="C5" s="148" t="s">
        <v>320</v>
      </c>
      <c r="D5" s="148" t="s">
        <v>477</v>
      </c>
      <c r="E5" s="147"/>
      <c r="F5" s="26"/>
      <c r="G5" s="148" t="s">
        <v>477</v>
      </c>
      <c r="H5" s="149">
        <f>LOOKUP(G5,$D$2:$D$21,$B$2:$B$21)</f>
        <v>92671</v>
      </c>
    </row>
    <row r="6" spans="1:9" ht="15.75" customHeight="1">
      <c r="A6" s="148" t="s">
        <v>478</v>
      </c>
      <c r="B6" s="149">
        <v>84120</v>
      </c>
      <c r="C6" s="148" t="s">
        <v>479</v>
      </c>
      <c r="D6" s="148" t="s">
        <v>480</v>
      </c>
      <c r="E6" s="147"/>
      <c r="F6" s="26"/>
      <c r="G6" s="148" t="s">
        <v>480</v>
      </c>
      <c r="H6" s="149">
        <f t="array" ref="H6">INDEX(A4:D24,MATCH(G6,D4:D24,0),MATCH(H4,A4:D4,0))</f>
        <v>84120</v>
      </c>
    </row>
    <row r="7" spans="1:9" ht="15.75" customHeight="1">
      <c r="A7" s="148" t="s">
        <v>481</v>
      </c>
      <c r="B7" s="149">
        <v>50793</v>
      </c>
      <c r="C7" s="148" t="s">
        <v>238</v>
      </c>
      <c r="D7" s="148" t="s">
        <v>482</v>
      </c>
      <c r="E7" s="147"/>
      <c r="F7" s="26"/>
      <c r="G7" s="148" t="s">
        <v>482</v>
      </c>
      <c r="H7" s="149">
        <f>LOOKUP(G7,$D$5:$D$10,B5:B10)</f>
        <v>50793</v>
      </c>
    </row>
    <row r="8" spans="1:9" ht="15.75" customHeight="1">
      <c r="A8" s="148" t="s">
        <v>483</v>
      </c>
      <c r="B8" s="149">
        <v>77833</v>
      </c>
      <c r="C8" s="148" t="s">
        <v>484</v>
      </c>
      <c r="D8" s="148" t="s">
        <v>485</v>
      </c>
      <c r="E8" s="147"/>
      <c r="F8" s="26"/>
      <c r="G8" s="148" t="s">
        <v>485</v>
      </c>
      <c r="H8" s="149">
        <f>LOOKUP(G8,$D$5:$D$10,$B$5:$B$10)</f>
        <v>77833</v>
      </c>
    </row>
    <row r="9" spans="1:9" ht="15.75" customHeight="1">
      <c r="A9" s="148" t="s">
        <v>486</v>
      </c>
      <c r="B9" s="149">
        <v>58914</v>
      </c>
      <c r="C9" s="148" t="s">
        <v>249</v>
      </c>
      <c r="D9" s="148" t="s">
        <v>487</v>
      </c>
      <c r="E9" s="147"/>
      <c r="F9" s="26"/>
      <c r="G9" s="148" t="s">
        <v>487</v>
      </c>
      <c r="H9" s="149" t="s">
        <v>139</v>
      </c>
    </row>
    <row r="10" spans="1:9" ht="15.75" customHeight="1">
      <c r="A10" s="148" t="s">
        <v>488</v>
      </c>
      <c r="B10" s="149">
        <v>51096</v>
      </c>
      <c r="C10" s="148" t="s">
        <v>489</v>
      </c>
      <c r="D10" s="148" t="s">
        <v>490</v>
      </c>
      <c r="E10" s="147"/>
      <c r="F10" s="26"/>
      <c r="G10" s="148" t="s">
        <v>490</v>
      </c>
      <c r="H10" s="149" t="s">
        <v>139</v>
      </c>
    </row>
    <row r="11" spans="1:9" ht="15.75" customHeight="1">
      <c r="A11" s="148" t="s">
        <v>491</v>
      </c>
      <c r="B11" s="310" t="s">
        <v>518</v>
      </c>
      <c r="C11" s="311"/>
      <c r="D11" s="311"/>
      <c r="E11" s="311"/>
      <c r="F11" s="311"/>
      <c r="G11" s="311"/>
      <c r="H11" s="311"/>
      <c r="I11" s="311"/>
    </row>
    <row r="12" spans="1:9" ht="15.75" customHeight="1">
      <c r="A12" s="148" t="s">
        <v>493</v>
      </c>
      <c r="B12" s="149">
        <v>74418</v>
      </c>
      <c r="C12" s="148" t="s">
        <v>489</v>
      </c>
      <c r="D12" s="148" t="s">
        <v>494</v>
      </c>
      <c r="E12" s="147"/>
      <c r="F12" s="26"/>
      <c r="G12" s="148" t="s">
        <v>494</v>
      </c>
      <c r="H12" s="149" t="s">
        <v>139</v>
      </c>
    </row>
    <row r="13" spans="1:9" ht="15.75" customHeight="1">
      <c r="A13" s="148" t="s">
        <v>495</v>
      </c>
      <c r="B13" s="149">
        <v>51366</v>
      </c>
      <c r="C13" s="148" t="s">
        <v>320</v>
      </c>
      <c r="D13" s="148" t="s">
        <v>496</v>
      </c>
      <c r="E13" s="147"/>
      <c r="F13" s="26"/>
      <c r="G13" s="148" t="s">
        <v>496</v>
      </c>
      <c r="H13" s="149" t="s">
        <v>139</v>
      </c>
    </row>
    <row r="14" spans="1:9" ht="15.75" customHeight="1">
      <c r="A14" s="148" t="s">
        <v>497</v>
      </c>
      <c r="B14" s="149">
        <v>54600</v>
      </c>
      <c r="C14" s="148" t="s">
        <v>249</v>
      </c>
      <c r="D14" s="148" t="s">
        <v>498</v>
      </c>
      <c r="E14" s="147"/>
      <c r="F14" s="26"/>
      <c r="G14" s="148" t="s">
        <v>498</v>
      </c>
      <c r="H14" s="149" t="s">
        <v>139</v>
      </c>
    </row>
    <row r="15" spans="1:9" ht="15.75" customHeight="1">
      <c r="A15" s="148" t="s">
        <v>499</v>
      </c>
      <c r="B15" s="149">
        <v>93509</v>
      </c>
      <c r="C15" s="148" t="s">
        <v>479</v>
      </c>
      <c r="D15" s="148" t="s">
        <v>500</v>
      </c>
      <c r="E15" s="147"/>
      <c r="F15" s="26"/>
      <c r="G15" s="148" t="s">
        <v>500</v>
      </c>
      <c r="H15" s="149" t="s">
        <v>139</v>
      </c>
    </row>
    <row r="16" spans="1:9" ht="15.75" customHeight="1">
      <c r="A16" s="148" t="s">
        <v>501</v>
      </c>
      <c r="B16" s="149">
        <v>80105</v>
      </c>
      <c r="C16" s="148" t="s">
        <v>249</v>
      </c>
      <c r="D16" s="148" t="s">
        <v>502</v>
      </c>
      <c r="E16" s="147"/>
      <c r="F16" s="26"/>
      <c r="G16" s="148" t="s">
        <v>502</v>
      </c>
      <c r="H16" s="149" t="s">
        <v>139</v>
      </c>
    </row>
    <row r="17" spans="1:8" ht="15.75" customHeight="1">
      <c r="A17" s="148" t="s">
        <v>503</v>
      </c>
      <c r="B17" s="149">
        <v>60802</v>
      </c>
      <c r="C17" s="148" t="s">
        <v>238</v>
      </c>
      <c r="D17" s="148" t="s">
        <v>504</v>
      </c>
      <c r="E17" s="147"/>
      <c r="F17" s="26"/>
      <c r="G17" s="148" t="s">
        <v>504</v>
      </c>
      <c r="H17" s="149" t="s">
        <v>139</v>
      </c>
    </row>
    <row r="18" spans="1:8" ht="15.75" customHeight="1">
      <c r="A18" s="148" t="s">
        <v>505</v>
      </c>
      <c r="B18" s="149">
        <v>76260</v>
      </c>
      <c r="C18" s="148" t="s">
        <v>320</v>
      </c>
      <c r="D18" s="148" t="s">
        <v>506</v>
      </c>
      <c r="E18" s="147"/>
      <c r="F18" s="26"/>
      <c r="G18" s="148" t="s">
        <v>506</v>
      </c>
      <c r="H18" s="149" t="s">
        <v>139</v>
      </c>
    </row>
    <row r="19" spans="1:8" ht="15.75" customHeight="1">
      <c r="A19" s="148" t="s">
        <v>507</v>
      </c>
      <c r="B19" s="149">
        <v>88965</v>
      </c>
      <c r="C19" s="148" t="s">
        <v>489</v>
      </c>
      <c r="D19" s="148" t="s">
        <v>508</v>
      </c>
      <c r="E19" s="147"/>
      <c r="F19" s="26"/>
      <c r="G19" s="148" t="s">
        <v>508</v>
      </c>
      <c r="H19" s="149" t="s">
        <v>139</v>
      </c>
    </row>
    <row r="20" spans="1:8" ht="15.75" customHeight="1">
      <c r="A20" s="148" t="s">
        <v>509</v>
      </c>
      <c r="B20" s="149">
        <v>63288</v>
      </c>
      <c r="C20" s="148" t="s">
        <v>479</v>
      </c>
      <c r="D20" s="148" t="s">
        <v>510</v>
      </c>
      <c r="E20" s="147"/>
      <c r="F20" s="26"/>
      <c r="G20" s="148" t="s">
        <v>510</v>
      </c>
      <c r="H20" s="149" t="s">
        <v>139</v>
      </c>
    </row>
    <row r="21" spans="1:8" ht="15.75" customHeight="1">
      <c r="A21" s="148" t="s">
        <v>511</v>
      </c>
      <c r="B21" s="149">
        <v>45742</v>
      </c>
      <c r="C21" s="148" t="s">
        <v>320</v>
      </c>
      <c r="D21" s="148" t="s">
        <v>512</v>
      </c>
      <c r="E21" s="147"/>
      <c r="F21" s="26"/>
      <c r="G21" s="148" t="s">
        <v>512</v>
      </c>
      <c r="H21" s="149" t="s">
        <v>139</v>
      </c>
    </row>
    <row r="22" spans="1:8" ht="15.75" customHeight="1">
      <c r="A22" s="148" t="s">
        <v>176</v>
      </c>
      <c r="B22" s="149">
        <v>88354</v>
      </c>
      <c r="C22" s="148" t="s">
        <v>238</v>
      </c>
      <c r="D22" s="148" t="s">
        <v>513</v>
      </c>
      <c r="E22" s="147"/>
      <c r="F22" s="26"/>
      <c r="G22" s="148" t="s">
        <v>513</v>
      </c>
      <c r="H22" s="149" t="s">
        <v>139</v>
      </c>
    </row>
    <row r="23" spans="1:8" ht="15.75" customHeight="1">
      <c r="A23" s="148" t="s">
        <v>514</v>
      </c>
      <c r="B23" s="149">
        <v>76641</v>
      </c>
      <c r="C23" s="148" t="s">
        <v>238</v>
      </c>
      <c r="D23" s="148" t="s">
        <v>515</v>
      </c>
      <c r="E23" s="147"/>
      <c r="F23" s="26"/>
      <c r="G23" s="148" t="s">
        <v>515</v>
      </c>
      <c r="H23" s="149" t="s">
        <v>139</v>
      </c>
    </row>
    <row r="24" spans="1:8" ht="15.75" customHeight="1">
      <c r="A24" s="148" t="s">
        <v>208</v>
      </c>
      <c r="B24" s="149">
        <v>61678</v>
      </c>
      <c r="C24" s="148" t="s">
        <v>320</v>
      </c>
      <c r="D24" s="148" t="s">
        <v>516</v>
      </c>
      <c r="E24" s="147"/>
      <c r="F24" s="26"/>
      <c r="G24" s="148" t="s">
        <v>516</v>
      </c>
      <c r="H24" s="149" t="s">
        <v>139</v>
      </c>
    </row>
    <row r="25" spans="1:8" ht="15.75" customHeight="1"/>
    <row r="26" spans="1:8" ht="15.75" customHeight="1">
      <c r="A26" s="150" t="s">
        <v>519</v>
      </c>
      <c r="H26" s="151" t="s">
        <v>26</v>
      </c>
    </row>
    <row r="27" spans="1:8" ht="15.75" customHeight="1">
      <c r="A27" s="150" t="s">
        <v>520</v>
      </c>
      <c r="H27" s="152" t="s">
        <v>28</v>
      </c>
    </row>
    <row r="28" spans="1:8" ht="15.75" customHeight="1">
      <c r="A28" s="6" t="s">
        <v>521</v>
      </c>
      <c r="H28" s="49" t="s">
        <v>28</v>
      </c>
    </row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H2"/>
    <mergeCell ref="B11:I11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1000"/>
  <sheetViews>
    <sheetView workbookViewId="0">
      <selection sqref="A1:H1"/>
    </sheetView>
  </sheetViews>
  <sheetFormatPr defaultColWidth="14.42578125" defaultRowHeight="15" customHeight="1"/>
  <cols>
    <col min="1" max="1" width="12.5703125" customWidth="1"/>
    <col min="2" max="3" width="10.7109375" customWidth="1"/>
    <col min="4" max="4" width="11.42578125" customWidth="1"/>
    <col min="5" max="5" width="8" customWidth="1"/>
    <col min="6" max="6" width="19.28515625" customWidth="1"/>
    <col min="7" max="26" width="8" customWidth="1"/>
  </cols>
  <sheetData>
    <row r="1" spans="1:8" ht="18.75" customHeight="1">
      <c r="A1" s="310" t="s">
        <v>522</v>
      </c>
      <c r="B1" s="311"/>
      <c r="C1" s="311"/>
      <c r="D1" s="311"/>
      <c r="E1" s="311"/>
      <c r="F1" s="311"/>
      <c r="G1" s="311"/>
      <c r="H1" s="311"/>
    </row>
    <row r="2" spans="1:8">
      <c r="A2" s="313" t="s">
        <v>523</v>
      </c>
      <c r="B2" s="311"/>
      <c r="C2" s="311"/>
      <c r="D2" s="311"/>
      <c r="E2" s="311"/>
      <c r="F2" s="311"/>
      <c r="G2" s="311"/>
      <c r="H2" s="311"/>
    </row>
    <row r="4" spans="1:8">
      <c r="A4" s="153" t="s">
        <v>81</v>
      </c>
      <c r="B4" s="153" t="s">
        <v>66</v>
      </c>
      <c r="C4" s="153" t="s">
        <v>67</v>
      </c>
      <c r="D4" s="153" t="s">
        <v>524</v>
      </c>
      <c r="E4" s="153" t="s">
        <v>525</v>
      </c>
      <c r="F4" s="153" t="s">
        <v>526</v>
      </c>
    </row>
    <row r="5" spans="1:8">
      <c r="A5" s="154" t="s">
        <v>527</v>
      </c>
      <c r="B5" s="155" t="s">
        <v>528</v>
      </c>
      <c r="C5" s="155" t="s">
        <v>528</v>
      </c>
      <c r="D5" s="155" t="s">
        <v>529</v>
      </c>
      <c r="E5" s="155" t="s">
        <v>528</v>
      </c>
      <c r="F5" s="154" t="b">
        <f>AND(B5="PASS",C5="PASS",D5="PASS",E5="PASS")</f>
        <v>0</v>
      </c>
    </row>
    <row r="6" spans="1:8">
      <c r="A6" s="154" t="s">
        <v>530</v>
      </c>
      <c r="B6" s="155" t="s">
        <v>528</v>
      </c>
      <c r="C6" s="155" t="s">
        <v>528</v>
      </c>
      <c r="D6" s="155" t="s">
        <v>528</v>
      </c>
      <c r="E6" s="155" t="s">
        <v>528</v>
      </c>
      <c r="F6" s="154" t="b">
        <f>AND(B6="PASS",C6="PASS",D6="PASS",E6="PASS")</f>
        <v>1</v>
      </c>
    </row>
    <row r="7" spans="1:8">
      <c r="A7" s="154" t="s">
        <v>531</v>
      </c>
      <c r="B7" s="155" t="s">
        <v>528</v>
      </c>
      <c r="C7" s="155" t="s">
        <v>529</v>
      </c>
      <c r="D7" s="155" t="s">
        <v>528</v>
      </c>
      <c r="E7" s="155" t="s">
        <v>528</v>
      </c>
      <c r="F7" s="154" t="s">
        <v>139</v>
      </c>
    </row>
    <row r="8" spans="1:8">
      <c r="A8" s="154" t="s">
        <v>532</v>
      </c>
      <c r="B8" s="155" t="s">
        <v>528</v>
      </c>
      <c r="C8" s="155" t="s">
        <v>528</v>
      </c>
      <c r="D8" s="155" t="s">
        <v>528</v>
      </c>
      <c r="E8" s="155" t="s">
        <v>528</v>
      </c>
      <c r="F8" s="154" t="s">
        <v>139</v>
      </c>
    </row>
    <row r="9" spans="1:8">
      <c r="A9" s="154" t="s">
        <v>533</v>
      </c>
      <c r="B9" s="155" t="s">
        <v>528</v>
      </c>
      <c r="C9" s="155" t="s">
        <v>529</v>
      </c>
      <c r="D9" s="155" t="s">
        <v>528</v>
      </c>
      <c r="E9" s="155" t="s">
        <v>528</v>
      </c>
      <c r="F9" s="154" t="s">
        <v>139</v>
      </c>
    </row>
    <row r="10" spans="1:8">
      <c r="A10" s="154" t="s">
        <v>534</v>
      </c>
      <c r="B10" s="155" t="s">
        <v>529</v>
      </c>
      <c r="C10" s="155" t="s">
        <v>528</v>
      </c>
      <c r="D10" s="155" t="s">
        <v>528</v>
      </c>
      <c r="E10" s="155" t="s">
        <v>528</v>
      </c>
      <c r="F10" s="154" t="s">
        <v>139</v>
      </c>
    </row>
    <row r="11" spans="1:8">
      <c r="A11" s="154" t="s">
        <v>535</v>
      </c>
      <c r="B11" s="155" t="s">
        <v>528</v>
      </c>
      <c r="C11" s="155" t="s">
        <v>528</v>
      </c>
      <c r="D11" s="155" t="s">
        <v>528</v>
      </c>
      <c r="E11" s="155" t="s">
        <v>529</v>
      </c>
      <c r="F11" s="154" t="s">
        <v>139</v>
      </c>
    </row>
    <row r="12" spans="1:8">
      <c r="A12" s="154" t="s">
        <v>536</v>
      </c>
      <c r="B12" s="155" t="s">
        <v>528</v>
      </c>
      <c r="C12" s="155" t="s">
        <v>528</v>
      </c>
      <c r="D12" s="155" t="s">
        <v>529</v>
      </c>
      <c r="E12" s="155" t="s">
        <v>528</v>
      </c>
      <c r="F12" s="154" t="s">
        <v>139</v>
      </c>
    </row>
    <row r="13" spans="1:8">
      <c r="A13" s="154" t="s">
        <v>100</v>
      </c>
      <c r="B13" s="155" t="s">
        <v>528</v>
      </c>
      <c r="C13" s="155" t="s">
        <v>528</v>
      </c>
      <c r="D13" s="155" t="s">
        <v>528</v>
      </c>
      <c r="E13" s="155" t="s">
        <v>528</v>
      </c>
      <c r="F13" s="154" t="s">
        <v>139</v>
      </c>
    </row>
    <row r="15" spans="1:8">
      <c r="A15" s="156" t="s">
        <v>537</v>
      </c>
      <c r="B15" s="156"/>
      <c r="C15" s="156"/>
      <c r="D15" s="156"/>
      <c r="E15" s="156"/>
      <c r="F15" s="15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sqref="A1:H1"/>
    </sheetView>
  </sheetViews>
  <sheetFormatPr defaultColWidth="14.42578125" defaultRowHeight="15" customHeight="1"/>
  <cols>
    <col min="1" max="1" width="13.7109375" customWidth="1"/>
    <col min="2" max="2" width="12.140625" customWidth="1"/>
    <col min="3" max="5" width="8" customWidth="1"/>
    <col min="6" max="6" width="16.42578125" customWidth="1"/>
    <col min="7" max="26" width="8" customWidth="1"/>
  </cols>
  <sheetData>
    <row r="1" spans="1:8" ht="18.75" customHeight="1">
      <c r="A1" s="310" t="s">
        <v>538</v>
      </c>
      <c r="B1" s="311"/>
      <c r="C1" s="311"/>
      <c r="D1" s="311"/>
      <c r="E1" s="311"/>
      <c r="F1" s="311"/>
      <c r="G1" s="311"/>
      <c r="H1" s="311"/>
    </row>
    <row r="2" spans="1:8">
      <c r="A2" s="313" t="s">
        <v>539</v>
      </c>
      <c r="B2" s="311"/>
      <c r="C2" s="311"/>
      <c r="D2" s="311"/>
      <c r="E2" s="311"/>
      <c r="F2" s="311"/>
      <c r="G2" s="311"/>
      <c r="H2" s="311"/>
    </row>
    <row r="4" spans="1:8">
      <c r="A4" s="157" t="s">
        <v>297</v>
      </c>
      <c r="B4" s="157" t="s">
        <v>540</v>
      </c>
      <c r="D4" s="157" t="s">
        <v>541</v>
      </c>
      <c r="E4" s="157" t="s">
        <v>542</v>
      </c>
      <c r="F4" s="157" t="s">
        <v>394</v>
      </c>
    </row>
    <row r="5" spans="1:8">
      <c r="A5" s="158" t="s">
        <v>543</v>
      </c>
      <c r="B5" s="159">
        <v>250</v>
      </c>
      <c r="D5" s="158" t="s">
        <v>203</v>
      </c>
      <c r="E5" s="158" t="s">
        <v>544</v>
      </c>
      <c r="F5" s="158">
        <v>90</v>
      </c>
    </row>
    <row r="6" spans="1:8">
      <c r="A6" s="158" t="s">
        <v>545</v>
      </c>
      <c r="B6" s="159">
        <v>110</v>
      </c>
      <c r="D6" s="158" t="s">
        <v>546</v>
      </c>
      <c r="E6" s="158" t="s">
        <v>547</v>
      </c>
      <c r="F6" s="158">
        <v>77</v>
      </c>
    </row>
    <row r="7" spans="1:8">
      <c r="A7" s="158" t="s">
        <v>18</v>
      </c>
      <c r="B7" s="159">
        <v>300</v>
      </c>
      <c r="D7" s="158" t="s">
        <v>548</v>
      </c>
      <c r="E7" s="158" t="s">
        <v>544</v>
      </c>
      <c r="F7" s="158">
        <v>80</v>
      </c>
    </row>
    <row r="8" spans="1:8">
      <c r="A8" s="158" t="s">
        <v>549</v>
      </c>
      <c r="B8" s="159">
        <v>50</v>
      </c>
      <c r="D8" s="158" t="s">
        <v>550</v>
      </c>
      <c r="E8" s="158" t="s">
        <v>544</v>
      </c>
      <c r="F8" s="158">
        <v>65</v>
      </c>
    </row>
    <row r="9" spans="1:8">
      <c r="A9" s="158" t="s">
        <v>551</v>
      </c>
      <c r="B9" s="159">
        <v>45</v>
      </c>
      <c r="D9" s="158" t="s">
        <v>552</v>
      </c>
      <c r="E9" s="158" t="s">
        <v>547</v>
      </c>
      <c r="F9" s="158">
        <v>45</v>
      </c>
    </row>
    <row r="10" spans="1:8">
      <c r="A10" s="158" t="s">
        <v>545</v>
      </c>
      <c r="B10" s="159">
        <v>23</v>
      </c>
      <c r="D10" s="158" t="s">
        <v>553</v>
      </c>
      <c r="E10" s="158" t="s">
        <v>547</v>
      </c>
      <c r="F10" s="158">
        <v>55</v>
      </c>
    </row>
    <row r="11" spans="1:8">
      <c r="A11" s="158" t="s">
        <v>554</v>
      </c>
      <c r="B11" s="159">
        <v>25</v>
      </c>
    </row>
    <row r="12" spans="1:8">
      <c r="A12" s="158" t="s">
        <v>543</v>
      </c>
      <c r="B12" s="159">
        <v>90</v>
      </c>
      <c r="D12" s="324" t="s">
        <v>555</v>
      </c>
      <c r="E12" s="325"/>
      <c r="F12" s="326"/>
    </row>
    <row r="13" spans="1:8">
      <c r="A13" s="158" t="s">
        <v>545</v>
      </c>
      <c r="B13" s="159">
        <v>450</v>
      </c>
      <c r="D13" s="160" t="s">
        <v>556</v>
      </c>
      <c r="E13" s="327">
        <f>AVERAGEIF(E4:E10,E7,F4:F10)</f>
        <v>78.333333333333329</v>
      </c>
      <c r="F13" s="318"/>
    </row>
    <row r="14" spans="1:8">
      <c r="A14" s="158" t="s">
        <v>551</v>
      </c>
      <c r="B14" s="159">
        <v>23</v>
      </c>
      <c r="D14" s="160" t="s">
        <v>547</v>
      </c>
      <c r="E14" s="327">
        <f>AVERAGEIF(E5:E10,E9,F5:F10)</f>
        <v>59</v>
      </c>
      <c r="F14" s="318"/>
    </row>
    <row r="15" spans="1:8">
      <c r="A15" s="158" t="s">
        <v>543</v>
      </c>
      <c r="B15" s="159">
        <v>250</v>
      </c>
    </row>
    <row r="16" spans="1:8">
      <c r="A16" s="158" t="s">
        <v>549</v>
      </c>
      <c r="B16" s="159">
        <v>25</v>
      </c>
    </row>
    <row r="17" spans="1:6">
      <c r="A17" s="97"/>
      <c r="B17" s="97"/>
    </row>
    <row r="18" spans="1:6">
      <c r="A18" s="160" t="s">
        <v>557</v>
      </c>
      <c r="B18" s="9">
        <f>AVERAGEIF(A5:A16,A8,B5:B16)</f>
        <v>37.5</v>
      </c>
    </row>
    <row r="19" spans="1:6">
      <c r="A19" s="160" t="s">
        <v>558</v>
      </c>
      <c r="B19" s="161">
        <f>AVERAGEIF(A5:A16,A6,B5:B16)</f>
        <v>194.33333333333334</v>
      </c>
    </row>
    <row r="21" spans="1:6" ht="15.75" customHeight="1"/>
    <row r="22" spans="1:6" ht="15.75" customHeight="1">
      <c r="A22" s="157" t="s">
        <v>559</v>
      </c>
      <c r="B22" s="157" t="s">
        <v>560</v>
      </c>
      <c r="C22" s="157" t="s">
        <v>320</v>
      </c>
      <c r="E22" s="157" t="s">
        <v>297</v>
      </c>
      <c r="F22" s="157" t="s">
        <v>540</v>
      </c>
    </row>
    <row r="23" spans="1:6" ht="15.75" customHeight="1">
      <c r="A23" s="158" t="s">
        <v>434</v>
      </c>
      <c r="B23" s="158" t="s">
        <v>561</v>
      </c>
      <c r="C23" s="158">
        <v>25000</v>
      </c>
      <c r="E23" s="158" t="s">
        <v>543</v>
      </c>
      <c r="F23" s="159">
        <v>250</v>
      </c>
    </row>
    <row r="24" spans="1:6" ht="15.75" customHeight="1">
      <c r="A24" s="158" t="s">
        <v>562</v>
      </c>
      <c r="B24" s="158" t="s">
        <v>563</v>
      </c>
      <c r="C24" s="158">
        <v>12000</v>
      </c>
      <c r="E24" s="158" t="s">
        <v>545</v>
      </c>
      <c r="F24" s="159">
        <v>110</v>
      </c>
    </row>
    <row r="25" spans="1:6" ht="15.75" customHeight="1">
      <c r="A25" s="158" t="s">
        <v>433</v>
      </c>
      <c r="B25" s="158" t="s">
        <v>564</v>
      </c>
      <c r="C25" s="158">
        <v>4200</v>
      </c>
      <c r="E25" s="158" t="s">
        <v>18</v>
      </c>
      <c r="F25" s="159">
        <v>300</v>
      </c>
    </row>
    <row r="26" spans="1:6" ht="15.75" customHeight="1">
      <c r="A26" s="158" t="s">
        <v>433</v>
      </c>
      <c r="B26" s="158" t="s">
        <v>565</v>
      </c>
      <c r="C26" s="158">
        <v>5600</v>
      </c>
      <c r="E26" s="158" t="s">
        <v>549</v>
      </c>
      <c r="F26" s="159">
        <v>50</v>
      </c>
    </row>
    <row r="27" spans="1:6" ht="15.75" customHeight="1">
      <c r="A27" s="158" t="s">
        <v>436</v>
      </c>
      <c r="B27" s="158" t="s">
        <v>566</v>
      </c>
      <c r="C27" s="158">
        <v>15000</v>
      </c>
      <c r="E27" s="158" t="s">
        <v>551</v>
      </c>
      <c r="F27" s="159">
        <v>45</v>
      </c>
    </row>
    <row r="28" spans="1:6" ht="15.75" customHeight="1">
      <c r="A28" s="158" t="s">
        <v>562</v>
      </c>
      <c r="B28" s="158" t="s">
        <v>567</v>
      </c>
      <c r="C28" s="158">
        <v>7000</v>
      </c>
      <c r="E28" s="158" t="s">
        <v>545</v>
      </c>
      <c r="F28" s="159">
        <v>23</v>
      </c>
    </row>
    <row r="29" spans="1:6" ht="15.75" customHeight="1">
      <c r="A29" s="158" t="s">
        <v>434</v>
      </c>
      <c r="B29" s="158" t="s">
        <v>568</v>
      </c>
      <c r="C29" s="158">
        <v>5200</v>
      </c>
      <c r="E29" s="158" t="s">
        <v>554</v>
      </c>
      <c r="F29" s="159">
        <v>25</v>
      </c>
    </row>
    <row r="30" spans="1:6" ht="15.75" customHeight="1">
      <c r="A30" s="158" t="s">
        <v>433</v>
      </c>
      <c r="B30" s="158" t="s">
        <v>569</v>
      </c>
      <c r="C30" s="158">
        <v>6000</v>
      </c>
      <c r="E30" s="158" t="s">
        <v>543</v>
      </c>
      <c r="F30" s="159">
        <v>90</v>
      </c>
    </row>
    <row r="31" spans="1:6" ht="15.75" customHeight="1">
      <c r="A31" s="158" t="s">
        <v>436</v>
      </c>
      <c r="B31" s="158" t="s">
        <v>570</v>
      </c>
      <c r="C31" s="158">
        <v>8500</v>
      </c>
      <c r="E31" s="158" t="s">
        <v>545</v>
      </c>
      <c r="F31" s="159">
        <v>450</v>
      </c>
    </row>
    <row r="32" spans="1:6" ht="15.75" customHeight="1">
      <c r="A32" s="158" t="s">
        <v>571</v>
      </c>
      <c r="B32" s="158" t="s">
        <v>572</v>
      </c>
      <c r="C32" s="158">
        <v>12000</v>
      </c>
      <c r="E32" s="158" t="s">
        <v>551</v>
      </c>
      <c r="F32" s="159">
        <v>23</v>
      </c>
    </row>
    <row r="33" spans="1:8" ht="15.75" customHeight="1">
      <c r="A33" s="158" t="s">
        <v>433</v>
      </c>
      <c r="B33" s="158" t="s">
        <v>573</v>
      </c>
      <c r="C33" s="158">
        <v>4300</v>
      </c>
      <c r="E33" s="158" t="s">
        <v>543</v>
      </c>
      <c r="F33" s="159">
        <v>250</v>
      </c>
    </row>
    <row r="34" spans="1:8" ht="15.75" customHeight="1">
      <c r="A34" s="158" t="s">
        <v>436</v>
      </c>
      <c r="B34" s="158" t="s">
        <v>574</v>
      </c>
      <c r="C34" s="158">
        <v>1200</v>
      </c>
      <c r="E34" s="158" t="s">
        <v>549</v>
      </c>
      <c r="F34" s="159">
        <v>25</v>
      </c>
    </row>
    <row r="35" spans="1:8" ht="15.75" customHeight="1">
      <c r="A35" s="97"/>
      <c r="B35" s="97"/>
      <c r="C35" s="97"/>
      <c r="E35" s="97"/>
      <c r="F35" s="97"/>
    </row>
    <row r="36" spans="1:8" ht="15.75" customHeight="1">
      <c r="A36" s="320" t="s">
        <v>575</v>
      </c>
      <c r="B36" s="317"/>
      <c r="C36" s="318"/>
      <c r="E36" s="328" t="s">
        <v>576</v>
      </c>
      <c r="F36" s="318"/>
      <c r="G36" s="329">
        <f>AVERAGEIF(F23:F34,"&gt;250")</f>
        <v>375</v>
      </c>
      <c r="H36" s="318"/>
    </row>
    <row r="37" spans="1:8" ht="15.75" customHeight="1">
      <c r="A37" s="321">
        <f>AVERAGEIF(A23:A34,A27,C23:C34)</f>
        <v>8233.3333333333339</v>
      </c>
      <c r="B37" s="317"/>
      <c r="C37" s="318"/>
      <c r="E37" s="322" t="s">
        <v>577</v>
      </c>
      <c r="F37" s="318"/>
      <c r="G37" s="323">
        <f>AVERAGEIF(F23:F34,"&lt;100")</f>
        <v>40.142857142857146</v>
      </c>
      <c r="H37" s="318"/>
    </row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36:C36"/>
    <mergeCell ref="A37:C37"/>
    <mergeCell ref="E37:F37"/>
    <mergeCell ref="G37:H37"/>
    <mergeCell ref="A1:H1"/>
    <mergeCell ref="A2:H2"/>
    <mergeCell ref="D12:F12"/>
    <mergeCell ref="E13:F13"/>
    <mergeCell ref="E14:F14"/>
    <mergeCell ref="E36:F36"/>
    <mergeCell ref="G36:H36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00"/>
  <sheetViews>
    <sheetView workbookViewId="0">
      <selection sqref="A1:H1"/>
    </sheetView>
  </sheetViews>
  <sheetFormatPr defaultColWidth="14.42578125" defaultRowHeight="15" customHeight="1"/>
  <cols>
    <col min="1" max="1" width="24.42578125" customWidth="1"/>
    <col min="2" max="2" width="11.42578125" customWidth="1"/>
    <col min="3" max="3" width="8" customWidth="1"/>
    <col min="4" max="4" width="18.5703125" customWidth="1"/>
    <col min="5" max="5" width="9.42578125" customWidth="1"/>
    <col min="6" max="26" width="8" customWidth="1"/>
  </cols>
  <sheetData>
    <row r="1" spans="1:8" ht="18.75" customHeight="1">
      <c r="A1" s="310" t="s">
        <v>578</v>
      </c>
      <c r="B1" s="311"/>
      <c r="C1" s="311"/>
      <c r="D1" s="311"/>
      <c r="E1" s="311"/>
      <c r="F1" s="311"/>
      <c r="G1" s="311"/>
      <c r="H1" s="311"/>
    </row>
    <row r="2" spans="1:8">
      <c r="A2" s="313" t="s">
        <v>579</v>
      </c>
      <c r="B2" s="311"/>
      <c r="C2" s="311"/>
      <c r="D2" s="311"/>
      <c r="E2" s="311"/>
      <c r="F2" s="311"/>
      <c r="G2" s="311"/>
      <c r="H2" s="311"/>
    </row>
    <row r="4" spans="1:8">
      <c r="A4" s="163" t="s">
        <v>580</v>
      </c>
      <c r="B4" s="163" t="s">
        <v>581</v>
      </c>
      <c r="D4" s="163" t="s">
        <v>582</v>
      </c>
      <c r="E4" s="163" t="s">
        <v>583</v>
      </c>
    </row>
    <row r="5" spans="1:8">
      <c r="A5" s="8" t="s">
        <v>584</v>
      </c>
      <c r="B5" s="8"/>
      <c r="C5" s="6" t="b">
        <v>1</v>
      </c>
      <c r="D5" s="8" t="s">
        <v>585</v>
      </c>
      <c r="E5" s="8"/>
      <c r="F5" s="6" t="b">
        <v>1</v>
      </c>
    </row>
    <row r="6" spans="1:8">
      <c r="A6" s="8" t="s">
        <v>586</v>
      </c>
      <c r="B6" s="8"/>
      <c r="C6" s="6" t="b">
        <v>1</v>
      </c>
      <c r="D6" s="8" t="s">
        <v>587</v>
      </c>
      <c r="E6" s="8"/>
      <c r="F6" s="6" t="b">
        <v>1</v>
      </c>
    </row>
    <row r="7" spans="1:8">
      <c r="A7" s="8" t="s">
        <v>588</v>
      </c>
      <c r="B7" s="8"/>
      <c r="C7" s="6" t="b">
        <v>1</v>
      </c>
      <c r="D7" s="8" t="s">
        <v>589</v>
      </c>
      <c r="E7" s="8"/>
      <c r="F7" s="6" t="b">
        <v>1</v>
      </c>
    </row>
    <row r="8" spans="1:8">
      <c r="A8" s="8" t="s">
        <v>590</v>
      </c>
      <c r="B8" s="8"/>
      <c r="C8" s="6" t="b">
        <v>1</v>
      </c>
      <c r="D8" s="8" t="s">
        <v>591</v>
      </c>
      <c r="E8" s="8"/>
      <c r="F8" s="6" t="b">
        <v>1</v>
      </c>
    </row>
    <row r="9" spans="1:8">
      <c r="D9" s="8" t="s">
        <v>592</v>
      </c>
      <c r="E9" s="8"/>
      <c r="F9" s="6" t="b">
        <v>1</v>
      </c>
    </row>
    <row r="10" spans="1:8">
      <c r="A10" s="163" t="s">
        <v>582</v>
      </c>
      <c r="B10" s="163" t="s">
        <v>583</v>
      </c>
      <c r="C10" s="97"/>
      <c r="D10" s="8" t="s">
        <v>593</v>
      </c>
      <c r="E10" s="8"/>
      <c r="F10" s="6" t="b">
        <v>0</v>
      </c>
    </row>
    <row r="11" spans="1:8">
      <c r="A11" s="8" t="s">
        <v>594</v>
      </c>
      <c r="B11" s="8"/>
      <c r="C11" s="6" t="b">
        <v>1</v>
      </c>
      <c r="D11" s="8" t="s">
        <v>595</v>
      </c>
      <c r="E11" s="8"/>
      <c r="F11" s="6" t="b">
        <v>1</v>
      </c>
    </row>
    <row r="12" spans="1:8">
      <c r="A12" s="8" t="s">
        <v>596</v>
      </c>
      <c r="B12" s="8"/>
      <c r="C12" s="6" t="b">
        <v>0</v>
      </c>
    </row>
    <row r="13" spans="1:8">
      <c r="A13" s="8" t="s">
        <v>597</v>
      </c>
      <c r="B13" s="8"/>
      <c r="C13" s="6" t="b">
        <v>1</v>
      </c>
    </row>
    <row r="14" spans="1:8">
      <c r="A14" s="8" t="s">
        <v>598</v>
      </c>
      <c r="B14" s="8"/>
      <c r="C14" s="6" t="b">
        <v>0</v>
      </c>
    </row>
    <row r="15" spans="1:8">
      <c r="A15" s="8" t="s">
        <v>599</v>
      </c>
      <c r="B15" s="8"/>
      <c r="C15" s="6" t="b">
        <v>1</v>
      </c>
    </row>
    <row r="16" spans="1:8">
      <c r="A16" s="8" t="s">
        <v>600</v>
      </c>
      <c r="B16" s="8"/>
      <c r="C16" s="6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00"/>
  <sheetViews>
    <sheetView topLeftCell="A4" workbookViewId="0">
      <selection sqref="A1:H1"/>
    </sheetView>
  </sheetViews>
  <sheetFormatPr defaultColWidth="14.42578125" defaultRowHeight="15" customHeight="1"/>
  <cols>
    <col min="1" max="1" width="9.42578125" customWidth="1"/>
    <col min="2" max="2" width="7.42578125" customWidth="1"/>
    <col min="3" max="3" width="15.42578125" customWidth="1"/>
    <col min="4" max="6" width="8" customWidth="1"/>
    <col min="7" max="7" width="16.7109375" customWidth="1"/>
    <col min="8" max="26" width="8" customWidth="1"/>
  </cols>
  <sheetData>
    <row r="1" spans="1:8" ht="18.75" customHeight="1">
      <c r="A1" s="310" t="s">
        <v>601</v>
      </c>
      <c r="B1" s="311"/>
      <c r="C1" s="311"/>
      <c r="D1" s="311"/>
      <c r="E1" s="311"/>
      <c r="F1" s="311"/>
      <c r="G1" s="311"/>
      <c r="H1" s="311"/>
    </row>
    <row r="2" spans="1:8">
      <c r="A2" s="313" t="s">
        <v>602</v>
      </c>
      <c r="B2" s="311"/>
      <c r="C2" s="311"/>
      <c r="D2" s="311"/>
      <c r="E2" s="311"/>
      <c r="F2" s="311"/>
      <c r="G2" s="311"/>
      <c r="H2" s="311"/>
    </row>
    <row r="4" spans="1:8">
      <c r="A4" s="157" t="s">
        <v>603</v>
      </c>
      <c r="B4" s="157" t="s">
        <v>604</v>
      </c>
      <c r="C4" s="160" t="s">
        <v>168</v>
      </c>
      <c r="E4" s="157" t="s">
        <v>603</v>
      </c>
      <c r="F4" s="157" t="s">
        <v>604</v>
      </c>
      <c r="G4" s="160" t="s">
        <v>168</v>
      </c>
    </row>
    <row r="5" spans="1:8">
      <c r="A5" s="9" t="s">
        <v>605</v>
      </c>
      <c r="B5" s="9" t="s">
        <v>606</v>
      </c>
      <c r="C5" s="164" t="str">
        <f t="shared" ref="C5:C9" si="0">IF(A5=B5,"Matching","Not Matching")</f>
        <v>Not Matching</v>
      </c>
      <c r="E5" s="9">
        <v>343749</v>
      </c>
      <c r="F5" s="9">
        <v>160466</v>
      </c>
      <c r="G5" s="9">
        <f>VLOOKUP(F5,E5:E12,1,0)</f>
        <v>160466</v>
      </c>
    </row>
    <row r="6" spans="1:8">
      <c r="A6" s="9" t="s">
        <v>607</v>
      </c>
      <c r="B6" s="9" t="s">
        <v>607</v>
      </c>
      <c r="C6" s="164" t="str">
        <f t="shared" si="0"/>
        <v>Matching</v>
      </c>
      <c r="E6" s="9">
        <v>183257</v>
      </c>
      <c r="F6" s="9">
        <v>183258</v>
      </c>
      <c r="G6" s="9" t="str">
        <f>IFERROR(VLOOKUP(F6,E5:E12,1,0),"Value not in List 1")</f>
        <v>Value not in List 1</v>
      </c>
    </row>
    <row r="7" spans="1:8">
      <c r="A7" s="9" t="s">
        <v>608</v>
      </c>
      <c r="B7" s="9" t="s">
        <v>609</v>
      </c>
      <c r="C7" s="164" t="str">
        <f t="shared" si="0"/>
        <v>Not Matching</v>
      </c>
      <c r="E7" s="9">
        <v>160466</v>
      </c>
      <c r="F7" s="9">
        <v>249447</v>
      </c>
      <c r="G7" s="9">
        <f>VLOOKUP(F7,E5:E12,1,0)</f>
        <v>249447</v>
      </c>
    </row>
    <row r="8" spans="1:8">
      <c r="A8" s="9" t="s">
        <v>610</v>
      </c>
      <c r="B8" s="9" t="s">
        <v>610</v>
      </c>
      <c r="C8" s="164" t="str">
        <f t="shared" si="0"/>
        <v>Matching</v>
      </c>
      <c r="E8" s="9">
        <v>249447</v>
      </c>
      <c r="F8" s="9">
        <v>343749</v>
      </c>
      <c r="G8" s="9">
        <f>VLOOKUP(F8,E5:E12,1,0)</f>
        <v>343749</v>
      </c>
    </row>
    <row r="9" spans="1:8">
      <c r="A9" s="9" t="s">
        <v>611</v>
      </c>
      <c r="B9" s="9" t="s">
        <v>612</v>
      </c>
      <c r="C9" s="164" t="str">
        <f t="shared" si="0"/>
        <v>Not Matching</v>
      </c>
      <c r="E9" s="9">
        <v>532765</v>
      </c>
      <c r="F9" s="9">
        <v>356160</v>
      </c>
      <c r="G9" s="9" t="str">
        <f>IFERROR(VLOOKUP(F9,E5:E12,1,0),"Value not in List 1")</f>
        <v>Value not in List 1</v>
      </c>
    </row>
    <row r="10" spans="1:8">
      <c r="E10" s="9">
        <v>356163</v>
      </c>
      <c r="F10" s="9">
        <v>379391</v>
      </c>
      <c r="G10" s="9">
        <f>VLOOKUP(F10,E5:E12,1,0)</f>
        <v>379391</v>
      </c>
    </row>
    <row r="11" spans="1:8">
      <c r="A11" s="14" t="s">
        <v>613</v>
      </c>
      <c r="E11" s="9">
        <v>455292</v>
      </c>
      <c r="F11" s="9">
        <v>455292</v>
      </c>
      <c r="G11" s="9">
        <f>VLOOKUP(F11,E5:E12,1,0)</f>
        <v>455292</v>
      </c>
    </row>
    <row r="12" spans="1:8">
      <c r="E12" s="9">
        <v>379391</v>
      </c>
      <c r="F12" s="9">
        <v>532765</v>
      </c>
      <c r="G12" s="9">
        <f>VLOOKUP(F12,E5:E12,1,0)</f>
        <v>532765</v>
      </c>
    </row>
    <row r="14" spans="1:8">
      <c r="E14" s="14" t="s">
        <v>614</v>
      </c>
    </row>
    <row r="16" spans="1:8">
      <c r="A16" s="109" t="s">
        <v>615</v>
      </c>
      <c r="B16" s="93"/>
      <c r="C16" s="119" t="s">
        <v>168</v>
      </c>
      <c r="D16" s="17"/>
      <c r="E16" s="109" t="s">
        <v>616</v>
      </c>
    </row>
    <row r="17" spans="1:5">
      <c r="A17" s="9" t="s">
        <v>617</v>
      </c>
      <c r="B17" s="93"/>
      <c r="C17" s="9" t="str">
        <f t="shared" ref="C17:C22" si="1">VLOOKUP(A17,E17:E22,1,FALSE)</f>
        <v>Red</v>
      </c>
      <c r="D17" s="97"/>
      <c r="E17" s="9" t="s">
        <v>617</v>
      </c>
    </row>
    <row r="18" spans="1:5">
      <c r="A18" s="9" t="s">
        <v>618</v>
      </c>
      <c r="B18" s="93"/>
      <c r="C18" s="9" t="str">
        <f t="shared" si="1"/>
        <v>Yellow</v>
      </c>
      <c r="D18" s="97"/>
      <c r="E18" s="9" t="s">
        <v>618</v>
      </c>
    </row>
    <row r="19" spans="1:5">
      <c r="A19" s="9" t="s">
        <v>619</v>
      </c>
      <c r="B19" s="93"/>
      <c r="C19" s="9" t="str">
        <f t="shared" si="1"/>
        <v>Green</v>
      </c>
      <c r="D19" s="97"/>
      <c r="E19" s="9" t="s">
        <v>620</v>
      </c>
    </row>
    <row r="20" spans="1:5">
      <c r="A20" s="9" t="s">
        <v>621</v>
      </c>
      <c r="B20" s="93"/>
      <c r="C20" s="9" t="e">
        <f t="shared" si="1"/>
        <v>#N/A</v>
      </c>
      <c r="D20" s="97"/>
      <c r="E20" s="9" t="s">
        <v>619</v>
      </c>
    </row>
    <row r="21" spans="1:5" ht="15.75" customHeight="1">
      <c r="A21" s="9" t="s">
        <v>374</v>
      </c>
      <c r="B21" s="93"/>
      <c r="C21" s="9" t="str">
        <f t="shared" si="1"/>
        <v>Orange</v>
      </c>
      <c r="D21" s="97"/>
      <c r="E21" s="9" t="s">
        <v>374</v>
      </c>
    </row>
    <row r="22" spans="1:5" ht="15.75" customHeight="1">
      <c r="A22" s="9" t="s">
        <v>622</v>
      </c>
      <c r="B22" s="93"/>
      <c r="C22" s="9" t="e">
        <f t="shared" si="1"/>
        <v>#N/A</v>
      </c>
      <c r="D22" s="97"/>
      <c r="E22" s="9" t="s">
        <v>623</v>
      </c>
    </row>
    <row r="23" spans="1:5" ht="15.75" customHeight="1"/>
    <row r="24" spans="1:5" ht="15.75" customHeight="1">
      <c r="A24" s="14" t="s">
        <v>624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sqref="A1:D1"/>
    </sheetView>
  </sheetViews>
  <sheetFormatPr defaultColWidth="14.42578125" defaultRowHeight="15" customHeight="1"/>
  <cols>
    <col min="1" max="1" width="7.140625" customWidth="1"/>
    <col min="2" max="2" width="12" customWidth="1"/>
    <col min="3" max="3" width="13.140625" customWidth="1"/>
    <col min="4" max="4" width="22.7109375" customWidth="1"/>
    <col min="5" max="26" width="8" customWidth="1"/>
  </cols>
  <sheetData>
    <row r="1" spans="1:8" ht="18.75" customHeight="1">
      <c r="A1" s="310" t="s">
        <v>625</v>
      </c>
      <c r="B1" s="311"/>
      <c r="C1" s="311"/>
      <c r="D1" s="311"/>
      <c r="E1" s="16"/>
      <c r="F1" s="16"/>
      <c r="G1" s="16"/>
      <c r="H1" s="16"/>
    </row>
    <row r="2" spans="1:8">
      <c r="A2" s="313" t="s">
        <v>626</v>
      </c>
      <c r="B2" s="311"/>
      <c r="C2" s="311"/>
      <c r="D2" s="311"/>
      <c r="E2" s="14"/>
      <c r="F2" s="14"/>
      <c r="G2" s="14"/>
      <c r="H2" s="14"/>
    </row>
    <row r="4" spans="1:8">
      <c r="A4" s="165" t="s">
        <v>475</v>
      </c>
      <c r="B4" s="165" t="s">
        <v>198</v>
      </c>
      <c r="C4" s="165" t="s">
        <v>197</v>
      </c>
      <c r="D4" s="157" t="s">
        <v>229</v>
      </c>
    </row>
    <row r="5" spans="1:8">
      <c r="A5" s="9" t="s">
        <v>627</v>
      </c>
      <c r="B5" s="9" t="s">
        <v>628</v>
      </c>
      <c r="C5" s="9" t="s">
        <v>629</v>
      </c>
      <c r="D5" s="9" t="str">
        <f t="shared" ref="D5:D10" si="0">CONCATENATE(B5," ",C5)</f>
        <v>Vishal Mohan</v>
      </c>
    </row>
    <row r="6" spans="1:8">
      <c r="A6" s="9" t="s">
        <v>630</v>
      </c>
      <c r="B6" s="9" t="s">
        <v>203</v>
      </c>
      <c r="C6" s="9" t="s">
        <v>631</v>
      </c>
      <c r="D6" s="9" t="str">
        <f t="shared" si="0"/>
        <v>John Mathew</v>
      </c>
    </row>
    <row r="7" spans="1:8">
      <c r="A7" s="9" t="s">
        <v>632</v>
      </c>
      <c r="B7" s="9" t="s">
        <v>633</v>
      </c>
      <c r="C7" s="9" t="s">
        <v>634</v>
      </c>
      <c r="D7" s="9" t="str">
        <f t="shared" si="0"/>
        <v>Jamemah Powel</v>
      </c>
    </row>
    <row r="8" spans="1:8">
      <c r="A8" s="9" t="s">
        <v>635</v>
      </c>
      <c r="B8" s="9" t="s">
        <v>636</v>
      </c>
      <c r="C8" s="9" t="s">
        <v>637</v>
      </c>
      <c r="D8" s="9" t="str">
        <f t="shared" si="0"/>
        <v>Arundhati Swaminathan</v>
      </c>
    </row>
    <row r="9" spans="1:8">
      <c r="A9" s="9" t="s">
        <v>638</v>
      </c>
      <c r="B9" s="9" t="s">
        <v>208</v>
      </c>
      <c r="C9" s="9" t="s">
        <v>639</v>
      </c>
      <c r="D9" s="9" t="str">
        <f t="shared" si="0"/>
        <v>Peter Potter</v>
      </c>
    </row>
    <row r="10" spans="1:8">
      <c r="A10" s="9" t="s">
        <v>640</v>
      </c>
      <c r="B10" s="9" t="s">
        <v>641</v>
      </c>
      <c r="C10" s="9" t="s">
        <v>221</v>
      </c>
      <c r="D10" s="9" t="str">
        <f t="shared" si="0"/>
        <v>Roger Williams</v>
      </c>
    </row>
    <row r="12" spans="1:8">
      <c r="A12" s="97" t="s">
        <v>642</v>
      </c>
      <c r="B12" s="14" t="s">
        <v>643</v>
      </c>
      <c r="C12" s="14"/>
    </row>
    <row r="15" spans="1:8">
      <c r="A15" s="165" t="s">
        <v>475</v>
      </c>
      <c r="B15" s="166" t="s">
        <v>198</v>
      </c>
      <c r="C15" s="165" t="s">
        <v>197</v>
      </c>
      <c r="D15" s="157" t="s">
        <v>229</v>
      </c>
    </row>
    <row r="16" spans="1:8">
      <c r="A16" s="9" t="s">
        <v>627</v>
      </c>
      <c r="B16" s="9" t="s">
        <v>628</v>
      </c>
      <c r="C16" s="9" t="s">
        <v>629</v>
      </c>
      <c r="D16" s="9" t="str">
        <f t="shared" ref="D16:D21" si="1">B16&amp;" "&amp;C16</f>
        <v>Vishal Mohan</v>
      </c>
    </row>
    <row r="17" spans="1:4">
      <c r="A17" s="9" t="s">
        <v>630</v>
      </c>
      <c r="B17" s="9" t="s">
        <v>203</v>
      </c>
      <c r="C17" s="9" t="s">
        <v>631</v>
      </c>
      <c r="D17" s="9" t="str">
        <f t="shared" si="1"/>
        <v>John Mathew</v>
      </c>
    </row>
    <row r="18" spans="1:4">
      <c r="A18" s="9" t="s">
        <v>632</v>
      </c>
      <c r="B18" s="9" t="s">
        <v>633</v>
      </c>
      <c r="C18" s="9" t="s">
        <v>634</v>
      </c>
      <c r="D18" s="9" t="str">
        <f t="shared" si="1"/>
        <v>Jamemah Powel</v>
      </c>
    </row>
    <row r="19" spans="1:4">
      <c r="A19" s="9" t="s">
        <v>635</v>
      </c>
      <c r="B19" s="9" t="s">
        <v>636</v>
      </c>
      <c r="C19" s="9" t="s">
        <v>637</v>
      </c>
      <c r="D19" s="9" t="str">
        <f t="shared" si="1"/>
        <v>Arundhati Swaminathan</v>
      </c>
    </row>
    <row r="20" spans="1:4">
      <c r="A20" s="9" t="s">
        <v>638</v>
      </c>
      <c r="B20" s="9" t="s">
        <v>208</v>
      </c>
      <c r="C20" s="9" t="s">
        <v>639</v>
      </c>
      <c r="D20" s="9" t="str">
        <f t="shared" si="1"/>
        <v>Peter Potter</v>
      </c>
    </row>
    <row r="21" spans="1:4" ht="15.75" customHeight="1">
      <c r="A21" s="9" t="s">
        <v>640</v>
      </c>
      <c r="B21" s="9" t="s">
        <v>641</v>
      </c>
      <c r="C21" s="9" t="s">
        <v>221</v>
      </c>
      <c r="D21" s="9" t="str">
        <f t="shared" si="1"/>
        <v>Roger Williams</v>
      </c>
    </row>
    <row r="22" spans="1:4" ht="15.75" customHeight="1"/>
    <row r="23" spans="1:4" ht="15.75" customHeight="1">
      <c r="A23" s="97" t="s">
        <v>642</v>
      </c>
      <c r="B23" s="14" t="s">
        <v>644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sqref="A1:E1"/>
    </sheetView>
  </sheetViews>
  <sheetFormatPr defaultColWidth="14.42578125" defaultRowHeight="15" customHeight="1"/>
  <cols>
    <col min="1" max="1" width="12.7109375" customWidth="1"/>
    <col min="2" max="2" width="10.85546875" customWidth="1"/>
    <col min="3" max="3" width="16.7109375" customWidth="1"/>
    <col min="4" max="4" width="22.85546875" customWidth="1"/>
    <col min="5" max="5" width="11.42578125" customWidth="1"/>
    <col min="6" max="26" width="8" customWidth="1"/>
  </cols>
  <sheetData>
    <row r="1" spans="1:17" ht="18.75" customHeight="1">
      <c r="A1" s="310" t="s">
        <v>645</v>
      </c>
      <c r="B1" s="311"/>
      <c r="C1" s="311"/>
      <c r="D1" s="311"/>
      <c r="E1" s="311"/>
    </row>
    <row r="2" spans="1:17">
      <c r="A2" s="313" t="s">
        <v>646</v>
      </c>
      <c r="B2" s="311"/>
      <c r="C2" s="311"/>
      <c r="D2" s="311"/>
      <c r="E2" s="311"/>
    </row>
    <row r="4" spans="1:17">
      <c r="A4" s="330" t="s">
        <v>647</v>
      </c>
      <c r="B4" s="317"/>
      <c r="C4" s="317"/>
      <c r="D4" s="317"/>
      <c r="E4" s="318"/>
    </row>
    <row r="5" spans="1:17">
      <c r="A5" s="167" t="s">
        <v>147</v>
      </c>
      <c r="B5" s="167" t="s">
        <v>648</v>
      </c>
      <c r="C5" s="167" t="s">
        <v>169</v>
      </c>
      <c r="D5" s="167" t="s">
        <v>649</v>
      </c>
      <c r="E5" s="167" t="s">
        <v>650</v>
      </c>
      <c r="I5" s="6">
        <f>SUMIF(A6:A26,A7,B6:B26)</f>
        <v>3213</v>
      </c>
      <c r="M5" s="6" t="str">
        <f>VLOOKUP(C6,C6:E26,2,0)</f>
        <v>MIS-OPERATION</v>
      </c>
    </row>
    <row r="6" spans="1:17">
      <c r="A6" s="168">
        <v>43405</v>
      </c>
      <c r="B6" s="137">
        <v>1101</v>
      </c>
      <c r="C6" s="137" t="s">
        <v>651</v>
      </c>
      <c r="D6" s="137" t="s">
        <v>652</v>
      </c>
      <c r="E6" s="137" t="s">
        <v>116</v>
      </c>
    </row>
    <row r="7" spans="1:17">
      <c r="A7" s="168">
        <v>43405</v>
      </c>
      <c r="B7" s="137">
        <v>1102</v>
      </c>
      <c r="C7" s="137" t="s">
        <v>13</v>
      </c>
      <c r="D7" s="137" t="s">
        <v>653</v>
      </c>
      <c r="E7" s="137" t="s">
        <v>654</v>
      </c>
      <c r="P7" s="5">
        <v>1</v>
      </c>
      <c r="Q7" s="5">
        <v>1</v>
      </c>
    </row>
    <row r="8" spans="1:17">
      <c r="A8" s="168">
        <v>43407</v>
      </c>
      <c r="B8" s="137">
        <v>1103</v>
      </c>
      <c r="C8" s="137" t="s">
        <v>655</v>
      </c>
      <c r="D8" s="137" t="s">
        <v>656</v>
      </c>
      <c r="E8" s="137" t="s">
        <v>657</v>
      </c>
      <c r="P8" s="5">
        <v>1</v>
      </c>
      <c r="Q8" s="5">
        <v>4</v>
      </c>
    </row>
    <row r="9" spans="1:17">
      <c r="A9" s="168">
        <v>43407</v>
      </c>
      <c r="B9" s="137">
        <v>1104</v>
      </c>
      <c r="C9" s="137" t="s">
        <v>658</v>
      </c>
      <c r="D9" s="137" t="s">
        <v>659</v>
      </c>
      <c r="E9" s="137" t="s">
        <v>660</v>
      </c>
      <c r="P9" s="5">
        <v>2</v>
      </c>
    </row>
    <row r="10" spans="1:17">
      <c r="A10" s="168">
        <v>43407</v>
      </c>
      <c r="B10" s="137">
        <v>1105</v>
      </c>
      <c r="C10" s="137" t="s">
        <v>661</v>
      </c>
      <c r="D10" s="137" t="s">
        <v>662</v>
      </c>
      <c r="E10" s="137" t="s">
        <v>663</v>
      </c>
      <c r="P10" s="5">
        <v>3</v>
      </c>
    </row>
    <row r="11" spans="1:17">
      <c r="A11" s="168">
        <v>43410</v>
      </c>
      <c r="B11" s="137">
        <v>1106</v>
      </c>
      <c r="C11" s="137" t="s">
        <v>664</v>
      </c>
      <c r="D11" s="137" t="s">
        <v>662</v>
      </c>
      <c r="E11" s="137" t="s">
        <v>665</v>
      </c>
    </row>
    <row r="12" spans="1:17">
      <c r="A12" s="168">
        <v>43410</v>
      </c>
      <c r="B12" s="137">
        <v>1107</v>
      </c>
      <c r="C12" s="137" t="s">
        <v>666</v>
      </c>
      <c r="D12" s="137" t="s">
        <v>667</v>
      </c>
      <c r="E12" s="137" t="s">
        <v>668</v>
      </c>
      <c r="P12" s="5">
        <v>1</v>
      </c>
      <c r="Q12" s="5">
        <v>1</v>
      </c>
    </row>
    <row r="13" spans="1:17">
      <c r="A13" s="168">
        <v>43412</v>
      </c>
      <c r="B13" s="137">
        <v>1108</v>
      </c>
      <c r="C13" s="137" t="s">
        <v>669</v>
      </c>
      <c r="D13" s="137" t="s">
        <v>670</v>
      </c>
      <c r="E13" s="137" t="s">
        <v>671</v>
      </c>
      <c r="L13" s="5" t="s">
        <v>672</v>
      </c>
      <c r="P13" s="5">
        <v>1</v>
      </c>
      <c r="Q13" s="5">
        <v>1</v>
      </c>
    </row>
    <row r="14" spans="1:17">
      <c r="A14" s="168">
        <v>43412</v>
      </c>
      <c r="B14" s="137">
        <v>1109</v>
      </c>
      <c r="C14" s="137" t="s">
        <v>673</v>
      </c>
      <c r="D14" s="137" t="s">
        <v>674</v>
      </c>
      <c r="E14" s="137" t="s">
        <v>116</v>
      </c>
      <c r="I14" s="137" t="s">
        <v>675</v>
      </c>
      <c r="K14" s="5" t="s">
        <v>676</v>
      </c>
      <c r="L14" s="6" t="e">
        <f t="array" ref="L14">INDEX(A6:E26,MATCH(K14,C6:C26,0),MATCH(L13,B5:E5,0))</f>
        <v>#N/A</v>
      </c>
      <c r="P14" s="5">
        <v>2</v>
      </c>
    </row>
    <row r="15" spans="1:17">
      <c r="A15" s="168">
        <v>43412</v>
      </c>
      <c r="B15" s="137">
        <v>1110</v>
      </c>
      <c r="C15" s="137" t="s">
        <v>677</v>
      </c>
      <c r="D15" s="137" t="s">
        <v>674</v>
      </c>
      <c r="E15" s="137" t="s">
        <v>678</v>
      </c>
      <c r="K15" s="5" t="s">
        <v>669</v>
      </c>
      <c r="P15" s="5">
        <v>3</v>
      </c>
    </row>
    <row r="16" spans="1:17">
      <c r="A16" s="168">
        <v>43413</v>
      </c>
      <c r="B16" s="137">
        <v>1111</v>
      </c>
      <c r="C16" s="137" t="s">
        <v>679</v>
      </c>
      <c r="D16" s="137" t="s">
        <v>674</v>
      </c>
      <c r="E16" s="137" t="s">
        <v>678</v>
      </c>
    </row>
    <row r="17" spans="1:17">
      <c r="A17" s="168">
        <v>43413</v>
      </c>
      <c r="B17" s="137">
        <v>1109</v>
      </c>
      <c r="C17" s="137" t="s">
        <v>673</v>
      </c>
      <c r="D17" s="137" t="s">
        <v>674</v>
      </c>
      <c r="E17" s="137" t="s">
        <v>678</v>
      </c>
      <c r="P17" s="5">
        <v>1</v>
      </c>
      <c r="Q17" s="5">
        <v>1</v>
      </c>
    </row>
    <row r="18" spans="1:17">
      <c r="A18" s="168">
        <v>43414</v>
      </c>
      <c r="B18" s="137">
        <v>1112</v>
      </c>
      <c r="C18" s="137" t="s">
        <v>680</v>
      </c>
      <c r="D18" s="137" t="s">
        <v>674</v>
      </c>
      <c r="E18" s="137" t="s">
        <v>681</v>
      </c>
      <c r="P18" s="5">
        <v>1</v>
      </c>
      <c r="Q18" s="5">
        <v>1</v>
      </c>
    </row>
    <row r="19" spans="1:17">
      <c r="A19" s="168">
        <v>43414</v>
      </c>
      <c r="B19" s="137">
        <v>1113</v>
      </c>
      <c r="C19" s="137" t="s">
        <v>682</v>
      </c>
      <c r="D19" s="137" t="s">
        <v>674</v>
      </c>
      <c r="E19" s="137" t="s">
        <v>683</v>
      </c>
      <c r="P19" s="5" t="s">
        <v>684</v>
      </c>
      <c r="Q19" s="5">
        <v>4</v>
      </c>
    </row>
    <row r="20" spans="1:17">
      <c r="A20" s="168">
        <v>43414</v>
      </c>
      <c r="B20" s="137">
        <v>1114</v>
      </c>
      <c r="C20" s="137" t="s">
        <v>685</v>
      </c>
      <c r="D20" s="137" t="s">
        <v>674</v>
      </c>
      <c r="E20" s="137" t="s">
        <v>683</v>
      </c>
    </row>
    <row r="21" spans="1:17" ht="15.75" customHeight="1">
      <c r="A21" s="168">
        <v>43414</v>
      </c>
      <c r="B21" s="137">
        <v>1115</v>
      </c>
      <c r="C21" s="137" t="s">
        <v>675</v>
      </c>
      <c r="D21" s="137" t="s">
        <v>674</v>
      </c>
      <c r="E21" s="137" t="s">
        <v>686</v>
      </c>
    </row>
    <row r="22" spans="1:17" ht="15.75" customHeight="1">
      <c r="A22" s="168">
        <v>43415</v>
      </c>
      <c r="B22" s="137">
        <v>1109</v>
      </c>
      <c r="C22" s="137" t="s">
        <v>673</v>
      </c>
      <c r="D22" s="137" t="s">
        <v>674</v>
      </c>
      <c r="E22" s="137" t="s">
        <v>678</v>
      </c>
      <c r="P22" s="5">
        <v>1</v>
      </c>
      <c r="Q22" s="5">
        <v>1</v>
      </c>
    </row>
    <row r="23" spans="1:17" ht="15.75" customHeight="1">
      <c r="A23" s="168">
        <v>43415</v>
      </c>
      <c r="B23" s="137">
        <v>1116</v>
      </c>
      <c r="C23" s="137" t="s">
        <v>687</v>
      </c>
      <c r="D23" s="137" t="s">
        <v>674</v>
      </c>
      <c r="E23" s="137" t="s">
        <v>686</v>
      </c>
      <c r="P23" s="5">
        <v>1</v>
      </c>
      <c r="Q23" s="5">
        <v>1</v>
      </c>
    </row>
    <row r="24" spans="1:17" ht="15.75" customHeight="1">
      <c r="A24" s="168">
        <v>43415</v>
      </c>
      <c r="B24" s="137">
        <v>1116</v>
      </c>
      <c r="C24" s="137" t="s">
        <v>687</v>
      </c>
      <c r="D24" s="137" t="s">
        <v>674</v>
      </c>
      <c r="E24" s="137" t="s">
        <v>686</v>
      </c>
      <c r="Q24" s="5">
        <v>4</v>
      </c>
    </row>
    <row r="25" spans="1:17" ht="15.75" customHeight="1">
      <c r="A25" s="168">
        <v>43415</v>
      </c>
      <c r="B25" s="137">
        <v>1116</v>
      </c>
      <c r="C25" s="137" t="s">
        <v>687</v>
      </c>
      <c r="D25" s="137" t="s">
        <v>674</v>
      </c>
      <c r="E25" s="137" t="s">
        <v>686</v>
      </c>
      <c r="P25" s="5">
        <v>2</v>
      </c>
    </row>
    <row r="26" spans="1:17" ht="15.75" customHeight="1">
      <c r="A26" s="169">
        <v>43405</v>
      </c>
      <c r="B26" s="137">
        <v>1010</v>
      </c>
      <c r="C26" s="137" t="s">
        <v>688</v>
      </c>
      <c r="D26" s="137" t="s">
        <v>689</v>
      </c>
      <c r="E26" s="137" t="s">
        <v>690</v>
      </c>
    </row>
    <row r="27" spans="1:17" ht="15.75" customHeight="1"/>
    <row r="28" spans="1:17" ht="15.75" customHeight="1">
      <c r="A28" s="14" t="s">
        <v>691</v>
      </c>
      <c r="D28" s="170" t="s">
        <v>30</v>
      </c>
    </row>
    <row r="29" spans="1:17" ht="15.75" customHeight="1">
      <c r="A29" s="14" t="s">
        <v>692</v>
      </c>
      <c r="D29" s="170" t="s">
        <v>26</v>
      </c>
    </row>
    <row r="30" spans="1:17" ht="15.75" customHeight="1">
      <c r="A30" s="14" t="s">
        <v>693</v>
      </c>
      <c r="E30" s="49" t="s">
        <v>388</v>
      </c>
    </row>
    <row r="31" spans="1:17" ht="15.75" customHeight="1">
      <c r="A31" s="14" t="s">
        <v>694</v>
      </c>
      <c r="E31" s="49" t="s">
        <v>695</v>
      </c>
    </row>
    <row r="32" spans="1:17" ht="15.75" customHeight="1">
      <c r="A32" s="14" t="s">
        <v>696</v>
      </c>
      <c r="E32" s="49" t="s">
        <v>697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2:E2"/>
    <mergeCell ref="A4:E4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E1"/>
    </sheetView>
  </sheetViews>
  <sheetFormatPr defaultColWidth="14.42578125" defaultRowHeight="15" customHeight="1"/>
  <cols>
    <col min="1" max="26" width="12.5703125" customWidth="1"/>
  </cols>
  <sheetData>
    <row r="1" spans="1:5" ht="18.75" customHeight="1">
      <c r="A1" s="310" t="s">
        <v>698</v>
      </c>
      <c r="B1" s="311"/>
      <c r="C1" s="311"/>
      <c r="D1" s="311"/>
      <c r="E1" s="311"/>
    </row>
    <row r="2" spans="1:5">
      <c r="A2" s="313" t="s">
        <v>699</v>
      </c>
      <c r="B2" s="311"/>
      <c r="C2" s="311"/>
      <c r="D2" s="311"/>
      <c r="E2" s="311"/>
    </row>
    <row r="3" spans="1:5">
      <c r="A3" s="17"/>
      <c r="B3" s="17"/>
      <c r="C3" s="17"/>
      <c r="D3" s="17"/>
      <c r="E3" s="17"/>
    </row>
    <row r="4" spans="1:5">
      <c r="C4" s="171" t="s">
        <v>700</v>
      </c>
    </row>
    <row r="5" spans="1:5">
      <c r="A5" s="172" t="s">
        <v>648</v>
      </c>
      <c r="B5" s="172" t="s">
        <v>198</v>
      </c>
      <c r="C5" s="172" t="s">
        <v>197</v>
      </c>
      <c r="D5" s="172" t="s">
        <v>231</v>
      </c>
      <c r="E5" s="172" t="s">
        <v>701</v>
      </c>
    </row>
    <row r="6" spans="1:5">
      <c r="A6" s="173">
        <v>101</v>
      </c>
      <c r="B6" s="173" t="s">
        <v>702</v>
      </c>
      <c r="C6" s="173" t="s">
        <v>703</v>
      </c>
      <c r="D6" s="173" t="s">
        <v>249</v>
      </c>
      <c r="E6" s="173" t="s">
        <v>704</v>
      </c>
    </row>
    <row r="7" spans="1:5">
      <c r="A7" s="9">
        <v>102</v>
      </c>
      <c r="B7" s="9" t="s">
        <v>705</v>
      </c>
      <c r="C7" s="9" t="s">
        <v>706</v>
      </c>
      <c r="D7" s="9" t="s">
        <v>238</v>
      </c>
      <c r="E7" s="9" t="s">
        <v>572</v>
      </c>
    </row>
    <row r="8" spans="1:5">
      <c r="A8" s="173">
        <v>103</v>
      </c>
      <c r="B8" s="173" t="s">
        <v>182</v>
      </c>
      <c r="C8" s="173" t="s">
        <v>491</v>
      </c>
      <c r="D8" s="173" t="s">
        <v>249</v>
      </c>
      <c r="E8" s="173" t="s">
        <v>572</v>
      </c>
    </row>
    <row r="9" spans="1:5">
      <c r="A9" s="9">
        <v>104</v>
      </c>
      <c r="B9" s="9" t="s">
        <v>176</v>
      </c>
      <c r="C9" s="9" t="s">
        <v>325</v>
      </c>
      <c r="D9" s="9" t="s">
        <v>238</v>
      </c>
      <c r="E9" s="9" t="s">
        <v>570</v>
      </c>
    </row>
    <row r="10" spans="1:5">
      <c r="A10" s="173">
        <v>105</v>
      </c>
      <c r="B10" s="173" t="s">
        <v>182</v>
      </c>
      <c r="C10" s="173" t="s">
        <v>206</v>
      </c>
      <c r="D10" s="173" t="s">
        <v>238</v>
      </c>
      <c r="E10" s="173" t="s">
        <v>704</v>
      </c>
    </row>
    <row r="11" spans="1:5">
      <c r="A11" s="9">
        <v>106</v>
      </c>
      <c r="B11" s="9" t="s">
        <v>707</v>
      </c>
      <c r="C11" s="9" t="s">
        <v>708</v>
      </c>
      <c r="D11" s="9" t="s">
        <v>489</v>
      </c>
      <c r="E11" s="9" t="s">
        <v>570</v>
      </c>
    </row>
    <row r="12" spans="1:5">
      <c r="A12" s="173">
        <v>107</v>
      </c>
      <c r="B12" s="173" t="s">
        <v>709</v>
      </c>
      <c r="C12" s="173" t="s">
        <v>710</v>
      </c>
      <c r="D12" s="173" t="s">
        <v>249</v>
      </c>
      <c r="E12" s="173" t="s">
        <v>572</v>
      </c>
    </row>
    <row r="13" spans="1:5">
      <c r="A13" s="9">
        <v>108</v>
      </c>
      <c r="B13" s="9" t="s">
        <v>711</v>
      </c>
      <c r="C13" s="9" t="s">
        <v>712</v>
      </c>
      <c r="D13" s="9" t="s">
        <v>238</v>
      </c>
      <c r="E13" s="9" t="s">
        <v>704</v>
      </c>
    </row>
    <row r="14" spans="1:5">
      <c r="A14" s="173">
        <v>109</v>
      </c>
      <c r="B14" s="173" t="s">
        <v>713</v>
      </c>
      <c r="C14" s="173" t="s">
        <v>714</v>
      </c>
      <c r="D14" s="173" t="s">
        <v>489</v>
      </c>
      <c r="E14" s="173" t="s">
        <v>572</v>
      </c>
    </row>
    <row r="15" spans="1:5">
      <c r="A15" s="174">
        <v>110</v>
      </c>
      <c r="B15" s="174" t="s">
        <v>715</v>
      </c>
      <c r="C15" s="174" t="s">
        <v>716</v>
      </c>
      <c r="D15" s="174" t="s">
        <v>489</v>
      </c>
      <c r="E15" s="174" t="s">
        <v>570</v>
      </c>
    </row>
    <row r="19" spans="1:11">
      <c r="C19" s="171" t="s">
        <v>717</v>
      </c>
    </row>
    <row r="20" spans="1:11">
      <c r="A20" s="172" t="s">
        <v>648</v>
      </c>
      <c r="B20" s="172" t="s">
        <v>198</v>
      </c>
      <c r="C20" s="172" t="s">
        <v>197</v>
      </c>
      <c r="D20" s="172" t="s">
        <v>231</v>
      </c>
      <c r="E20" s="172" t="s">
        <v>701</v>
      </c>
      <c r="G20" s="175" t="s">
        <v>648</v>
      </c>
      <c r="H20" s="172" t="s">
        <v>198</v>
      </c>
      <c r="I20" s="176" t="s">
        <v>197</v>
      </c>
      <c r="J20" s="172" t="s">
        <v>231</v>
      </c>
      <c r="K20" s="177" t="s">
        <v>701</v>
      </c>
    </row>
    <row r="21" spans="1:11" ht="15.75" customHeight="1">
      <c r="A21" s="173">
        <v>101</v>
      </c>
      <c r="B21" s="173" t="str">
        <f t="shared" ref="B21:E21" si="0">VLOOKUP(A21,A5:E15,2, )</f>
        <v>Donald</v>
      </c>
      <c r="C21" s="173" t="str">
        <f t="shared" si="0"/>
        <v>Patrick</v>
      </c>
      <c r="D21" s="173" t="str">
        <f t="shared" si="0"/>
        <v>Finance</v>
      </c>
      <c r="E21" s="173" t="str">
        <f t="shared" si="0"/>
        <v>Banglore</v>
      </c>
      <c r="G21" s="178">
        <v>101</v>
      </c>
      <c r="H21" s="35" t="str">
        <f t="shared" ref="H21:H30" si="1">VLOOKUP($G21,$A$5:$E$15,2,0)</f>
        <v>Donald</v>
      </c>
      <c r="I21" s="179" t="str">
        <f t="shared" ref="I21:I30" si="2">VLOOKUP($G21,$A$5:$E$15,3,0)</f>
        <v>Patrick</v>
      </c>
      <c r="J21" s="35" t="str">
        <f t="shared" ref="J21:J30" si="3">VLOOKUP($G21,$A$5:$E$15,4,0)</f>
        <v>Finance</v>
      </c>
      <c r="K21" s="180" t="str">
        <f t="shared" ref="K21:K30" si="4">VLOOKUP($G21,$A$5:$E$15,5,0)</f>
        <v>Banglore</v>
      </c>
    </row>
    <row r="22" spans="1:11" ht="15.75" customHeight="1">
      <c r="A22" s="9">
        <v>103</v>
      </c>
      <c r="B22" s="9" t="s">
        <v>139</v>
      </c>
      <c r="C22" s="9" t="s">
        <v>139</v>
      </c>
      <c r="D22" s="9" t="s">
        <v>139</v>
      </c>
      <c r="E22" s="9" t="s">
        <v>139</v>
      </c>
      <c r="G22" s="178">
        <v>103</v>
      </c>
      <c r="H22" s="35" t="str">
        <f t="shared" si="1"/>
        <v>Ian</v>
      </c>
      <c r="I22" s="179" t="str">
        <f t="shared" si="2"/>
        <v>Jacob</v>
      </c>
      <c r="J22" s="35" t="str">
        <f t="shared" si="3"/>
        <v>Finance</v>
      </c>
      <c r="K22" s="180" t="str">
        <f t="shared" si="4"/>
        <v>Hyderabad</v>
      </c>
    </row>
    <row r="23" spans="1:11" ht="15.75" customHeight="1">
      <c r="A23" s="173">
        <v>102</v>
      </c>
      <c r="B23" s="9" t="s">
        <v>139</v>
      </c>
      <c r="C23" s="9" t="s">
        <v>139</v>
      </c>
      <c r="D23" s="9" t="s">
        <v>139</v>
      </c>
      <c r="E23" s="9" t="s">
        <v>139</v>
      </c>
      <c r="G23" s="178">
        <v>102</v>
      </c>
      <c r="H23" s="35" t="str">
        <f t="shared" si="1"/>
        <v>Samuel</v>
      </c>
      <c r="I23" s="179" t="str">
        <f t="shared" si="2"/>
        <v>Samson</v>
      </c>
      <c r="J23" s="35" t="str">
        <f t="shared" si="3"/>
        <v>Marketing</v>
      </c>
      <c r="K23" s="180" t="str">
        <f t="shared" si="4"/>
        <v>Hyderabad</v>
      </c>
    </row>
    <row r="24" spans="1:11" ht="15.75" customHeight="1">
      <c r="A24" s="9">
        <v>105</v>
      </c>
      <c r="B24" s="9" t="s">
        <v>139</v>
      </c>
      <c r="C24" s="9" t="s">
        <v>139</v>
      </c>
      <c r="D24" s="9" t="s">
        <v>139</v>
      </c>
      <c r="E24" s="9" t="s">
        <v>139</v>
      </c>
      <c r="G24" s="181">
        <v>105</v>
      </c>
      <c r="H24" s="182" t="str">
        <f t="shared" si="1"/>
        <v>Ian</v>
      </c>
      <c r="I24" s="182" t="str">
        <f t="shared" si="2"/>
        <v>Smith</v>
      </c>
      <c r="J24" s="182" t="str">
        <f t="shared" si="3"/>
        <v>Marketing</v>
      </c>
      <c r="K24" s="182" t="str">
        <f t="shared" si="4"/>
        <v>Banglore</v>
      </c>
    </row>
    <row r="25" spans="1:11" ht="15.75" customHeight="1">
      <c r="A25" s="173">
        <v>108</v>
      </c>
      <c r="B25" s="9" t="s">
        <v>139</v>
      </c>
      <c r="C25" s="9" t="s">
        <v>139</v>
      </c>
      <c r="D25" s="9" t="s">
        <v>139</v>
      </c>
      <c r="E25" s="9" t="s">
        <v>139</v>
      </c>
      <c r="G25" s="181">
        <v>108</v>
      </c>
      <c r="H25" s="182" t="str">
        <f t="shared" si="1"/>
        <v>Christine</v>
      </c>
      <c r="I25" s="182" t="str">
        <f t="shared" si="2"/>
        <v>Salvi</v>
      </c>
      <c r="J25" s="182" t="str">
        <f t="shared" si="3"/>
        <v>Marketing</v>
      </c>
      <c r="K25" s="182" t="str">
        <f t="shared" si="4"/>
        <v>Banglore</v>
      </c>
    </row>
    <row r="26" spans="1:11" ht="15.75" customHeight="1">
      <c r="A26" s="9">
        <v>106</v>
      </c>
      <c r="B26" s="9" t="s">
        <v>139</v>
      </c>
      <c r="C26" s="9" t="s">
        <v>139</v>
      </c>
      <c r="D26" s="9" t="s">
        <v>139</v>
      </c>
      <c r="E26" s="9" t="s">
        <v>139</v>
      </c>
      <c r="G26" s="178">
        <v>106</v>
      </c>
      <c r="H26" s="35" t="str">
        <f t="shared" si="1"/>
        <v>Henry</v>
      </c>
      <c r="I26" s="179" t="str">
        <f t="shared" si="2"/>
        <v>Madrid</v>
      </c>
      <c r="J26" s="35" t="str">
        <f t="shared" si="3"/>
        <v>IT</v>
      </c>
      <c r="K26" s="180" t="str">
        <f t="shared" si="4"/>
        <v>Pune</v>
      </c>
    </row>
    <row r="27" spans="1:11" ht="15.75" customHeight="1">
      <c r="A27" s="173">
        <v>107</v>
      </c>
      <c r="B27" s="9" t="s">
        <v>139</v>
      </c>
      <c r="C27" s="9" t="s">
        <v>139</v>
      </c>
      <c r="D27" s="9" t="s">
        <v>139</v>
      </c>
      <c r="E27" s="9" t="s">
        <v>139</v>
      </c>
      <c r="G27" s="178">
        <v>107</v>
      </c>
      <c r="H27" s="35" t="str">
        <f t="shared" si="1"/>
        <v>Ronica</v>
      </c>
      <c r="I27" s="179" t="str">
        <f t="shared" si="2"/>
        <v>Brave</v>
      </c>
      <c r="J27" s="35" t="str">
        <f t="shared" si="3"/>
        <v>Finance</v>
      </c>
      <c r="K27" s="180" t="str">
        <f t="shared" si="4"/>
        <v>Hyderabad</v>
      </c>
    </row>
    <row r="28" spans="1:11" ht="15.75" customHeight="1">
      <c r="A28" s="9">
        <v>104</v>
      </c>
      <c r="B28" s="9" t="s">
        <v>139</v>
      </c>
      <c r="C28" s="9" t="s">
        <v>139</v>
      </c>
      <c r="D28" s="9" t="s">
        <v>139</v>
      </c>
      <c r="E28" s="9" t="s">
        <v>139</v>
      </c>
      <c r="G28" s="178">
        <v>104</v>
      </c>
      <c r="H28" s="35" t="str">
        <f t="shared" si="1"/>
        <v>David</v>
      </c>
      <c r="I28" s="179" t="str">
        <f t="shared" si="2"/>
        <v>Johnson</v>
      </c>
      <c r="J28" s="35" t="str">
        <f t="shared" si="3"/>
        <v>Marketing</v>
      </c>
      <c r="K28" s="180" t="str">
        <f t="shared" si="4"/>
        <v>Pune</v>
      </c>
    </row>
    <row r="29" spans="1:11" ht="15.75" customHeight="1">
      <c r="A29" s="173">
        <v>109</v>
      </c>
      <c r="B29" s="9" t="s">
        <v>139</v>
      </c>
      <c r="C29" s="9" t="s">
        <v>139</v>
      </c>
      <c r="D29" s="9" t="s">
        <v>139</v>
      </c>
      <c r="E29" s="9" t="s">
        <v>139</v>
      </c>
      <c r="G29" s="178">
        <v>109</v>
      </c>
      <c r="H29" s="35" t="str">
        <f t="shared" si="1"/>
        <v>Andrew</v>
      </c>
      <c r="I29" s="179" t="str">
        <f t="shared" si="2"/>
        <v>Baisley</v>
      </c>
      <c r="J29" s="35" t="str">
        <f t="shared" si="3"/>
        <v>IT</v>
      </c>
      <c r="K29" s="180" t="str">
        <f t="shared" si="4"/>
        <v>Hyderabad</v>
      </c>
    </row>
    <row r="30" spans="1:11" ht="15.75" customHeight="1">
      <c r="A30" s="174">
        <v>110</v>
      </c>
      <c r="B30" s="9" t="s">
        <v>139</v>
      </c>
      <c r="C30" s="9" t="s">
        <v>139</v>
      </c>
      <c r="D30" s="9" t="s">
        <v>139</v>
      </c>
      <c r="E30" s="9" t="s">
        <v>139</v>
      </c>
      <c r="G30" s="178">
        <v>110</v>
      </c>
      <c r="H30" s="35" t="str">
        <f t="shared" si="1"/>
        <v>Erica</v>
      </c>
      <c r="I30" s="179" t="str">
        <f t="shared" si="2"/>
        <v>Irons</v>
      </c>
      <c r="J30" s="35" t="str">
        <f t="shared" si="3"/>
        <v>IT</v>
      </c>
      <c r="K30" s="180" t="str">
        <f t="shared" si="4"/>
        <v>Pune</v>
      </c>
    </row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G1"/>
    </sheetView>
  </sheetViews>
  <sheetFormatPr defaultColWidth="14.42578125" defaultRowHeight="15" customHeight="1"/>
  <cols>
    <col min="1" max="1" width="10.42578125" customWidth="1"/>
    <col min="2" max="5" width="8" customWidth="1"/>
    <col min="6" max="6" width="13.85546875" customWidth="1"/>
    <col min="7" max="7" width="17.42578125" customWidth="1"/>
    <col min="8" max="26" width="8" customWidth="1"/>
  </cols>
  <sheetData>
    <row r="1" spans="1:10" ht="18.75" customHeight="1">
      <c r="A1" s="310" t="s">
        <v>718</v>
      </c>
      <c r="B1" s="311"/>
      <c r="C1" s="311"/>
      <c r="D1" s="311"/>
      <c r="E1" s="311"/>
      <c r="F1" s="311"/>
      <c r="G1" s="311"/>
    </row>
    <row r="2" spans="1:10">
      <c r="A2" s="313" t="s">
        <v>719</v>
      </c>
      <c r="B2" s="311"/>
      <c r="C2" s="311"/>
      <c r="D2" s="311"/>
      <c r="E2" s="311"/>
      <c r="F2" s="311"/>
      <c r="G2" s="311"/>
    </row>
    <row r="4" spans="1:10">
      <c r="F4" s="331" t="s">
        <v>720</v>
      </c>
      <c r="G4" s="311"/>
    </row>
    <row r="5" spans="1:10" ht="30" customHeight="1">
      <c r="A5" s="140" t="s">
        <v>721</v>
      </c>
      <c r="B5" s="140" t="s">
        <v>722</v>
      </c>
      <c r="C5" s="140" t="s">
        <v>723</v>
      </c>
      <c r="D5" s="93"/>
      <c r="E5" s="93"/>
      <c r="F5" s="93" t="s">
        <v>722</v>
      </c>
      <c r="G5" s="93" t="s">
        <v>724</v>
      </c>
    </row>
    <row r="6" spans="1:10">
      <c r="A6" s="55">
        <v>43119</v>
      </c>
      <c r="B6" s="55" t="s">
        <v>725</v>
      </c>
      <c r="C6" s="183">
        <v>201439.5</v>
      </c>
      <c r="D6" s="93"/>
      <c r="E6" s="93"/>
      <c r="F6" s="93"/>
      <c r="G6" s="184"/>
    </row>
    <row r="7" spans="1:10">
      <c r="A7" s="55">
        <v>43116</v>
      </c>
      <c r="B7" s="55" t="s">
        <v>725</v>
      </c>
      <c r="C7" s="183">
        <v>352518.75</v>
      </c>
      <c r="D7" s="93"/>
      <c r="E7" s="93"/>
      <c r="F7" s="185" t="s">
        <v>721</v>
      </c>
      <c r="G7" s="186" t="s">
        <v>726</v>
      </c>
    </row>
    <row r="8" spans="1:10">
      <c r="A8" s="55">
        <v>43122</v>
      </c>
      <c r="B8" s="55" t="s">
        <v>725</v>
      </c>
      <c r="C8" s="183">
        <v>172406.25</v>
      </c>
      <c r="D8" s="93"/>
      <c r="E8" s="93"/>
      <c r="F8" s="187">
        <v>43112</v>
      </c>
      <c r="G8" s="188">
        <v>240000</v>
      </c>
    </row>
    <row r="9" spans="1:10">
      <c r="A9" s="55">
        <v>43112</v>
      </c>
      <c r="B9" s="55" t="s">
        <v>725</v>
      </c>
      <c r="C9" s="183">
        <v>240000</v>
      </c>
      <c r="D9" s="93"/>
      <c r="E9" s="93"/>
      <c r="F9" s="187">
        <v>43116</v>
      </c>
      <c r="G9" s="188">
        <v>352518.75</v>
      </c>
    </row>
    <row r="10" spans="1:10">
      <c r="A10" s="55">
        <v>43136</v>
      </c>
      <c r="B10" s="55" t="s">
        <v>727</v>
      </c>
      <c r="C10" s="183">
        <v>15204.75</v>
      </c>
      <c r="D10" s="93"/>
      <c r="E10" s="93"/>
      <c r="F10" s="187">
        <v>43119</v>
      </c>
      <c r="G10" s="188">
        <v>201439.5</v>
      </c>
    </row>
    <row r="11" spans="1:10">
      <c r="A11" s="55">
        <v>43133</v>
      </c>
      <c r="B11" s="55" t="s">
        <v>727</v>
      </c>
      <c r="C11" s="183">
        <v>24327</v>
      </c>
      <c r="D11" s="93"/>
      <c r="E11" s="93"/>
      <c r="F11" s="187">
        <v>43122</v>
      </c>
      <c r="G11" s="188">
        <v>172406.25</v>
      </c>
      <c r="J11" s="6">
        <f>SUMPRODUCT(G8:G13)</f>
        <v>1005896.25</v>
      </c>
    </row>
    <row r="12" spans="1:10">
      <c r="A12" s="55">
        <v>43144</v>
      </c>
      <c r="B12" s="55" t="s">
        <v>727</v>
      </c>
      <c r="C12" s="183">
        <v>50548.5</v>
      </c>
      <c r="D12" s="93"/>
      <c r="E12" s="93"/>
      <c r="F12" s="187">
        <v>43133</v>
      </c>
      <c r="G12" s="188">
        <v>24327</v>
      </c>
    </row>
    <row r="13" spans="1:10">
      <c r="A13" s="55">
        <v>43146</v>
      </c>
      <c r="B13" s="55" t="s">
        <v>727</v>
      </c>
      <c r="C13" s="183">
        <v>15105.75</v>
      </c>
      <c r="D13" s="93"/>
      <c r="E13" s="93"/>
      <c r="F13" s="187">
        <v>43136</v>
      </c>
      <c r="G13" s="188">
        <v>15204.75</v>
      </c>
    </row>
    <row r="14" spans="1:10">
      <c r="A14" s="55">
        <v>43146</v>
      </c>
      <c r="B14" s="55" t="s">
        <v>727</v>
      </c>
      <c r="C14" s="183">
        <v>19901.25</v>
      </c>
      <c r="D14" s="93"/>
      <c r="E14" s="93"/>
      <c r="F14" s="187">
        <v>43140</v>
      </c>
      <c r="G14" s="188">
        <v>15204.75</v>
      </c>
    </row>
    <row r="15" spans="1:10">
      <c r="A15" s="55">
        <v>43140</v>
      </c>
      <c r="B15" s="55" t="s">
        <v>727</v>
      </c>
      <c r="C15" s="183">
        <v>15204.75</v>
      </c>
      <c r="D15" s="93"/>
      <c r="E15" s="93"/>
      <c r="F15" s="187">
        <v>43144</v>
      </c>
      <c r="G15" s="188">
        <v>50548.5</v>
      </c>
    </row>
    <row r="16" spans="1:10">
      <c r="A16" s="55">
        <v>43153</v>
      </c>
      <c r="B16" s="55" t="s">
        <v>727</v>
      </c>
      <c r="C16" s="183">
        <v>300000</v>
      </c>
      <c r="D16" s="93"/>
      <c r="E16" s="93"/>
      <c r="F16" s="187">
        <v>43146</v>
      </c>
      <c r="G16" s="188">
        <v>35007</v>
      </c>
    </row>
    <row r="17" spans="1:7">
      <c r="A17" s="55">
        <v>43157</v>
      </c>
      <c r="B17" s="55" t="s">
        <v>727</v>
      </c>
      <c r="C17" s="183">
        <v>150000</v>
      </c>
      <c r="D17" s="93"/>
      <c r="E17" s="93"/>
      <c r="F17" s="187">
        <v>43153</v>
      </c>
      <c r="G17" s="188">
        <v>300000</v>
      </c>
    </row>
    <row r="18" spans="1:7">
      <c r="A18" s="55">
        <v>43157</v>
      </c>
      <c r="B18" s="55" t="s">
        <v>727</v>
      </c>
      <c r="C18" s="183">
        <v>330552.75</v>
      </c>
      <c r="D18" s="93"/>
      <c r="E18" s="93"/>
      <c r="F18" s="187">
        <v>43157</v>
      </c>
      <c r="G18" s="188">
        <v>643834.5</v>
      </c>
    </row>
    <row r="19" spans="1:7">
      <c r="A19" s="55">
        <v>43157</v>
      </c>
      <c r="B19" s="55" t="s">
        <v>727</v>
      </c>
      <c r="C19" s="183">
        <v>163281.75</v>
      </c>
      <c r="D19" s="93"/>
      <c r="E19" s="93"/>
      <c r="F19" s="187">
        <v>43158</v>
      </c>
      <c r="G19" s="188">
        <v>564030</v>
      </c>
    </row>
    <row r="20" spans="1:7">
      <c r="A20" s="55">
        <v>43158</v>
      </c>
      <c r="B20" s="55" t="s">
        <v>727</v>
      </c>
      <c r="C20" s="183">
        <v>564030</v>
      </c>
      <c r="D20" s="93"/>
      <c r="E20" s="93"/>
      <c r="F20" s="187">
        <v>43159</v>
      </c>
      <c r="G20" s="188">
        <v>720255.75</v>
      </c>
    </row>
    <row r="21" spans="1:7" ht="15.75" customHeight="1">
      <c r="A21" s="55">
        <v>43159</v>
      </c>
      <c r="B21" s="55" t="s">
        <v>727</v>
      </c>
      <c r="C21" s="183">
        <v>503598.75</v>
      </c>
      <c r="D21" s="93"/>
      <c r="E21" s="93"/>
      <c r="F21" s="187" t="s">
        <v>728</v>
      </c>
      <c r="G21" s="188">
        <v>3334776.75</v>
      </c>
    </row>
    <row r="22" spans="1:7" ht="15.75" customHeight="1">
      <c r="A22" s="55">
        <v>43159</v>
      </c>
      <c r="B22" s="55" t="s">
        <v>727</v>
      </c>
      <c r="C22" s="183">
        <v>15217.5</v>
      </c>
      <c r="D22" s="93"/>
      <c r="E22" s="93"/>
      <c r="F22" s="93"/>
      <c r="G22" s="184"/>
    </row>
    <row r="23" spans="1:7" ht="15.75" customHeight="1">
      <c r="A23" s="46">
        <v>43159</v>
      </c>
      <c r="B23" s="55" t="s">
        <v>727</v>
      </c>
      <c r="C23" s="183">
        <v>201439.5</v>
      </c>
      <c r="D23" s="93"/>
      <c r="E23" s="93"/>
      <c r="F23" s="93"/>
      <c r="G23" s="189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1"/>
    <mergeCell ref="A2:G2"/>
    <mergeCell ref="F4:G4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I1"/>
    </sheetView>
  </sheetViews>
  <sheetFormatPr defaultColWidth="14.42578125" defaultRowHeight="15" customHeight="1"/>
  <cols>
    <col min="1" max="26" width="8" customWidth="1"/>
  </cols>
  <sheetData>
    <row r="1" spans="1:9" ht="18.75" customHeight="1">
      <c r="A1" s="310" t="s">
        <v>729</v>
      </c>
      <c r="B1" s="311"/>
      <c r="C1" s="311"/>
      <c r="D1" s="311"/>
      <c r="E1" s="311"/>
      <c r="F1" s="311"/>
      <c r="G1" s="311"/>
      <c r="H1" s="311"/>
      <c r="I1" s="311"/>
    </row>
    <row r="2" spans="1:9">
      <c r="A2" s="313" t="s">
        <v>730</v>
      </c>
      <c r="B2" s="311"/>
      <c r="C2" s="311"/>
      <c r="D2" s="311"/>
      <c r="E2" s="311"/>
      <c r="F2" s="311"/>
      <c r="G2" s="311"/>
      <c r="H2" s="311"/>
      <c r="I2" s="311"/>
    </row>
    <row r="4" spans="1:9">
      <c r="A4" s="166" t="s">
        <v>731</v>
      </c>
      <c r="B4" s="137" t="s">
        <v>725</v>
      </c>
      <c r="C4" s="137" t="s">
        <v>727</v>
      </c>
      <c r="D4" s="137" t="s">
        <v>732</v>
      </c>
      <c r="E4" s="137" t="s">
        <v>733</v>
      </c>
      <c r="F4" s="137" t="s">
        <v>302</v>
      </c>
      <c r="G4" s="137" t="s">
        <v>734</v>
      </c>
    </row>
    <row r="5" spans="1:9">
      <c r="A5" s="166" t="s">
        <v>735</v>
      </c>
      <c r="B5" s="137">
        <v>240</v>
      </c>
      <c r="C5" s="137">
        <v>180</v>
      </c>
      <c r="D5" s="137">
        <v>310</v>
      </c>
      <c r="E5" s="137">
        <v>445</v>
      </c>
      <c r="F5" s="137">
        <v>650</v>
      </c>
      <c r="G5" s="137">
        <v>700</v>
      </c>
    </row>
    <row r="7" spans="1:9">
      <c r="A7" s="166" t="s">
        <v>731</v>
      </c>
      <c r="B7" s="137" t="s">
        <v>733</v>
      </c>
      <c r="C7" s="93"/>
      <c r="D7" s="93"/>
    </row>
    <row r="8" spans="1:9">
      <c r="A8" s="166" t="s">
        <v>735</v>
      </c>
      <c r="B8" s="161">
        <f>HLOOKUP(B7,A4:G5,2,0)</f>
        <v>445</v>
      </c>
      <c r="C8" s="93"/>
      <c r="D8" s="93"/>
    </row>
    <row r="11" spans="1:9">
      <c r="A11" s="157" t="s">
        <v>169</v>
      </c>
      <c r="B11" s="158" t="s">
        <v>641</v>
      </c>
      <c r="C11" s="158" t="s">
        <v>736</v>
      </c>
      <c r="D11" s="158" t="s">
        <v>737</v>
      </c>
      <c r="E11" s="158" t="s">
        <v>738</v>
      </c>
      <c r="F11" s="158" t="s">
        <v>739</v>
      </c>
      <c r="G11" s="158" t="s">
        <v>740</v>
      </c>
    </row>
    <row r="12" spans="1:9">
      <c r="A12" s="157" t="s">
        <v>741</v>
      </c>
      <c r="B12" s="158">
        <v>36</v>
      </c>
      <c r="C12" s="158">
        <v>45</v>
      </c>
      <c r="D12" s="158">
        <v>52</v>
      </c>
      <c r="E12" s="158">
        <v>66</v>
      </c>
      <c r="F12" s="158">
        <v>75</v>
      </c>
      <c r="G12" s="158">
        <v>40</v>
      </c>
    </row>
    <row r="13" spans="1:9">
      <c r="A13" s="157" t="s">
        <v>742</v>
      </c>
      <c r="B13" s="158">
        <v>82</v>
      </c>
      <c r="C13" s="158">
        <v>71</v>
      </c>
      <c r="D13" s="158">
        <v>56</v>
      </c>
      <c r="E13" s="158">
        <v>32</v>
      </c>
      <c r="F13" s="158">
        <v>81</v>
      </c>
      <c r="G13" s="158">
        <v>66</v>
      </c>
    </row>
    <row r="14" spans="1:9">
      <c r="A14" s="157" t="s">
        <v>170</v>
      </c>
      <c r="B14" s="158">
        <v>32</v>
      </c>
      <c r="C14" s="158">
        <v>45</v>
      </c>
      <c r="D14" s="158">
        <v>52</v>
      </c>
      <c r="E14" s="158">
        <v>51</v>
      </c>
      <c r="F14" s="158">
        <v>71</v>
      </c>
      <c r="G14" s="158">
        <v>74</v>
      </c>
    </row>
    <row r="17" spans="1:7">
      <c r="A17" s="320" t="s">
        <v>743</v>
      </c>
      <c r="B17" s="318"/>
      <c r="C17" s="9">
        <f t="shared" ref="C17:G17" si="0">HLOOKUP(B19,A19:G22,3,0)</f>
        <v>82</v>
      </c>
      <c r="D17" s="9">
        <f t="shared" si="0"/>
        <v>71</v>
      </c>
      <c r="E17" s="9">
        <f t="shared" si="0"/>
        <v>56</v>
      </c>
      <c r="F17" s="9">
        <f t="shared" si="0"/>
        <v>32</v>
      </c>
      <c r="G17" s="9">
        <f t="shared" si="0"/>
        <v>81</v>
      </c>
    </row>
    <row r="19" spans="1:7">
      <c r="A19" s="157" t="s">
        <v>169</v>
      </c>
      <c r="B19" s="158" t="s">
        <v>641</v>
      </c>
      <c r="C19" s="158" t="s">
        <v>736</v>
      </c>
      <c r="D19" s="158" t="s">
        <v>737</v>
      </c>
      <c r="E19" s="158" t="s">
        <v>738</v>
      </c>
      <c r="F19" s="158" t="s">
        <v>739</v>
      </c>
      <c r="G19" s="158" t="s">
        <v>740</v>
      </c>
    </row>
    <row r="20" spans="1:7">
      <c r="A20" s="157" t="s">
        <v>741</v>
      </c>
      <c r="B20" s="158">
        <v>36</v>
      </c>
      <c r="C20" s="158">
        <v>45</v>
      </c>
      <c r="D20" s="158">
        <v>52</v>
      </c>
      <c r="E20" s="158">
        <v>66</v>
      </c>
      <c r="F20" s="158">
        <v>75</v>
      </c>
      <c r="G20" s="158">
        <v>40</v>
      </c>
    </row>
    <row r="21" spans="1:7" ht="15.75" customHeight="1">
      <c r="A21" s="157" t="s">
        <v>742</v>
      </c>
      <c r="B21" s="158">
        <v>82</v>
      </c>
      <c r="C21" s="158">
        <v>71</v>
      </c>
      <c r="D21" s="158">
        <v>56</v>
      </c>
      <c r="E21" s="158">
        <v>32</v>
      </c>
      <c r="F21" s="158">
        <v>81</v>
      </c>
      <c r="G21" s="158">
        <v>66</v>
      </c>
    </row>
    <row r="22" spans="1:7" ht="15.75" customHeight="1">
      <c r="A22" s="157" t="s">
        <v>170</v>
      </c>
      <c r="B22" s="158">
        <v>32</v>
      </c>
      <c r="C22" s="158">
        <v>45</v>
      </c>
      <c r="D22" s="158">
        <v>52</v>
      </c>
      <c r="E22" s="158">
        <v>51</v>
      </c>
      <c r="F22" s="158">
        <v>71</v>
      </c>
      <c r="G22" s="158">
        <v>74</v>
      </c>
    </row>
    <row r="23" spans="1:7" ht="15.75" customHeight="1"/>
    <row r="24" spans="1:7" ht="15.75" customHeight="1">
      <c r="A24" s="320" t="s">
        <v>744</v>
      </c>
      <c r="B24" s="318"/>
      <c r="C24" s="9"/>
    </row>
    <row r="25" spans="1:7" ht="15.75" customHeight="1"/>
    <row r="26" spans="1:7" ht="15.75" customHeight="1">
      <c r="A26" s="157" t="s">
        <v>745</v>
      </c>
      <c r="B26" s="158" t="s">
        <v>746</v>
      </c>
      <c r="C26" s="190" t="s">
        <v>747</v>
      </c>
      <c r="D26" s="190" t="s">
        <v>748</v>
      </c>
      <c r="E26" s="190" t="s">
        <v>749</v>
      </c>
      <c r="F26" s="190" t="s">
        <v>750</v>
      </c>
    </row>
    <row r="27" spans="1:7" ht="15.75" customHeight="1">
      <c r="A27" s="157" t="s">
        <v>751</v>
      </c>
      <c r="B27" s="9">
        <v>66</v>
      </c>
      <c r="C27" s="9">
        <v>43</v>
      </c>
      <c r="D27" s="9">
        <v>36</v>
      </c>
      <c r="E27" s="9">
        <v>82</v>
      </c>
      <c r="F27" s="9">
        <v>89</v>
      </c>
    </row>
    <row r="28" spans="1:7" ht="15.75" customHeight="1">
      <c r="A28" s="157" t="s">
        <v>752</v>
      </c>
      <c r="B28" s="9">
        <v>51</v>
      </c>
      <c r="C28" s="9">
        <v>83</v>
      </c>
      <c r="D28" s="9">
        <v>41</v>
      </c>
      <c r="E28" s="9">
        <v>125</v>
      </c>
      <c r="F28" s="9">
        <v>79</v>
      </c>
    </row>
    <row r="29" spans="1:7" ht="15.75" customHeight="1">
      <c r="A29" s="157" t="s">
        <v>753</v>
      </c>
      <c r="B29" s="9">
        <v>35</v>
      </c>
      <c r="C29" s="9">
        <v>97</v>
      </c>
      <c r="D29" s="9">
        <v>92</v>
      </c>
      <c r="E29" s="9">
        <v>41</v>
      </c>
      <c r="F29" s="9">
        <v>39</v>
      </c>
    </row>
    <row r="30" spans="1:7" ht="15.75" customHeight="1">
      <c r="A30" s="157" t="s">
        <v>754</v>
      </c>
      <c r="B30" s="9">
        <v>84</v>
      </c>
      <c r="C30" s="9">
        <v>76</v>
      </c>
      <c r="D30" s="9">
        <v>35</v>
      </c>
      <c r="E30" s="9">
        <v>48</v>
      </c>
      <c r="F30" s="9">
        <v>37</v>
      </c>
    </row>
    <row r="31" spans="1:7" ht="15.75" customHeight="1">
      <c r="A31" s="157" t="s">
        <v>755</v>
      </c>
      <c r="B31" s="9">
        <v>110</v>
      </c>
      <c r="C31" s="9">
        <v>77</v>
      </c>
      <c r="D31" s="9">
        <v>90</v>
      </c>
      <c r="E31" s="9">
        <v>37</v>
      </c>
      <c r="F31" s="9">
        <v>34</v>
      </c>
    </row>
    <row r="32" spans="1:7" ht="15.75" customHeight="1"/>
    <row r="33" spans="1:7" ht="15.75" customHeight="1">
      <c r="A33" s="157" t="s">
        <v>756</v>
      </c>
      <c r="B33" s="9" t="s">
        <v>749</v>
      </c>
    </row>
    <row r="34" spans="1:7" ht="15.75" customHeight="1">
      <c r="A34" s="160" t="s">
        <v>757</v>
      </c>
      <c r="B34" s="9" t="s">
        <v>139</v>
      </c>
      <c r="C34" s="97"/>
      <c r="D34" s="97"/>
    </row>
    <row r="35" spans="1:7" ht="15.75" customHeight="1"/>
    <row r="36" spans="1:7" ht="45" customHeight="1">
      <c r="A36" s="191" t="s">
        <v>758</v>
      </c>
      <c r="B36" s="192">
        <v>21</v>
      </c>
      <c r="C36" s="192">
        <v>33</v>
      </c>
      <c r="D36" s="192">
        <v>39</v>
      </c>
      <c r="E36" s="192">
        <v>42</v>
      </c>
      <c r="F36" s="192">
        <v>50</v>
      </c>
    </row>
    <row r="37" spans="1:7" ht="15.75" customHeight="1">
      <c r="A37" s="166" t="s">
        <v>759</v>
      </c>
      <c r="B37" s="137" t="s">
        <v>760</v>
      </c>
      <c r="C37" s="137" t="s">
        <v>563</v>
      </c>
      <c r="D37" s="137" t="s">
        <v>761</v>
      </c>
      <c r="E37" s="137" t="s">
        <v>570</v>
      </c>
      <c r="F37" s="137" t="s">
        <v>762</v>
      </c>
    </row>
    <row r="38" spans="1:7" ht="15.75" customHeight="1"/>
    <row r="39" spans="1:7" ht="15.75" customHeight="1">
      <c r="A39" s="157" t="s">
        <v>763</v>
      </c>
      <c r="B39" s="9">
        <v>40</v>
      </c>
    </row>
    <row r="40" spans="1:7" ht="15.75" customHeight="1">
      <c r="A40" s="160" t="s">
        <v>560</v>
      </c>
      <c r="B40" s="9" t="s">
        <v>139</v>
      </c>
      <c r="C40" s="93"/>
      <c r="D40" s="93"/>
    </row>
    <row r="41" spans="1:7" ht="15.75" customHeight="1"/>
    <row r="42" spans="1:7" ht="15.75" customHeight="1">
      <c r="A42" s="157" t="s">
        <v>764</v>
      </c>
      <c r="B42" s="9" t="s">
        <v>765</v>
      </c>
      <c r="C42" s="9" t="s">
        <v>766</v>
      </c>
      <c r="D42" s="9" t="s">
        <v>767</v>
      </c>
      <c r="E42" s="9" t="s">
        <v>768</v>
      </c>
      <c r="F42" s="9" t="s">
        <v>174</v>
      </c>
      <c r="G42" s="9" t="s">
        <v>769</v>
      </c>
    </row>
    <row r="43" spans="1:7" ht="15.75" customHeight="1">
      <c r="A43" s="157" t="s">
        <v>320</v>
      </c>
      <c r="B43" s="9">
        <v>200</v>
      </c>
      <c r="C43" s="9">
        <v>125</v>
      </c>
      <c r="D43" s="9">
        <v>320</v>
      </c>
      <c r="E43" s="9">
        <v>250</v>
      </c>
      <c r="F43" s="9">
        <v>300</v>
      </c>
      <c r="G43" s="9">
        <v>421</v>
      </c>
    </row>
    <row r="44" spans="1:7" ht="15.75" customHeight="1"/>
    <row r="45" spans="1:7" ht="15.75" customHeight="1">
      <c r="A45" s="157" t="s">
        <v>764</v>
      </c>
      <c r="B45" s="9" t="s">
        <v>770</v>
      </c>
    </row>
    <row r="46" spans="1:7" ht="15.75" customHeight="1">
      <c r="A46" s="160" t="s">
        <v>320</v>
      </c>
      <c r="B46" s="9" t="s">
        <v>139</v>
      </c>
    </row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7:B17"/>
    <mergeCell ref="A24:B24"/>
  </mergeCell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F1"/>
    </sheetView>
  </sheetViews>
  <sheetFormatPr defaultColWidth="14.42578125" defaultRowHeight="15" customHeight="1"/>
  <cols>
    <col min="1" max="1" width="17.85546875" customWidth="1"/>
    <col min="2" max="2" width="13.85546875" customWidth="1"/>
    <col min="3" max="3" width="12.42578125" customWidth="1"/>
    <col min="4" max="6" width="8" customWidth="1"/>
    <col min="7" max="7" width="14.85546875" customWidth="1"/>
    <col min="8" max="26" width="8" customWidth="1"/>
  </cols>
  <sheetData>
    <row r="1" spans="1:9" ht="18.75" customHeight="1">
      <c r="A1" s="310" t="s">
        <v>771</v>
      </c>
      <c r="B1" s="311"/>
      <c r="C1" s="311"/>
      <c r="D1" s="311"/>
      <c r="E1" s="311"/>
      <c r="F1" s="311"/>
      <c r="G1" s="16"/>
      <c r="H1" s="16"/>
      <c r="I1" s="16"/>
    </row>
    <row r="2" spans="1:9">
      <c r="A2" s="313" t="s">
        <v>772</v>
      </c>
      <c r="B2" s="311"/>
      <c r="C2" s="311"/>
      <c r="D2" s="311"/>
      <c r="E2" s="311"/>
      <c r="F2" s="311"/>
      <c r="G2" s="14"/>
      <c r="H2" s="14"/>
      <c r="I2" s="14"/>
    </row>
    <row r="4" spans="1:9" ht="38.25" customHeight="1">
      <c r="A4" s="193" t="s">
        <v>169</v>
      </c>
      <c r="B4" s="194" t="s">
        <v>773</v>
      </c>
      <c r="C4" s="195" t="s">
        <v>774</v>
      </c>
      <c r="E4" s="332" t="s">
        <v>775</v>
      </c>
      <c r="F4" s="315"/>
    </row>
    <row r="5" spans="1:9">
      <c r="A5" s="196" t="s">
        <v>776</v>
      </c>
      <c r="B5" s="137">
        <v>92</v>
      </c>
      <c r="C5" s="162">
        <f>IF(B5&lt;50,"F",IF(50&lt;B5&lt;60,"D",0))</f>
        <v>0</v>
      </c>
      <c r="E5" s="9" t="s">
        <v>777</v>
      </c>
      <c r="F5" s="9" t="s">
        <v>778</v>
      </c>
    </row>
    <row r="6" spans="1:9">
      <c r="A6" s="196" t="s">
        <v>779</v>
      </c>
      <c r="B6" s="137">
        <v>88</v>
      </c>
      <c r="C6" s="162" t="str">
        <f t="shared" ref="C6:C13" si="0">IF(B6&lt;50,"F",IF(B6&lt;60,"D",IF(B6&lt;65,"D+",IF(B6&lt;70,"C",IF(B6&lt;75,"C+",IF(B6&lt;80,"B",IF(B6&lt;85,"B+",IF(B6&lt;90,"A","A+"))))))))</f>
        <v>A</v>
      </c>
      <c r="E6" s="9" t="s">
        <v>780</v>
      </c>
      <c r="F6" s="9" t="s">
        <v>543</v>
      </c>
    </row>
    <row r="7" spans="1:9">
      <c r="A7" s="196" t="s">
        <v>781</v>
      </c>
      <c r="B7" s="137">
        <v>94</v>
      </c>
      <c r="C7" s="162" t="str">
        <f t="shared" si="0"/>
        <v>A+</v>
      </c>
      <c r="E7" s="9" t="s">
        <v>782</v>
      </c>
      <c r="F7" s="9" t="s">
        <v>783</v>
      </c>
    </row>
    <row r="8" spans="1:9">
      <c r="A8" s="196" t="s">
        <v>784</v>
      </c>
      <c r="B8" s="137">
        <v>84</v>
      </c>
      <c r="C8" s="162" t="str">
        <f t="shared" si="0"/>
        <v>B+</v>
      </c>
      <c r="E8" s="9" t="s">
        <v>785</v>
      </c>
      <c r="F8" s="9" t="s">
        <v>786</v>
      </c>
    </row>
    <row r="9" spans="1:9">
      <c r="A9" s="196" t="s">
        <v>787</v>
      </c>
      <c r="B9" s="137">
        <v>95</v>
      </c>
      <c r="C9" s="162" t="str">
        <f t="shared" si="0"/>
        <v>A+</v>
      </c>
      <c r="E9" s="9" t="s">
        <v>788</v>
      </c>
      <c r="F9" s="9" t="s">
        <v>789</v>
      </c>
    </row>
    <row r="10" spans="1:9">
      <c r="A10" s="196" t="s">
        <v>790</v>
      </c>
      <c r="B10" s="137">
        <v>78</v>
      </c>
      <c r="C10" s="162" t="str">
        <f t="shared" si="0"/>
        <v>B</v>
      </c>
      <c r="E10" s="9" t="s">
        <v>791</v>
      </c>
      <c r="F10" s="9" t="s">
        <v>551</v>
      </c>
    </row>
    <row r="11" spans="1:9">
      <c r="A11" s="196" t="s">
        <v>792</v>
      </c>
      <c r="B11" s="137">
        <v>59</v>
      </c>
      <c r="C11" s="162" t="str">
        <f t="shared" si="0"/>
        <v>D</v>
      </c>
      <c r="E11" s="9" t="s">
        <v>793</v>
      </c>
      <c r="F11" s="9" t="s">
        <v>794</v>
      </c>
    </row>
    <row r="12" spans="1:9">
      <c r="A12" s="196" t="s">
        <v>795</v>
      </c>
      <c r="B12" s="137">
        <v>43</v>
      </c>
      <c r="C12" s="162" t="str">
        <f t="shared" si="0"/>
        <v>F</v>
      </c>
      <c r="E12" s="9" t="s">
        <v>796</v>
      </c>
      <c r="F12" s="9" t="s">
        <v>545</v>
      </c>
    </row>
    <row r="13" spans="1:9">
      <c r="A13" s="197" t="s">
        <v>797</v>
      </c>
      <c r="B13" s="198">
        <v>90</v>
      </c>
      <c r="C13" s="199" t="str">
        <f t="shared" si="0"/>
        <v>A+</v>
      </c>
      <c r="E13" s="9" t="s">
        <v>798</v>
      </c>
      <c r="F13" s="9" t="s">
        <v>554</v>
      </c>
    </row>
    <row r="16" spans="1:9">
      <c r="A16" s="167" t="s">
        <v>799</v>
      </c>
      <c r="B16" s="167" t="s">
        <v>722</v>
      </c>
      <c r="C16" s="167" t="s">
        <v>474</v>
      </c>
      <c r="D16" s="97"/>
      <c r="E16" s="97"/>
      <c r="F16" s="97"/>
      <c r="G16" s="97"/>
      <c r="H16" s="97"/>
      <c r="I16" s="97"/>
    </row>
    <row r="17" spans="1:9">
      <c r="A17" s="9">
        <v>1</v>
      </c>
      <c r="B17" s="9" t="s">
        <v>725</v>
      </c>
      <c r="C17" s="183">
        <v>777307</v>
      </c>
      <c r="D17" s="97"/>
      <c r="E17" s="97"/>
      <c r="F17" s="97"/>
      <c r="G17" s="163" t="s">
        <v>800</v>
      </c>
      <c r="H17" s="9">
        <v>3</v>
      </c>
      <c r="I17" s="97"/>
    </row>
    <row r="18" spans="1:9">
      <c r="A18" s="9">
        <v>2</v>
      </c>
      <c r="B18" s="9" t="s">
        <v>727</v>
      </c>
      <c r="C18" s="183">
        <v>590235</v>
      </c>
      <c r="D18" s="97"/>
      <c r="E18" s="97"/>
      <c r="F18" s="97"/>
      <c r="G18" s="163" t="s">
        <v>474</v>
      </c>
      <c r="H18" s="9" t="e">
        <f>VLOOKUP(H17,$A$2:$C$13,3,0)</f>
        <v>#N/A</v>
      </c>
      <c r="I18" s="97"/>
    </row>
    <row r="19" spans="1:9">
      <c r="A19" s="9">
        <v>3</v>
      </c>
      <c r="B19" s="9" t="s">
        <v>732</v>
      </c>
      <c r="C19" s="183">
        <v>585683</v>
      </c>
      <c r="D19" s="97"/>
      <c r="E19" s="97"/>
      <c r="F19" s="97"/>
      <c r="G19" s="97"/>
      <c r="H19" s="97" t="s">
        <v>801</v>
      </c>
      <c r="I19" s="97"/>
    </row>
    <row r="20" spans="1:9">
      <c r="A20" s="9">
        <v>4</v>
      </c>
      <c r="B20" s="9" t="s">
        <v>733</v>
      </c>
      <c r="C20" s="183">
        <v>740995</v>
      </c>
      <c r="D20" s="97"/>
      <c r="E20" s="97"/>
      <c r="F20" s="97"/>
      <c r="G20" s="97"/>
      <c r="H20" s="97"/>
      <c r="I20" s="97"/>
    </row>
    <row r="21" spans="1:9" ht="15.75" customHeight="1">
      <c r="A21" s="9">
        <v>5</v>
      </c>
      <c r="B21" s="9" t="s">
        <v>302</v>
      </c>
      <c r="C21" s="183">
        <v>756502</v>
      </c>
      <c r="D21" s="97"/>
      <c r="E21" s="97"/>
      <c r="F21" s="97"/>
      <c r="G21" s="97"/>
      <c r="H21" s="97"/>
      <c r="I21" s="97"/>
    </row>
    <row r="22" spans="1:9" ht="15.75" customHeight="1">
      <c r="A22" s="9">
        <v>6</v>
      </c>
      <c r="B22" s="9" t="s">
        <v>734</v>
      </c>
      <c r="C22" s="183">
        <v>626126</v>
      </c>
      <c r="D22" s="97"/>
      <c r="E22" s="97"/>
      <c r="F22" s="97"/>
      <c r="G22" s="97"/>
      <c r="H22" s="97"/>
      <c r="I22" s="97"/>
    </row>
    <row r="23" spans="1:9" ht="15.75" customHeight="1">
      <c r="A23" s="9">
        <v>7</v>
      </c>
      <c r="B23" s="9" t="s">
        <v>802</v>
      </c>
      <c r="C23" s="183">
        <v>668352</v>
      </c>
      <c r="D23" s="97"/>
      <c r="E23" s="97"/>
      <c r="F23" s="97"/>
      <c r="G23" s="97"/>
      <c r="H23" s="97"/>
      <c r="I23" s="97"/>
    </row>
    <row r="24" spans="1:9" ht="15.75" customHeight="1">
      <c r="A24" s="9">
        <v>8</v>
      </c>
      <c r="B24" s="9" t="s">
        <v>803</v>
      </c>
      <c r="C24" s="183">
        <v>698558</v>
      </c>
      <c r="D24" s="97"/>
      <c r="E24" s="97"/>
      <c r="F24" s="97"/>
      <c r="G24" s="97"/>
      <c r="H24" s="97"/>
      <c r="I24" s="97"/>
    </row>
    <row r="25" spans="1:9" ht="15.75" customHeight="1">
      <c r="A25" s="9">
        <v>9</v>
      </c>
      <c r="B25" s="9" t="s">
        <v>804</v>
      </c>
      <c r="C25" s="183">
        <v>562835</v>
      </c>
      <c r="D25" s="97"/>
      <c r="E25" s="97"/>
      <c r="F25" s="97"/>
      <c r="G25" s="97"/>
      <c r="H25" s="97"/>
      <c r="I25" s="97"/>
    </row>
    <row r="26" spans="1:9" ht="15.75" customHeight="1">
      <c r="A26" s="9">
        <v>10</v>
      </c>
      <c r="B26" s="9" t="s">
        <v>805</v>
      </c>
      <c r="C26" s="183">
        <v>564996</v>
      </c>
      <c r="D26" s="97"/>
      <c r="E26" s="97"/>
      <c r="F26" s="97"/>
      <c r="G26" s="97"/>
      <c r="H26" s="97"/>
      <c r="I26" s="97"/>
    </row>
    <row r="27" spans="1:9" ht="15.75" customHeight="1">
      <c r="A27" s="9">
        <v>11</v>
      </c>
      <c r="B27" s="9" t="s">
        <v>806</v>
      </c>
      <c r="C27" s="183">
        <v>632549</v>
      </c>
      <c r="D27" s="97"/>
      <c r="E27" s="97"/>
      <c r="F27" s="97"/>
      <c r="G27" s="97"/>
      <c r="H27" s="97"/>
      <c r="I27" s="97"/>
    </row>
    <row r="28" spans="1:9" ht="15.75" customHeight="1">
      <c r="A28" s="9">
        <v>12</v>
      </c>
      <c r="B28" s="9" t="s">
        <v>807</v>
      </c>
      <c r="C28" s="183">
        <v>702812</v>
      </c>
      <c r="D28" s="97"/>
      <c r="E28" s="97"/>
      <c r="F28" s="97"/>
      <c r="G28" s="97"/>
      <c r="H28" s="97"/>
      <c r="I28" s="97"/>
    </row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F2"/>
    <mergeCell ref="E4:F4"/>
  </mergeCell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1000"/>
  <sheetViews>
    <sheetView workbookViewId="0">
      <selection sqref="A1:I1"/>
    </sheetView>
  </sheetViews>
  <sheetFormatPr defaultColWidth="14.42578125" defaultRowHeight="15" customHeight="1"/>
  <cols>
    <col min="1" max="1" width="31.42578125" customWidth="1"/>
    <col min="2" max="2" width="8" customWidth="1"/>
    <col min="3" max="3" width="10.7109375" customWidth="1"/>
    <col min="4" max="26" width="8" customWidth="1"/>
  </cols>
  <sheetData>
    <row r="1" spans="1:9" ht="18.75" customHeight="1">
      <c r="A1" s="310" t="s">
        <v>808</v>
      </c>
      <c r="B1" s="311"/>
      <c r="C1" s="311"/>
      <c r="D1" s="311"/>
      <c r="E1" s="311"/>
      <c r="F1" s="311"/>
      <c r="G1" s="311"/>
      <c r="H1" s="311"/>
      <c r="I1" s="311"/>
    </row>
    <row r="2" spans="1:9">
      <c r="A2" s="313" t="s">
        <v>809</v>
      </c>
      <c r="B2" s="311"/>
      <c r="C2" s="311"/>
      <c r="D2" s="311"/>
      <c r="E2" s="311"/>
      <c r="F2" s="311"/>
      <c r="G2" s="311"/>
      <c r="H2" s="311"/>
      <c r="I2" s="311"/>
    </row>
    <row r="4" spans="1:9">
      <c r="A4" s="333" t="s">
        <v>810</v>
      </c>
      <c r="B4" s="318"/>
      <c r="C4" s="200"/>
      <c r="D4" s="200"/>
      <c r="E4" s="334" t="s">
        <v>811</v>
      </c>
      <c r="F4" s="318"/>
      <c r="G4" s="200"/>
      <c r="H4" s="334" t="s">
        <v>812</v>
      </c>
      <c r="I4" s="318"/>
    </row>
    <row r="5" spans="1:9">
      <c r="A5" s="201" t="s">
        <v>475</v>
      </c>
      <c r="B5" s="201" t="s">
        <v>473</v>
      </c>
      <c r="C5" s="200"/>
      <c r="D5" s="200"/>
      <c r="E5" s="201" t="s">
        <v>475</v>
      </c>
      <c r="F5" s="201" t="s">
        <v>813</v>
      </c>
      <c r="G5" s="200"/>
      <c r="H5" s="201" t="s">
        <v>475</v>
      </c>
      <c r="I5" s="201" t="s">
        <v>474</v>
      </c>
    </row>
    <row r="6" spans="1:9">
      <c r="A6" s="202" t="s">
        <v>477</v>
      </c>
      <c r="B6" s="202" t="s">
        <v>476</v>
      </c>
      <c r="C6" s="200"/>
      <c r="D6" s="200"/>
      <c r="E6" s="202" t="s">
        <v>477</v>
      </c>
      <c r="F6" s="202" t="s">
        <v>320</v>
      </c>
      <c r="G6" s="200"/>
      <c r="H6" s="202" t="s">
        <v>477</v>
      </c>
      <c r="I6" s="203">
        <v>92671</v>
      </c>
    </row>
    <row r="7" spans="1:9">
      <c r="A7" s="202" t="s">
        <v>480</v>
      </c>
      <c r="B7" s="202" t="s">
        <v>478</v>
      </c>
      <c r="C7" s="200"/>
      <c r="D7" s="200"/>
      <c r="E7" s="202" t="s">
        <v>480</v>
      </c>
      <c r="F7" s="202" t="s">
        <v>479</v>
      </c>
      <c r="G7" s="200"/>
      <c r="H7" s="202" t="s">
        <v>480</v>
      </c>
      <c r="I7" s="203">
        <v>84120</v>
      </c>
    </row>
    <row r="8" spans="1:9">
      <c r="A8" s="202" t="s">
        <v>482</v>
      </c>
      <c r="B8" s="202" t="s">
        <v>481</v>
      </c>
      <c r="C8" s="200"/>
      <c r="D8" s="200"/>
      <c r="E8" s="202" t="s">
        <v>482</v>
      </c>
      <c r="F8" s="202" t="s">
        <v>238</v>
      </c>
      <c r="G8" s="200"/>
      <c r="H8" s="202" t="s">
        <v>482</v>
      </c>
      <c r="I8" s="203">
        <v>50793</v>
      </c>
    </row>
    <row r="9" spans="1:9">
      <c r="A9" s="202" t="s">
        <v>485</v>
      </c>
      <c r="B9" s="202" t="s">
        <v>483</v>
      </c>
      <c r="C9" s="200"/>
      <c r="D9" s="200"/>
      <c r="E9" s="202" t="s">
        <v>504</v>
      </c>
      <c r="F9" s="202" t="s">
        <v>238</v>
      </c>
      <c r="G9" s="200"/>
      <c r="H9" s="202" t="s">
        <v>485</v>
      </c>
      <c r="I9" s="203">
        <v>77833</v>
      </c>
    </row>
    <row r="10" spans="1:9">
      <c r="A10" s="202" t="s">
        <v>487</v>
      </c>
      <c r="B10" s="202" t="s">
        <v>486</v>
      </c>
      <c r="C10" s="200"/>
      <c r="D10" s="200"/>
      <c r="E10" s="202" t="s">
        <v>506</v>
      </c>
      <c r="F10" s="202" t="s">
        <v>320</v>
      </c>
      <c r="G10" s="200"/>
      <c r="H10" s="202" t="s">
        <v>487</v>
      </c>
      <c r="I10" s="203">
        <v>58914</v>
      </c>
    </row>
    <row r="11" spans="1:9">
      <c r="A11" s="202" t="s">
        <v>490</v>
      </c>
      <c r="B11" s="202" t="s">
        <v>488</v>
      </c>
      <c r="C11" s="200"/>
      <c r="D11" s="200"/>
      <c r="E11" s="202" t="s">
        <v>508</v>
      </c>
      <c r="F11" s="202" t="s">
        <v>489</v>
      </c>
      <c r="G11" s="200"/>
      <c r="H11" s="202" t="s">
        <v>490</v>
      </c>
      <c r="I11" s="203">
        <v>51096</v>
      </c>
    </row>
    <row r="12" spans="1:9">
      <c r="A12" s="202" t="s">
        <v>492</v>
      </c>
      <c r="B12" s="202" t="s">
        <v>491</v>
      </c>
      <c r="C12" s="200"/>
      <c r="D12" s="200"/>
      <c r="E12" s="202" t="s">
        <v>510</v>
      </c>
      <c r="F12" s="202" t="s">
        <v>479</v>
      </c>
      <c r="G12" s="200"/>
      <c r="H12" s="202" t="s">
        <v>508</v>
      </c>
      <c r="I12" s="203">
        <v>88965</v>
      </c>
    </row>
    <row r="13" spans="1:9">
      <c r="A13" s="202" t="s">
        <v>494</v>
      </c>
      <c r="B13" s="202" t="s">
        <v>493</v>
      </c>
      <c r="C13" s="200"/>
      <c r="D13" s="200"/>
      <c r="E13" s="202" t="s">
        <v>512</v>
      </c>
      <c r="F13" s="202" t="s">
        <v>320</v>
      </c>
      <c r="G13" s="200"/>
      <c r="H13" s="202" t="s">
        <v>510</v>
      </c>
      <c r="I13" s="203">
        <v>63288</v>
      </c>
    </row>
    <row r="14" spans="1:9">
      <c r="A14" s="202" t="s">
        <v>496</v>
      </c>
      <c r="B14" s="202" t="s">
        <v>495</v>
      </c>
      <c r="C14" s="200"/>
      <c r="D14" s="200"/>
      <c r="E14" s="202" t="s">
        <v>516</v>
      </c>
      <c r="F14" s="202" t="s">
        <v>320</v>
      </c>
      <c r="G14" s="200"/>
      <c r="H14" s="202" t="s">
        <v>512</v>
      </c>
      <c r="I14" s="203">
        <v>45742</v>
      </c>
    </row>
    <row r="15" spans="1:9">
      <c r="A15" s="202" t="s">
        <v>498</v>
      </c>
      <c r="B15" s="202" t="s">
        <v>497</v>
      </c>
      <c r="C15" s="200"/>
      <c r="D15" s="200"/>
      <c r="E15" s="202" t="s">
        <v>485</v>
      </c>
      <c r="F15" s="202" t="s">
        <v>484</v>
      </c>
      <c r="G15" s="200"/>
      <c r="H15" s="202" t="s">
        <v>513</v>
      </c>
      <c r="I15" s="203">
        <v>88354</v>
      </c>
    </row>
    <row r="16" spans="1:9">
      <c r="A16" s="202" t="s">
        <v>500</v>
      </c>
      <c r="B16" s="202" t="s">
        <v>499</v>
      </c>
      <c r="C16" s="200"/>
      <c r="D16" s="200"/>
      <c r="E16" s="202" t="s">
        <v>487</v>
      </c>
      <c r="F16" s="202" t="s">
        <v>249</v>
      </c>
      <c r="G16" s="200"/>
      <c r="H16" s="202" t="s">
        <v>515</v>
      </c>
      <c r="I16" s="203">
        <v>76641</v>
      </c>
    </row>
    <row r="17" spans="1:9">
      <c r="A17" s="202" t="s">
        <v>502</v>
      </c>
      <c r="B17" s="202" t="s">
        <v>501</v>
      </c>
      <c r="C17" s="200"/>
      <c r="D17" s="200"/>
      <c r="E17" s="202" t="s">
        <v>490</v>
      </c>
      <c r="F17" s="202" t="s">
        <v>489</v>
      </c>
      <c r="G17" s="200"/>
      <c r="H17" s="202" t="s">
        <v>516</v>
      </c>
      <c r="I17" s="203">
        <v>61678</v>
      </c>
    </row>
    <row r="18" spans="1:9">
      <c r="A18" s="202" t="s">
        <v>504</v>
      </c>
      <c r="B18" s="202" t="s">
        <v>503</v>
      </c>
      <c r="C18" s="200"/>
      <c r="D18" s="200"/>
      <c r="E18" s="202" t="s">
        <v>513</v>
      </c>
      <c r="F18" s="202" t="s">
        <v>238</v>
      </c>
      <c r="G18" s="200"/>
      <c r="H18" s="202" t="s">
        <v>492</v>
      </c>
      <c r="I18" s="203">
        <v>83735</v>
      </c>
    </row>
    <row r="19" spans="1:9">
      <c r="A19" s="202" t="s">
        <v>506</v>
      </c>
      <c r="B19" s="202" t="s">
        <v>505</v>
      </c>
      <c r="C19" s="200"/>
      <c r="D19" s="200"/>
      <c r="E19" s="202" t="s">
        <v>515</v>
      </c>
      <c r="F19" s="202" t="s">
        <v>238</v>
      </c>
      <c r="G19" s="200"/>
      <c r="H19" s="202" t="s">
        <v>494</v>
      </c>
      <c r="I19" s="203">
        <v>74418</v>
      </c>
    </row>
    <row r="20" spans="1:9">
      <c r="A20" s="202" t="s">
        <v>508</v>
      </c>
      <c r="B20" s="202" t="s">
        <v>507</v>
      </c>
      <c r="C20" s="200"/>
      <c r="D20" s="200"/>
      <c r="E20" s="202" t="s">
        <v>492</v>
      </c>
      <c r="F20" s="202" t="s">
        <v>238</v>
      </c>
      <c r="G20" s="200"/>
      <c r="H20" s="202" t="s">
        <v>496</v>
      </c>
      <c r="I20" s="203">
        <v>51366</v>
      </c>
    </row>
    <row r="21" spans="1:9" ht="15.75" customHeight="1">
      <c r="A21" s="202" t="s">
        <v>510</v>
      </c>
      <c r="B21" s="202" t="s">
        <v>509</v>
      </c>
      <c r="C21" s="200"/>
      <c r="D21" s="200"/>
      <c r="E21" s="202" t="s">
        <v>494</v>
      </c>
      <c r="F21" s="202" t="s">
        <v>489</v>
      </c>
      <c r="G21" s="200"/>
      <c r="H21" s="202" t="s">
        <v>498</v>
      </c>
      <c r="I21" s="203">
        <v>54600</v>
      </c>
    </row>
    <row r="22" spans="1:9" ht="15.75" customHeight="1">
      <c r="A22" s="202" t="s">
        <v>512</v>
      </c>
      <c r="B22" s="202" t="s">
        <v>511</v>
      </c>
      <c r="C22" s="200"/>
      <c r="D22" s="200"/>
      <c r="E22" s="202" t="s">
        <v>496</v>
      </c>
      <c r="F22" s="202" t="s">
        <v>320</v>
      </c>
      <c r="G22" s="200"/>
      <c r="H22" s="202" t="s">
        <v>500</v>
      </c>
      <c r="I22" s="203">
        <v>93509</v>
      </c>
    </row>
    <row r="23" spans="1:9" ht="15.75" customHeight="1">
      <c r="A23" s="202" t="s">
        <v>513</v>
      </c>
      <c r="B23" s="202" t="s">
        <v>176</v>
      </c>
      <c r="C23" s="200"/>
      <c r="D23" s="200"/>
      <c r="E23" s="202" t="s">
        <v>498</v>
      </c>
      <c r="F23" s="202" t="s">
        <v>249</v>
      </c>
      <c r="G23" s="200"/>
      <c r="H23" s="202" t="s">
        <v>502</v>
      </c>
      <c r="I23" s="203">
        <v>80105</v>
      </c>
    </row>
    <row r="24" spans="1:9" ht="15.75" customHeight="1">
      <c r="A24" s="202" t="s">
        <v>515</v>
      </c>
      <c r="B24" s="202" t="s">
        <v>514</v>
      </c>
      <c r="C24" s="200"/>
      <c r="D24" s="200"/>
      <c r="E24" s="202" t="s">
        <v>500</v>
      </c>
      <c r="F24" s="202" t="s">
        <v>479</v>
      </c>
      <c r="G24" s="200"/>
      <c r="H24" s="202" t="s">
        <v>504</v>
      </c>
      <c r="I24" s="203">
        <v>60802</v>
      </c>
    </row>
    <row r="25" spans="1:9" ht="15.75" customHeight="1">
      <c r="A25" s="202" t="s">
        <v>516</v>
      </c>
      <c r="B25" s="202" t="s">
        <v>208</v>
      </c>
      <c r="C25" s="200"/>
      <c r="D25" s="200"/>
      <c r="E25" s="202" t="s">
        <v>502</v>
      </c>
      <c r="F25" s="202" t="s">
        <v>249</v>
      </c>
      <c r="G25" s="200"/>
      <c r="H25" s="202" t="s">
        <v>506</v>
      </c>
      <c r="I25" s="203">
        <v>76260</v>
      </c>
    </row>
    <row r="26" spans="1:9" ht="15.75" customHeight="1">
      <c r="A26" s="200"/>
      <c r="B26" s="200"/>
      <c r="C26" s="200"/>
      <c r="D26" s="200"/>
      <c r="E26" s="200"/>
      <c r="F26" s="200"/>
      <c r="G26" s="200"/>
      <c r="H26" s="200"/>
      <c r="I26" s="200"/>
    </row>
    <row r="27" spans="1:9" ht="15.75" customHeight="1">
      <c r="A27" s="200"/>
      <c r="B27" s="200"/>
      <c r="C27" s="204" t="s">
        <v>814</v>
      </c>
      <c r="D27" s="200"/>
      <c r="E27" s="200"/>
      <c r="F27" s="200"/>
      <c r="G27" s="200"/>
      <c r="H27" s="200"/>
      <c r="I27" s="200"/>
    </row>
    <row r="28" spans="1:9" ht="15.75" customHeight="1">
      <c r="A28" s="201" t="s">
        <v>475</v>
      </c>
      <c r="B28" s="201" t="s">
        <v>473</v>
      </c>
      <c r="C28" s="201" t="s">
        <v>231</v>
      </c>
      <c r="D28" s="201" t="s">
        <v>474</v>
      </c>
      <c r="E28" s="200"/>
      <c r="F28" s="200"/>
      <c r="G28" s="200"/>
      <c r="H28" s="200"/>
      <c r="I28" s="200"/>
    </row>
    <row r="29" spans="1:9" ht="15.75" customHeight="1">
      <c r="A29" s="202" t="s">
        <v>477</v>
      </c>
      <c r="B29" s="202" t="s">
        <v>476</v>
      </c>
      <c r="C29" s="202" t="str">
        <f t="shared" ref="C29:C48" si="0">VLOOKUP(A29,$E$6:$F$25,2,0)</f>
        <v>Sales</v>
      </c>
      <c r="D29" s="203">
        <f t="shared" ref="D29:D48" si="1">VLOOKUP(A29,$H$6:$I$25,2,0)</f>
        <v>92671</v>
      </c>
      <c r="E29" s="200"/>
      <c r="F29" s="200"/>
      <c r="G29" s="200"/>
      <c r="H29" s="200"/>
      <c r="I29" s="200"/>
    </row>
    <row r="30" spans="1:9" ht="15.75" customHeight="1">
      <c r="A30" s="202" t="s">
        <v>480</v>
      </c>
      <c r="B30" s="202" t="s">
        <v>478</v>
      </c>
      <c r="C30" s="202" t="str">
        <f t="shared" si="0"/>
        <v>Operations</v>
      </c>
      <c r="D30" s="203">
        <f t="shared" si="1"/>
        <v>84120</v>
      </c>
      <c r="E30" s="200"/>
      <c r="F30" s="200"/>
      <c r="G30" s="200"/>
      <c r="H30" s="200"/>
      <c r="I30" s="200"/>
    </row>
    <row r="31" spans="1:9" ht="15.75" customHeight="1">
      <c r="A31" s="202" t="s">
        <v>482</v>
      </c>
      <c r="B31" s="202" t="s">
        <v>481</v>
      </c>
      <c r="C31" s="202" t="str">
        <f t="shared" si="0"/>
        <v>Marketing</v>
      </c>
      <c r="D31" s="203">
        <f t="shared" si="1"/>
        <v>50793</v>
      </c>
      <c r="E31" s="200"/>
      <c r="F31" s="200"/>
      <c r="G31" s="200"/>
      <c r="H31" s="200"/>
      <c r="I31" s="200"/>
    </row>
    <row r="32" spans="1:9" ht="15.75" customHeight="1">
      <c r="A32" s="202" t="s">
        <v>485</v>
      </c>
      <c r="B32" s="202" t="s">
        <v>483</v>
      </c>
      <c r="C32" s="202" t="str">
        <f t="shared" si="0"/>
        <v>HR</v>
      </c>
      <c r="D32" s="203">
        <f t="shared" si="1"/>
        <v>77833</v>
      </c>
      <c r="E32" s="200"/>
      <c r="F32" s="200"/>
      <c r="G32" s="200"/>
      <c r="H32" s="200"/>
      <c r="I32" s="200"/>
    </row>
    <row r="33" spans="1:9" ht="15.75" customHeight="1">
      <c r="A33" s="202" t="s">
        <v>487</v>
      </c>
      <c r="B33" s="202" t="s">
        <v>486</v>
      </c>
      <c r="C33" s="202" t="str">
        <f t="shared" si="0"/>
        <v>Finance</v>
      </c>
      <c r="D33" s="203">
        <f t="shared" si="1"/>
        <v>58914</v>
      </c>
      <c r="E33" s="200"/>
      <c r="F33" s="200"/>
      <c r="G33" s="200"/>
      <c r="H33" s="200"/>
      <c r="I33" s="200"/>
    </row>
    <row r="34" spans="1:9" ht="15.75" customHeight="1">
      <c r="A34" s="202" t="s">
        <v>490</v>
      </c>
      <c r="B34" s="202" t="s">
        <v>488</v>
      </c>
      <c r="C34" s="202" t="str">
        <f t="shared" si="0"/>
        <v>IT</v>
      </c>
      <c r="D34" s="203">
        <f t="shared" si="1"/>
        <v>51096</v>
      </c>
      <c r="E34" s="200"/>
      <c r="F34" s="200"/>
      <c r="G34" s="200"/>
      <c r="H34" s="200"/>
      <c r="I34" s="200"/>
    </row>
    <row r="35" spans="1:9" ht="15.75" customHeight="1">
      <c r="A35" s="202" t="s">
        <v>492</v>
      </c>
      <c r="B35" s="202" t="s">
        <v>491</v>
      </c>
      <c r="C35" s="202" t="str">
        <f t="shared" si="0"/>
        <v>Marketing</v>
      </c>
      <c r="D35" s="203">
        <f t="shared" si="1"/>
        <v>83735</v>
      </c>
      <c r="E35" s="200"/>
      <c r="F35" s="200"/>
      <c r="G35" s="200"/>
      <c r="H35" s="200"/>
      <c r="I35" s="200"/>
    </row>
    <row r="36" spans="1:9" ht="15.75" customHeight="1">
      <c r="A36" s="202" t="s">
        <v>494</v>
      </c>
      <c r="B36" s="202" t="s">
        <v>493</v>
      </c>
      <c r="C36" s="202" t="str">
        <f t="shared" si="0"/>
        <v>IT</v>
      </c>
      <c r="D36" s="203">
        <f t="shared" si="1"/>
        <v>74418</v>
      </c>
      <c r="E36" s="200"/>
      <c r="F36" s="200"/>
      <c r="G36" s="200"/>
      <c r="H36" s="200"/>
      <c r="I36" s="200"/>
    </row>
    <row r="37" spans="1:9" ht="15.75" customHeight="1">
      <c r="A37" s="202" t="s">
        <v>496</v>
      </c>
      <c r="B37" s="202" t="s">
        <v>495</v>
      </c>
      <c r="C37" s="202" t="str">
        <f t="shared" si="0"/>
        <v>Sales</v>
      </c>
      <c r="D37" s="203">
        <f t="shared" si="1"/>
        <v>51366</v>
      </c>
      <c r="E37" s="200"/>
      <c r="F37" s="200"/>
      <c r="G37" s="200"/>
      <c r="H37" s="200"/>
      <c r="I37" s="200"/>
    </row>
    <row r="38" spans="1:9" ht="15.75" customHeight="1">
      <c r="A38" s="202" t="s">
        <v>498</v>
      </c>
      <c r="B38" s="202" t="s">
        <v>497</v>
      </c>
      <c r="C38" s="202" t="str">
        <f t="shared" si="0"/>
        <v>Finance</v>
      </c>
      <c r="D38" s="203">
        <f t="shared" si="1"/>
        <v>54600</v>
      </c>
      <c r="E38" s="200"/>
      <c r="F38" s="200"/>
      <c r="G38" s="200"/>
      <c r="H38" s="200"/>
      <c r="I38" s="200"/>
    </row>
    <row r="39" spans="1:9" ht="15.75" customHeight="1">
      <c r="A39" s="202" t="s">
        <v>500</v>
      </c>
      <c r="B39" s="202" t="s">
        <v>499</v>
      </c>
      <c r="C39" s="202" t="str">
        <f t="shared" si="0"/>
        <v>Operations</v>
      </c>
      <c r="D39" s="203">
        <f t="shared" si="1"/>
        <v>93509</v>
      </c>
      <c r="E39" s="200"/>
      <c r="F39" s="200"/>
      <c r="G39" s="200"/>
      <c r="H39" s="200"/>
      <c r="I39" s="200"/>
    </row>
    <row r="40" spans="1:9" ht="15.75" customHeight="1">
      <c r="A40" s="202" t="s">
        <v>502</v>
      </c>
      <c r="B40" s="202" t="s">
        <v>501</v>
      </c>
      <c r="C40" s="202" t="str">
        <f t="shared" si="0"/>
        <v>Finance</v>
      </c>
      <c r="D40" s="203">
        <f t="shared" si="1"/>
        <v>80105</v>
      </c>
      <c r="E40" s="200"/>
      <c r="F40" s="200"/>
      <c r="G40" s="200"/>
      <c r="H40" s="200"/>
      <c r="I40" s="200"/>
    </row>
    <row r="41" spans="1:9" ht="15.75" customHeight="1">
      <c r="A41" s="202" t="s">
        <v>504</v>
      </c>
      <c r="B41" s="202" t="s">
        <v>503</v>
      </c>
      <c r="C41" s="202" t="str">
        <f t="shared" si="0"/>
        <v>Marketing</v>
      </c>
      <c r="D41" s="203">
        <f t="shared" si="1"/>
        <v>60802</v>
      </c>
      <c r="E41" s="200"/>
      <c r="F41" s="200"/>
      <c r="G41" s="200"/>
      <c r="H41" s="200"/>
      <c r="I41" s="200"/>
    </row>
    <row r="42" spans="1:9" ht="15.75" customHeight="1">
      <c r="A42" s="202" t="s">
        <v>506</v>
      </c>
      <c r="B42" s="202" t="s">
        <v>505</v>
      </c>
      <c r="C42" s="202" t="str">
        <f t="shared" si="0"/>
        <v>Sales</v>
      </c>
      <c r="D42" s="203">
        <f t="shared" si="1"/>
        <v>76260</v>
      </c>
      <c r="E42" s="200"/>
      <c r="F42" s="200"/>
      <c r="G42" s="200"/>
      <c r="H42" s="200"/>
      <c r="I42" s="200"/>
    </row>
    <row r="43" spans="1:9" ht="15.75" customHeight="1">
      <c r="A43" s="202" t="s">
        <v>508</v>
      </c>
      <c r="B43" s="202" t="s">
        <v>507</v>
      </c>
      <c r="C43" s="202" t="str">
        <f t="shared" si="0"/>
        <v>IT</v>
      </c>
      <c r="D43" s="203">
        <f t="shared" si="1"/>
        <v>88965</v>
      </c>
      <c r="E43" s="200"/>
      <c r="F43" s="200"/>
      <c r="G43" s="200"/>
      <c r="H43" s="200"/>
      <c r="I43" s="200"/>
    </row>
    <row r="44" spans="1:9" ht="15.75" customHeight="1">
      <c r="A44" s="202" t="s">
        <v>510</v>
      </c>
      <c r="B44" s="202" t="s">
        <v>509</v>
      </c>
      <c r="C44" s="202" t="str">
        <f t="shared" si="0"/>
        <v>Operations</v>
      </c>
      <c r="D44" s="203">
        <f t="shared" si="1"/>
        <v>63288</v>
      </c>
      <c r="E44" s="200"/>
      <c r="F44" s="200"/>
      <c r="G44" s="200"/>
      <c r="H44" s="200"/>
      <c r="I44" s="200"/>
    </row>
    <row r="45" spans="1:9" ht="15.75" customHeight="1">
      <c r="A45" s="202" t="s">
        <v>512</v>
      </c>
      <c r="B45" s="202" t="s">
        <v>511</v>
      </c>
      <c r="C45" s="202" t="str">
        <f t="shared" si="0"/>
        <v>Sales</v>
      </c>
      <c r="D45" s="203">
        <f t="shared" si="1"/>
        <v>45742</v>
      </c>
      <c r="E45" s="200"/>
      <c r="F45" s="200"/>
      <c r="G45" s="200"/>
      <c r="H45" s="200"/>
      <c r="I45" s="200"/>
    </row>
    <row r="46" spans="1:9" ht="15.75" customHeight="1">
      <c r="A46" s="202" t="s">
        <v>513</v>
      </c>
      <c r="B46" s="202" t="s">
        <v>176</v>
      </c>
      <c r="C46" s="202" t="str">
        <f t="shared" si="0"/>
        <v>Marketing</v>
      </c>
      <c r="D46" s="203">
        <f t="shared" si="1"/>
        <v>88354</v>
      </c>
      <c r="E46" s="200"/>
      <c r="F46" s="200"/>
      <c r="G46" s="200"/>
      <c r="H46" s="200"/>
      <c r="I46" s="200"/>
    </row>
    <row r="47" spans="1:9" ht="15.75" customHeight="1">
      <c r="A47" s="202" t="s">
        <v>515</v>
      </c>
      <c r="B47" s="202" t="s">
        <v>514</v>
      </c>
      <c r="C47" s="202" t="str">
        <f t="shared" si="0"/>
        <v>Marketing</v>
      </c>
      <c r="D47" s="203">
        <f t="shared" si="1"/>
        <v>76641</v>
      </c>
      <c r="E47" s="200"/>
      <c r="F47" s="200"/>
      <c r="G47" s="200"/>
      <c r="H47" s="200"/>
      <c r="I47" s="200"/>
    </row>
    <row r="48" spans="1:9" ht="15.75" customHeight="1">
      <c r="A48" s="202" t="s">
        <v>516</v>
      </c>
      <c r="B48" s="202" t="s">
        <v>208</v>
      </c>
      <c r="C48" s="202" t="str">
        <f t="shared" si="0"/>
        <v>Sales</v>
      </c>
      <c r="D48" s="203">
        <f t="shared" si="1"/>
        <v>61678</v>
      </c>
      <c r="E48" s="200"/>
      <c r="F48" s="200"/>
      <c r="G48" s="200"/>
      <c r="H48" s="200"/>
      <c r="I48" s="20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I1"/>
    <mergeCell ref="A2:I2"/>
    <mergeCell ref="A4:B4"/>
    <mergeCell ref="E4:F4"/>
    <mergeCell ref="H4:I4"/>
  </mergeCell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I1"/>
    </sheetView>
  </sheetViews>
  <sheetFormatPr defaultColWidth="14.42578125" defaultRowHeight="15" customHeight="1"/>
  <cols>
    <col min="1" max="1" width="8" customWidth="1"/>
    <col min="2" max="2" width="12.7109375" customWidth="1"/>
    <col min="3" max="3" width="13.5703125" customWidth="1"/>
    <col min="4" max="26" width="8" customWidth="1"/>
  </cols>
  <sheetData>
    <row r="1" spans="1:9" ht="18.75" customHeight="1">
      <c r="A1" s="310" t="s">
        <v>815</v>
      </c>
      <c r="B1" s="311"/>
      <c r="C1" s="311"/>
      <c r="D1" s="311"/>
      <c r="E1" s="311"/>
      <c r="F1" s="311"/>
      <c r="G1" s="311"/>
      <c r="H1" s="311"/>
      <c r="I1" s="311"/>
    </row>
    <row r="2" spans="1:9">
      <c r="A2" s="313" t="s">
        <v>28</v>
      </c>
      <c r="B2" s="311"/>
      <c r="C2" s="311"/>
      <c r="D2" s="311"/>
      <c r="E2" s="311"/>
      <c r="F2" s="311"/>
      <c r="G2" s="311"/>
      <c r="H2" s="311"/>
      <c r="I2" s="311"/>
    </row>
    <row r="4" spans="1:9">
      <c r="A4" s="157" t="s">
        <v>816</v>
      </c>
      <c r="B4" s="157" t="s">
        <v>817</v>
      </c>
      <c r="C4" s="157" t="s">
        <v>818</v>
      </c>
    </row>
    <row r="5" spans="1:9">
      <c r="A5" s="9" t="s">
        <v>819</v>
      </c>
      <c r="B5" s="9" t="s">
        <v>820</v>
      </c>
      <c r="C5" s="9">
        <f>6960-2345</f>
        <v>4615</v>
      </c>
    </row>
    <row r="6" spans="1:9">
      <c r="A6" s="9" t="s">
        <v>821</v>
      </c>
      <c r="B6" s="9" t="s">
        <v>822</v>
      </c>
      <c r="C6" s="9">
        <v>2345</v>
      </c>
    </row>
    <row r="7" spans="1:9">
      <c r="A7" s="9" t="s">
        <v>819</v>
      </c>
      <c r="B7" s="9" t="s">
        <v>823</v>
      </c>
      <c r="C7" s="9">
        <v>11282</v>
      </c>
    </row>
    <row r="8" spans="1:9">
      <c r="A8" s="9" t="s">
        <v>821</v>
      </c>
      <c r="B8" s="9" t="s">
        <v>824</v>
      </c>
      <c r="C8" s="9">
        <v>4159</v>
      </c>
    </row>
    <row r="9" spans="1:9">
      <c r="A9" s="9" t="s">
        <v>825</v>
      </c>
      <c r="B9" s="9" t="s">
        <v>826</v>
      </c>
      <c r="C9" s="9">
        <v>7802</v>
      </c>
    </row>
    <row r="10" spans="1:9">
      <c r="A10" s="9" t="s">
        <v>819</v>
      </c>
      <c r="B10" s="9" t="s">
        <v>827</v>
      </c>
      <c r="C10" s="9">
        <v>8486</v>
      </c>
    </row>
    <row r="11" spans="1:9">
      <c r="A11" s="9" t="s">
        <v>821</v>
      </c>
      <c r="B11" s="9" t="s">
        <v>828</v>
      </c>
      <c r="C11" s="9">
        <v>3384</v>
      </c>
    </row>
    <row r="12" spans="1:9">
      <c r="A12" s="9" t="s">
        <v>825</v>
      </c>
      <c r="B12" s="9" t="s">
        <v>829</v>
      </c>
      <c r="C12" s="9">
        <v>3422</v>
      </c>
    </row>
    <row r="14" spans="1:9">
      <c r="A14" s="335" t="s">
        <v>830</v>
      </c>
      <c r="B14" s="336"/>
      <c r="C14" s="339">
        <f>SUMIF(A5:A12,"Ben",C5:C12)</f>
        <v>24383</v>
      </c>
      <c r="E14" s="335" t="s">
        <v>831</v>
      </c>
      <c r="F14" s="336"/>
      <c r="G14" s="342">
        <f>SUMIF(A5:A12,A7,C5:C12)</f>
        <v>24383</v>
      </c>
    </row>
    <row r="15" spans="1:9">
      <c r="A15" s="337"/>
      <c r="B15" s="338"/>
      <c r="C15" s="340"/>
      <c r="E15" s="337"/>
      <c r="F15" s="338"/>
      <c r="G15" s="340"/>
    </row>
    <row r="16" spans="1:9">
      <c r="G16" s="342">
        <f>SUMIF(A7:A14,A9,C7:C14)</f>
        <v>11224</v>
      </c>
    </row>
    <row r="17" spans="1:7">
      <c r="A17" s="335" t="s">
        <v>832</v>
      </c>
      <c r="B17" s="336"/>
      <c r="C17" s="339">
        <f>SUMIF(A5:A12,"Ben",C5:C12)+SUMIF(A5:A12,"Jenny",C5:C12)</f>
        <v>35607</v>
      </c>
      <c r="E17" s="341" t="s">
        <v>832</v>
      </c>
      <c r="F17" s="336"/>
      <c r="G17" s="340"/>
    </row>
    <row r="18" spans="1:7">
      <c r="A18" s="337"/>
      <c r="B18" s="338"/>
      <c r="C18" s="340"/>
      <c r="E18" s="337"/>
      <c r="F18" s="338"/>
      <c r="G18" s="342">
        <f>SUMIF(A9:A16,A11,C9:C16)</f>
        <v>3384</v>
      </c>
    </row>
    <row r="19" spans="1:7">
      <c r="A19" s="6" t="s">
        <v>833</v>
      </c>
      <c r="G19" s="340"/>
    </row>
    <row r="21" spans="1:7" ht="15.75" customHeight="1">
      <c r="A21" s="157" t="s">
        <v>816</v>
      </c>
      <c r="B21" s="157" t="s">
        <v>817</v>
      </c>
      <c r="C21" s="157" t="s">
        <v>818</v>
      </c>
    </row>
    <row r="22" spans="1:7" ht="15.75" customHeight="1">
      <c r="A22" s="9" t="s">
        <v>819</v>
      </c>
      <c r="B22" s="9" t="s">
        <v>820</v>
      </c>
      <c r="C22" s="9">
        <f>6960-2345</f>
        <v>4615</v>
      </c>
    </row>
    <row r="23" spans="1:7" ht="15.75" customHeight="1">
      <c r="A23" s="9" t="s">
        <v>821</v>
      </c>
      <c r="B23" s="9" t="s">
        <v>822</v>
      </c>
      <c r="C23" s="9">
        <v>2345</v>
      </c>
    </row>
    <row r="24" spans="1:7" ht="15.75" customHeight="1">
      <c r="A24" s="9" t="s">
        <v>819</v>
      </c>
      <c r="B24" s="9" t="s">
        <v>823</v>
      </c>
      <c r="C24" s="9">
        <v>11282</v>
      </c>
    </row>
    <row r="25" spans="1:7" ht="15.75" customHeight="1">
      <c r="A25" s="9" t="s">
        <v>821</v>
      </c>
      <c r="B25" s="9" t="s">
        <v>824</v>
      </c>
      <c r="C25" s="9">
        <v>4159</v>
      </c>
    </row>
    <row r="26" spans="1:7" ht="15.75" customHeight="1">
      <c r="A26" s="9" t="s">
        <v>825</v>
      </c>
      <c r="B26" s="9" t="s">
        <v>826</v>
      </c>
      <c r="C26" s="9">
        <v>7802</v>
      </c>
    </row>
    <row r="27" spans="1:7" ht="15.75" customHeight="1">
      <c r="A27" s="9" t="s">
        <v>819</v>
      </c>
      <c r="B27" s="9" t="s">
        <v>827</v>
      </c>
      <c r="C27" s="9">
        <v>8486</v>
      </c>
    </row>
    <row r="28" spans="1:7" ht="15.75" customHeight="1">
      <c r="A28" s="9" t="s">
        <v>821</v>
      </c>
      <c r="B28" s="9" t="s">
        <v>828</v>
      </c>
      <c r="C28" s="9">
        <v>3384</v>
      </c>
    </row>
    <row r="29" spans="1:7" ht="15.75" customHeight="1">
      <c r="A29" s="9" t="s">
        <v>825</v>
      </c>
      <c r="B29" s="9" t="s">
        <v>829</v>
      </c>
      <c r="C29" s="9">
        <v>3422</v>
      </c>
    </row>
    <row r="30" spans="1:7" ht="15.75" customHeight="1"/>
    <row r="31" spans="1:7" ht="15.75" customHeight="1">
      <c r="A31" s="335" t="s">
        <v>832</v>
      </c>
      <c r="B31" s="336"/>
      <c r="C31" s="339">
        <f>SUMIF(A22:A29,"Ben",C22:C29)+SUMIF(A22:A29,"Jenny",C22:C29)</f>
        <v>35607</v>
      </c>
      <c r="E31" s="335" t="s">
        <v>834</v>
      </c>
      <c r="F31" s="336"/>
      <c r="G31" s="342"/>
    </row>
    <row r="32" spans="1:7" ht="15.75" customHeight="1">
      <c r="A32" s="337"/>
      <c r="B32" s="338"/>
      <c r="C32" s="340"/>
      <c r="E32" s="337"/>
      <c r="F32" s="338"/>
      <c r="G32" s="340"/>
    </row>
    <row r="33" spans="1:1" ht="15.75" customHeight="1"/>
    <row r="34" spans="1:1" ht="15.75" customHeight="1">
      <c r="A34" s="6" t="s">
        <v>833</v>
      </c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:I1"/>
    <mergeCell ref="A2:I2"/>
    <mergeCell ref="A14:B15"/>
    <mergeCell ref="C14:C15"/>
    <mergeCell ref="E14:F15"/>
    <mergeCell ref="G14:G15"/>
    <mergeCell ref="A17:B18"/>
    <mergeCell ref="C17:C18"/>
    <mergeCell ref="E17:F18"/>
    <mergeCell ref="G18:G19"/>
    <mergeCell ref="A31:B32"/>
    <mergeCell ref="C31:C32"/>
    <mergeCell ref="E31:F32"/>
    <mergeCell ref="G31:G32"/>
    <mergeCell ref="G16:G17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I1"/>
    </sheetView>
  </sheetViews>
  <sheetFormatPr defaultColWidth="14.42578125" defaultRowHeight="15" customHeight="1"/>
  <cols>
    <col min="1" max="26" width="8" customWidth="1"/>
  </cols>
  <sheetData>
    <row r="1" spans="1:9" ht="18.75" customHeight="1">
      <c r="A1" s="310" t="s">
        <v>835</v>
      </c>
      <c r="B1" s="311"/>
      <c r="C1" s="311"/>
      <c r="D1" s="311"/>
      <c r="E1" s="311"/>
      <c r="F1" s="311"/>
      <c r="G1" s="311"/>
      <c r="H1" s="311"/>
      <c r="I1" s="311"/>
    </row>
    <row r="2" spans="1:9">
      <c r="A2" s="313" t="s">
        <v>836</v>
      </c>
      <c r="B2" s="311"/>
      <c r="C2" s="311"/>
      <c r="D2" s="311"/>
      <c r="E2" s="311"/>
      <c r="F2" s="311"/>
      <c r="G2" s="311"/>
      <c r="H2" s="311"/>
      <c r="I2" s="311"/>
    </row>
    <row r="4" spans="1:9">
      <c r="A4" s="157" t="s">
        <v>361</v>
      </c>
      <c r="B4" s="157" t="s">
        <v>837</v>
      </c>
      <c r="C4" s="157" t="s">
        <v>838</v>
      </c>
      <c r="E4" s="6">
        <f>SUMPRODUCT(C5:C9,B5:B9)</f>
        <v>799</v>
      </c>
    </row>
    <row r="5" spans="1:9">
      <c r="A5" s="9" t="s">
        <v>839</v>
      </c>
      <c r="B5" s="9">
        <v>20</v>
      </c>
      <c r="C5" s="9">
        <v>10</v>
      </c>
    </row>
    <row r="6" spans="1:9">
      <c r="A6" s="9" t="s">
        <v>840</v>
      </c>
      <c r="B6" s="9">
        <v>15</v>
      </c>
      <c r="C6" s="9">
        <v>20</v>
      </c>
    </row>
    <row r="7" spans="1:9">
      <c r="A7" s="9" t="s">
        <v>841</v>
      </c>
      <c r="B7" s="9">
        <v>5</v>
      </c>
      <c r="C7" s="9">
        <v>35</v>
      </c>
    </row>
    <row r="8" spans="1:9">
      <c r="A8" s="9" t="s">
        <v>842</v>
      </c>
      <c r="B8" s="9">
        <v>10</v>
      </c>
      <c r="C8" s="9">
        <v>6</v>
      </c>
    </row>
    <row r="9" spans="1:9">
      <c r="A9" s="9" t="s">
        <v>843</v>
      </c>
      <c r="B9" s="9">
        <v>8</v>
      </c>
      <c r="C9" s="9">
        <v>8</v>
      </c>
    </row>
    <row r="10" spans="1:9">
      <c r="A10" s="97"/>
      <c r="B10" s="17" t="s">
        <v>844</v>
      </c>
      <c r="C10" s="205">
        <f>SUMPRODUCT(B5:B9,C5:C9)</f>
        <v>799</v>
      </c>
      <c r="E10" s="14" t="s">
        <v>845</v>
      </c>
    </row>
    <row r="12" spans="1:9">
      <c r="C12" s="14" t="s">
        <v>846</v>
      </c>
      <c r="E12" s="14" t="s">
        <v>847</v>
      </c>
    </row>
    <row r="13" spans="1:9">
      <c r="C13" s="14"/>
      <c r="E13" s="14"/>
    </row>
    <row r="14" spans="1:9">
      <c r="A14" s="343" t="s">
        <v>810</v>
      </c>
      <c r="B14" s="318"/>
      <c r="D14" s="343" t="s">
        <v>811</v>
      </c>
      <c r="E14" s="318"/>
    </row>
    <row r="15" spans="1:9">
      <c r="A15" s="166" t="s">
        <v>848</v>
      </c>
      <c r="B15" s="166" t="s">
        <v>849</v>
      </c>
      <c r="D15" s="166" t="s">
        <v>848</v>
      </c>
      <c r="E15" s="166" t="s">
        <v>849</v>
      </c>
    </row>
    <row r="16" spans="1:9">
      <c r="A16" s="206">
        <v>415930</v>
      </c>
      <c r="B16" s="206" t="s">
        <v>850</v>
      </c>
      <c r="C16" s="93"/>
      <c r="D16" s="207">
        <v>415930</v>
      </c>
      <c r="E16" s="208" t="str">
        <f>VLOOKUP(D16,$A$3:$B$23,2,0)</f>
        <v>U_362</v>
      </c>
    </row>
    <row r="17" spans="1:5">
      <c r="A17" s="206">
        <v>100847</v>
      </c>
      <c r="B17" s="206" t="s">
        <v>851</v>
      </c>
      <c r="C17" s="93"/>
      <c r="D17" s="207">
        <v>100847</v>
      </c>
      <c r="E17" s="208" t="str">
        <f t="shared" ref="E17:E35" si="0">VLOOKUP(D17,A16:B35,2,0)</f>
        <v>Z_143</v>
      </c>
    </row>
    <row r="18" spans="1:5">
      <c r="A18" s="206">
        <v>592629</v>
      </c>
      <c r="B18" s="206" t="s">
        <v>852</v>
      </c>
      <c r="C18" s="93"/>
      <c r="D18" s="207">
        <v>592629</v>
      </c>
      <c r="E18" s="208" t="str">
        <f t="shared" si="0"/>
        <v>F_103</v>
      </c>
    </row>
    <row r="19" spans="1:5">
      <c r="A19" s="206">
        <v>26531</v>
      </c>
      <c r="B19" s="206" t="s">
        <v>853</v>
      </c>
      <c r="C19" s="93"/>
      <c r="D19" s="207">
        <v>26531</v>
      </c>
      <c r="E19" s="208" t="str">
        <f t="shared" si="0"/>
        <v>N_148</v>
      </c>
    </row>
    <row r="20" spans="1:5">
      <c r="A20" s="206">
        <v>333812</v>
      </c>
      <c r="B20" s="206" t="s">
        <v>854</v>
      </c>
      <c r="C20" s="93"/>
      <c r="D20" s="207">
        <v>333812</v>
      </c>
      <c r="E20" s="208" t="str">
        <f t="shared" si="0"/>
        <v>L_120</v>
      </c>
    </row>
    <row r="21" spans="1:5" ht="15.75" customHeight="1">
      <c r="A21" s="206">
        <v>261178</v>
      </c>
      <c r="B21" s="206" t="s">
        <v>855</v>
      </c>
      <c r="C21" s="93"/>
      <c r="D21" s="207">
        <v>261178</v>
      </c>
      <c r="E21" s="208" t="str">
        <f t="shared" si="0"/>
        <v>G_455</v>
      </c>
    </row>
    <row r="22" spans="1:5" ht="15.75" customHeight="1">
      <c r="A22" s="206">
        <v>131380</v>
      </c>
      <c r="B22" s="206" t="s">
        <v>856</v>
      </c>
      <c r="C22" s="93"/>
      <c r="D22" s="207">
        <v>131380</v>
      </c>
      <c r="E22" s="208" t="str">
        <f t="shared" si="0"/>
        <v>E_195</v>
      </c>
    </row>
    <row r="23" spans="1:5" ht="15.75" customHeight="1">
      <c r="A23" s="206">
        <v>568870</v>
      </c>
      <c r="B23" s="206" t="s">
        <v>857</v>
      </c>
      <c r="C23" s="93"/>
      <c r="D23" s="207">
        <v>568870</v>
      </c>
      <c r="E23" s="208" t="str">
        <f t="shared" si="0"/>
        <v>E_41</v>
      </c>
    </row>
    <row r="24" spans="1:5" ht="15.75" customHeight="1">
      <c r="A24" s="206">
        <v>357335</v>
      </c>
      <c r="B24" s="206" t="s">
        <v>858</v>
      </c>
      <c r="C24" s="93"/>
      <c r="D24" s="207">
        <v>357335</v>
      </c>
      <c r="E24" s="208" t="str">
        <f t="shared" si="0"/>
        <v>O_62</v>
      </c>
    </row>
    <row r="25" spans="1:5" ht="15.75" customHeight="1">
      <c r="A25" s="206">
        <v>692273</v>
      </c>
      <c r="B25" s="206" t="s">
        <v>859</v>
      </c>
      <c r="C25" s="93"/>
      <c r="D25" s="207">
        <v>692273</v>
      </c>
      <c r="E25" s="208" t="str">
        <f t="shared" si="0"/>
        <v>B_277</v>
      </c>
    </row>
    <row r="26" spans="1:5" ht="15.75" customHeight="1">
      <c r="A26" s="206">
        <v>530883</v>
      </c>
      <c r="B26" s="206" t="s">
        <v>860</v>
      </c>
      <c r="C26" s="93"/>
      <c r="D26" s="207">
        <v>530883</v>
      </c>
      <c r="E26" s="208" t="str">
        <f t="shared" si="0"/>
        <v>V_318</v>
      </c>
    </row>
    <row r="27" spans="1:5" ht="15.75" customHeight="1">
      <c r="A27" s="206">
        <v>124354</v>
      </c>
      <c r="B27" s="206" t="s">
        <v>861</v>
      </c>
      <c r="C27" s="93"/>
      <c r="D27" s="207">
        <v>124354</v>
      </c>
      <c r="E27" s="208" t="str">
        <f t="shared" si="0"/>
        <v>J_446</v>
      </c>
    </row>
    <row r="28" spans="1:5" ht="15.75" customHeight="1">
      <c r="A28" s="206">
        <v>430230</v>
      </c>
      <c r="B28" s="206" t="s">
        <v>862</v>
      </c>
      <c r="C28" s="93"/>
      <c r="D28" s="207">
        <v>430230</v>
      </c>
      <c r="E28" s="208" t="str">
        <f t="shared" si="0"/>
        <v>P_18</v>
      </c>
    </row>
    <row r="29" spans="1:5" ht="15.75" customHeight="1">
      <c r="A29" s="206">
        <v>474386</v>
      </c>
      <c r="B29" s="206" t="s">
        <v>863</v>
      </c>
      <c r="C29" s="93"/>
      <c r="D29" s="207">
        <v>474386</v>
      </c>
      <c r="E29" s="208" t="str">
        <f t="shared" si="0"/>
        <v>T_84</v>
      </c>
    </row>
    <row r="30" spans="1:5" ht="15.75" customHeight="1">
      <c r="A30" s="206">
        <v>62142</v>
      </c>
      <c r="B30" s="206" t="s">
        <v>864</v>
      </c>
      <c r="C30" s="93"/>
      <c r="D30" s="207">
        <v>62142</v>
      </c>
      <c r="E30" s="208" t="str">
        <f t="shared" si="0"/>
        <v>J_264</v>
      </c>
    </row>
    <row r="31" spans="1:5" ht="15.75" customHeight="1">
      <c r="A31" s="206">
        <v>313357</v>
      </c>
      <c r="B31" s="206" t="s">
        <v>865</v>
      </c>
      <c r="C31" s="93"/>
      <c r="D31" s="207">
        <v>313357</v>
      </c>
      <c r="E31" s="208" t="str">
        <f t="shared" si="0"/>
        <v>X_296</v>
      </c>
    </row>
    <row r="32" spans="1:5" ht="15.75" customHeight="1">
      <c r="A32" s="206">
        <v>543456</v>
      </c>
      <c r="B32" s="206" t="s">
        <v>866</v>
      </c>
      <c r="C32" s="93"/>
      <c r="D32" s="207">
        <v>543456</v>
      </c>
      <c r="E32" s="208" t="str">
        <f t="shared" si="0"/>
        <v>X_112</v>
      </c>
    </row>
    <row r="33" spans="1:5" ht="15.75" customHeight="1">
      <c r="A33" s="206">
        <v>74285</v>
      </c>
      <c r="B33" s="206" t="s">
        <v>867</v>
      </c>
      <c r="C33" s="93"/>
      <c r="D33" s="207">
        <v>74285</v>
      </c>
      <c r="E33" s="208" t="str">
        <f t="shared" si="0"/>
        <v>J_430</v>
      </c>
    </row>
    <row r="34" spans="1:5" ht="15.75" customHeight="1">
      <c r="A34" s="206">
        <v>80125</v>
      </c>
      <c r="B34" s="206" t="s">
        <v>868</v>
      </c>
      <c r="C34" s="93"/>
      <c r="D34" s="207">
        <v>80125</v>
      </c>
      <c r="E34" s="208" t="str">
        <f t="shared" si="0"/>
        <v>I_159</v>
      </c>
    </row>
    <row r="35" spans="1:5" ht="15.75" customHeight="1">
      <c r="A35" s="206">
        <v>715820</v>
      </c>
      <c r="B35" s="206" t="s">
        <v>869</v>
      </c>
      <c r="C35" s="93"/>
      <c r="D35" s="207">
        <v>715820</v>
      </c>
      <c r="E35" s="208" t="str">
        <f t="shared" si="0"/>
        <v>F_10</v>
      </c>
    </row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2:I2"/>
    <mergeCell ref="A14:B14"/>
    <mergeCell ref="D14:E14"/>
  </mergeCell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R1000"/>
  <sheetViews>
    <sheetView workbookViewId="0">
      <selection sqref="A1:N1"/>
    </sheetView>
  </sheetViews>
  <sheetFormatPr defaultColWidth="14.42578125" defaultRowHeight="15" customHeight="1"/>
  <cols>
    <col min="1" max="1" width="5.28515625" customWidth="1"/>
    <col min="2" max="2" width="12.7109375" customWidth="1"/>
    <col min="3" max="3" width="8" customWidth="1"/>
    <col min="4" max="4" width="9.28515625" customWidth="1"/>
    <col min="5" max="5" width="0.28515625" hidden="1" customWidth="1"/>
    <col min="6" max="6" width="8" customWidth="1"/>
    <col min="7" max="7" width="11" customWidth="1"/>
    <col min="8" max="8" width="8.5703125" customWidth="1"/>
    <col min="9" max="9" width="5.85546875" customWidth="1"/>
    <col min="10" max="10" width="23.85546875" customWidth="1"/>
    <col min="11" max="11" width="4.85546875" customWidth="1"/>
    <col min="12" max="12" width="9.140625" customWidth="1"/>
    <col min="13" max="13" width="8" customWidth="1"/>
    <col min="14" max="14" width="7.7109375" customWidth="1"/>
    <col min="15" max="27" width="8" customWidth="1"/>
  </cols>
  <sheetData>
    <row r="1" spans="1:14" ht="18.75" customHeight="1">
      <c r="A1" s="310" t="s">
        <v>870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</row>
    <row r="4" spans="1:14" ht="23.25" customHeight="1">
      <c r="A4" s="344" t="s">
        <v>846</v>
      </c>
      <c r="B4" s="345"/>
      <c r="C4" s="345"/>
      <c r="D4" s="345"/>
      <c r="E4" s="345"/>
      <c r="F4" s="345"/>
      <c r="G4" s="345"/>
      <c r="H4" s="345"/>
      <c r="I4" s="345"/>
    </row>
    <row r="5" spans="1:14" ht="15.75" customHeight="1">
      <c r="I5" s="35"/>
      <c r="J5" s="35"/>
    </row>
    <row r="6" spans="1:14">
      <c r="A6" s="30" t="s">
        <v>871</v>
      </c>
      <c r="B6" s="31" t="s">
        <v>198</v>
      </c>
      <c r="C6" s="31" t="s">
        <v>813</v>
      </c>
      <c r="D6" s="31" t="s">
        <v>431</v>
      </c>
      <c r="E6" s="31" t="s">
        <v>872</v>
      </c>
      <c r="F6" s="31" t="s">
        <v>474</v>
      </c>
      <c r="G6" s="31" t="s">
        <v>873</v>
      </c>
      <c r="H6" s="31" t="s">
        <v>874</v>
      </c>
      <c r="I6" s="8" t="s">
        <v>875</v>
      </c>
      <c r="J6" s="35"/>
      <c r="L6" s="209" t="s">
        <v>813</v>
      </c>
      <c r="M6" s="209" t="s">
        <v>873</v>
      </c>
      <c r="N6" s="209" t="s">
        <v>874</v>
      </c>
    </row>
    <row r="7" spans="1:14">
      <c r="A7" s="7">
        <v>1</v>
      </c>
      <c r="B7" s="8" t="s">
        <v>876</v>
      </c>
      <c r="C7" s="8" t="s">
        <v>320</v>
      </c>
      <c r="D7" s="8" t="s">
        <v>877</v>
      </c>
      <c r="E7" s="8" t="s">
        <v>878</v>
      </c>
      <c r="F7" s="8">
        <v>15625</v>
      </c>
      <c r="G7" s="8">
        <f t="shared" ref="G7:G23" si="0">VLOOKUP(C7,$L$7:$N$14,2,0)</f>
        <v>100</v>
      </c>
      <c r="H7" s="8">
        <f t="shared" ref="H7:H23" si="1">VLOOKUP(C7,$L$7:$N$14,3,0)</f>
        <v>900</v>
      </c>
      <c r="I7" s="8">
        <f t="shared" ref="I7:I23" si="2">VLOOKUP(D7,$L$20:$M$23,2,0)</f>
        <v>100</v>
      </c>
      <c r="J7" s="35" t="str">
        <f>IF(F7&gt;15000,"A",IF(F7&gt;10000,"B","C"))</f>
        <v>A</v>
      </c>
      <c r="L7" s="8" t="s">
        <v>320</v>
      </c>
      <c r="M7" s="8">
        <v>100</v>
      </c>
      <c r="N7" s="8">
        <v>900</v>
      </c>
    </row>
    <row r="8" spans="1:14">
      <c r="A8" s="7">
        <v>2</v>
      </c>
      <c r="B8" s="8" t="s">
        <v>879</v>
      </c>
      <c r="C8" s="8" t="s">
        <v>320</v>
      </c>
      <c r="D8" s="8" t="s">
        <v>880</v>
      </c>
      <c r="E8" s="8" t="s">
        <v>881</v>
      </c>
      <c r="F8" s="8">
        <v>12500</v>
      </c>
      <c r="G8" s="8">
        <f t="shared" si="0"/>
        <v>100</v>
      </c>
      <c r="H8" s="8">
        <f t="shared" si="1"/>
        <v>900</v>
      </c>
      <c r="I8" s="8">
        <f t="shared" si="2"/>
        <v>200</v>
      </c>
      <c r="J8" s="35"/>
      <c r="L8" s="8" t="s">
        <v>882</v>
      </c>
      <c r="M8" s="8">
        <v>200</v>
      </c>
      <c r="N8" s="8">
        <v>800</v>
      </c>
    </row>
    <row r="9" spans="1:14">
      <c r="A9" s="7">
        <v>3</v>
      </c>
      <c r="B9" s="8" t="s">
        <v>883</v>
      </c>
      <c r="C9" s="8" t="s">
        <v>882</v>
      </c>
      <c r="D9" s="8" t="s">
        <v>877</v>
      </c>
      <c r="E9" s="8" t="s">
        <v>564</v>
      </c>
      <c r="F9" s="8">
        <v>8750</v>
      </c>
      <c r="G9" s="8">
        <f t="shared" si="0"/>
        <v>200</v>
      </c>
      <c r="H9" s="8">
        <f t="shared" si="1"/>
        <v>800</v>
      </c>
      <c r="I9" s="8">
        <f t="shared" si="2"/>
        <v>100</v>
      </c>
      <c r="J9" s="35"/>
      <c r="L9" s="8" t="s">
        <v>884</v>
      </c>
      <c r="M9" s="8">
        <v>300</v>
      </c>
      <c r="N9" s="8">
        <v>700</v>
      </c>
    </row>
    <row r="10" spans="1:14">
      <c r="A10" s="7">
        <v>4</v>
      </c>
      <c r="B10" s="8" t="s">
        <v>885</v>
      </c>
      <c r="C10" s="8" t="s">
        <v>884</v>
      </c>
      <c r="D10" s="8" t="s">
        <v>877</v>
      </c>
      <c r="E10" s="8" t="s">
        <v>565</v>
      </c>
      <c r="F10" s="8">
        <v>15000</v>
      </c>
      <c r="G10" s="8">
        <f t="shared" si="0"/>
        <v>300</v>
      </c>
      <c r="H10" s="8">
        <f t="shared" si="1"/>
        <v>700</v>
      </c>
      <c r="I10" s="8">
        <f t="shared" si="2"/>
        <v>100</v>
      </c>
      <c r="J10" s="35"/>
      <c r="L10" s="8" t="s">
        <v>249</v>
      </c>
      <c r="M10" s="8">
        <v>400</v>
      </c>
      <c r="N10" s="8">
        <v>600</v>
      </c>
    </row>
    <row r="11" spans="1:14">
      <c r="A11" s="7">
        <v>5</v>
      </c>
      <c r="B11" s="8" t="s">
        <v>886</v>
      </c>
      <c r="C11" s="8" t="s">
        <v>884</v>
      </c>
      <c r="D11" s="8" t="s">
        <v>877</v>
      </c>
      <c r="E11" s="8" t="s">
        <v>887</v>
      </c>
      <c r="F11" s="8">
        <v>8875</v>
      </c>
      <c r="G11" s="8">
        <f t="shared" si="0"/>
        <v>300</v>
      </c>
      <c r="H11" s="8">
        <f t="shared" si="1"/>
        <v>700</v>
      </c>
      <c r="I11" s="8">
        <f t="shared" si="2"/>
        <v>100</v>
      </c>
      <c r="J11" s="35"/>
      <c r="L11" s="8" t="s">
        <v>888</v>
      </c>
      <c r="M11" s="8">
        <v>500</v>
      </c>
      <c r="N11" s="8">
        <v>500</v>
      </c>
    </row>
    <row r="12" spans="1:14">
      <c r="A12" s="7">
        <v>6</v>
      </c>
      <c r="B12" s="8" t="s">
        <v>889</v>
      </c>
      <c r="C12" s="8" t="s">
        <v>884</v>
      </c>
      <c r="D12" s="8" t="s">
        <v>877</v>
      </c>
      <c r="E12" s="8" t="s">
        <v>890</v>
      </c>
      <c r="F12" s="8">
        <v>8875</v>
      </c>
      <c r="G12" s="8">
        <f t="shared" si="0"/>
        <v>300</v>
      </c>
      <c r="H12" s="8">
        <f t="shared" si="1"/>
        <v>700</v>
      </c>
      <c r="I12" s="8">
        <f t="shared" si="2"/>
        <v>100</v>
      </c>
      <c r="J12" s="35"/>
      <c r="L12" s="8" t="s">
        <v>891</v>
      </c>
      <c r="M12" s="8">
        <v>600</v>
      </c>
      <c r="N12" s="8">
        <v>400</v>
      </c>
    </row>
    <row r="13" spans="1:14">
      <c r="A13" s="7">
        <v>7</v>
      </c>
      <c r="B13" s="8" t="s">
        <v>892</v>
      </c>
      <c r="C13" s="8" t="s">
        <v>320</v>
      </c>
      <c r="D13" s="8" t="s">
        <v>877</v>
      </c>
      <c r="E13" s="8" t="s">
        <v>893</v>
      </c>
      <c r="F13" s="8">
        <v>10625</v>
      </c>
      <c r="G13" s="8">
        <f t="shared" si="0"/>
        <v>100</v>
      </c>
      <c r="H13" s="8">
        <f t="shared" si="1"/>
        <v>900</v>
      </c>
      <c r="I13" s="8">
        <f t="shared" si="2"/>
        <v>100</v>
      </c>
      <c r="J13" s="35"/>
      <c r="L13" s="8" t="s">
        <v>894</v>
      </c>
      <c r="M13" s="8">
        <v>700</v>
      </c>
      <c r="N13" s="8">
        <v>300</v>
      </c>
    </row>
    <row r="14" spans="1:14">
      <c r="A14" s="7">
        <v>8</v>
      </c>
      <c r="B14" s="8" t="s">
        <v>895</v>
      </c>
      <c r="C14" s="8" t="s">
        <v>882</v>
      </c>
      <c r="D14" s="8" t="s">
        <v>880</v>
      </c>
      <c r="E14" s="8" t="s">
        <v>896</v>
      </c>
      <c r="F14" s="8">
        <v>11250</v>
      </c>
      <c r="G14" s="8">
        <f t="shared" si="0"/>
        <v>200</v>
      </c>
      <c r="H14" s="8">
        <f t="shared" si="1"/>
        <v>800</v>
      </c>
      <c r="I14" s="8">
        <f t="shared" si="2"/>
        <v>200</v>
      </c>
      <c r="J14" s="35"/>
      <c r="L14" s="8" t="s">
        <v>897</v>
      </c>
      <c r="M14" s="8">
        <v>800</v>
      </c>
      <c r="N14" s="8">
        <v>200</v>
      </c>
    </row>
    <row r="15" spans="1:14">
      <c r="A15" s="7">
        <v>9</v>
      </c>
      <c r="B15" s="8" t="s">
        <v>898</v>
      </c>
      <c r="C15" s="8" t="s">
        <v>249</v>
      </c>
      <c r="D15" s="8" t="s">
        <v>899</v>
      </c>
      <c r="E15" s="8" t="s">
        <v>570</v>
      </c>
      <c r="F15" s="8">
        <v>10625</v>
      </c>
      <c r="G15" s="8">
        <f t="shared" si="0"/>
        <v>400</v>
      </c>
      <c r="H15" s="8">
        <f t="shared" si="1"/>
        <v>600</v>
      </c>
      <c r="I15" s="8">
        <f t="shared" si="2"/>
        <v>300</v>
      </c>
      <c r="J15" s="35"/>
    </row>
    <row r="16" spans="1:14">
      <c r="A16" s="7">
        <v>10</v>
      </c>
      <c r="B16" s="8" t="s">
        <v>900</v>
      </c>
      <c r="C16" s="8" t="s">
        <v>888</v>
      </c>
      <c r="D16" s="8" t="s">
        <v>877</v>
      </c>
      <c r="E16" s="8" t="s">
        <v>901</v>
      </c>
      <c r="F16" s="8">
        <v>15000</v>
      </c>
      <c r="G16" s="8">
        <f t="shared" si="0"/>
        <v>500</v>
      </c>
      <c r="H16" s="8">
        <f t="shared" si="1"/>
        <v>500</v>
      </c>
      <c r="I16" s="8">
        <f t="shared" si="2"/>
        <v>100</v>
      </c>
      <c r="J16" s="35"/>
    </row>
    <row r="17" spans="1:18">
      <c r="A17" s="7">
        <v>11</v>
      </c>
      <c r="B17" s="8" t="s">
        <v>902</v>
      </c>
      <c r="C17" s="8" t="s">
        <v>249</v>
      </c>
      <c r="D17" s="8" t="s">
        <v>880</v>
      </c>
      <c r="E17" s="8" t="s">
        <v>903</v>
      </c>
      <c r="F17" s="8">
        <v>13750</v>
      </c>
      <c r="G17" s="8">
        <f t="shared" si="0"/>
        <v>400</v>
      </c>
      <c r="H17" s="8">
        <f t="shared" si="1"/>
        <v>600</v>
      </c>
      <c r="I17" s="8">
        <f t="shared" si="2"/>
        <v>200</v>
      </c>
      <c r="J17" s="35"/>
    </row>
    <row r="18" spans="1:18">
      <c r="A18" s="7">
        <v>12</v>
      </c>
      <c r="B18" s="8" t="s">
        <v>904</v>
      </c>
      <c r="C18" s="8" t="s">
        <v>891</v>
      </c>
      <c r="D18" s="8" t="s">
        <v>571</v>
      </c>
      <c r="E18" s="8" t="s">
        <v>905</v>
      </c>
      <c r="F18" s="8">
        <v>35000</v>
      </c>
      <c r="G18" s="8">
        <f t="shared" si="0"/>
        <v>600</v>
      </c>
      <c r="H18" s="8">
        <f t="shared" si="1"/>
        <v>400</v>
      </c>
      <c r="I18" s="8">
        <f t="shared" si="2"/>
        <v>400</v>
      </c>
      <c r="J18" s="35"/>
    </row>
    <row r="19" spans="1:18">
      <c r="A19" s="7">
        <v>13</v>
      </c>
      <c r="B19" s="8" t="s">
        <v>906</v>
      </c>
      <c r="C19" s="8" t="s">
        <v>894</v>
      </c>
      <c r="D19" s="8" t="s">
        <v>877</v>
      </c>
      <c r="E19" s="8" t="s">
        <v>901</v>
      </c>
      <c r="F19" s="8">
        <v>10625</v>
      </c>
      <c r="G19" s="8">
        <f t="shared" si="0"/>
        <v>700</v>
      </c>
      <c r="H19" s="8">
        <f t="shared" si="1"/>
        <v>300</v>
      </c>
      <c r="I19" s="8">
        <f t="shared" si="2"/>
        <v>100</v>
      </c>
      <c r="J19" s="35"/>
      <c r="L19" s="210" t="s">
        <v>431</v>
      </c>
      <c r="M19" s="210" t="s">
        <v>875</v>
      </c>
    </row>
    <row r="20" spans="1:18">
      <c r="A20" s="7">
        <v>14</v>
      </c>
      <c r="B20" s="8" t="s">
        <v>907</v>
      </c>
      <c r="C20" s="8" t="s">
        <v>894</v>
      </c>
      <c r="D20" s="8" t="s">
        <v>877</v>
      </c>
      <c r="E20" s="8" t="s">
        <v>908</v>
      </c>
      <c r="F20" s="8">
        <v>10625</v>
      </c>
      <c r="G20" s="8">
        <f t="shared" si="0"/>
        <v>700</v>
      </c>
      <c r="H20" s="8">
        <f t="shared" si="1"/>
        <v>300</v>
      </c>
      <c r="I20" s="8">
        <f t="shared" si="2"/>
        <v>100</v>
      </c>
      <c r="J20" s="35"/>
      <c r="L20" s="8" t="s">
        <v>877</v>
      </c>
      <c r="M20" s="8">
        <v>100</v>
      </c>
    </row>
    <row r="21" spans="1:18" ht="15.75" customHeight="1">
      <c r="A21" s="7">
        <v>15</v>
      </c>
      <c r="B21" s="8" t="s">
        <v>909</v>
      </c>
      <c r="C21" s="8" t="s">
        <v>888</v>
      </c>
      <c r="D21" s="8" t="s">
        <v>880</v>
      </c>
      <c r="E21" s="8" t="s">
        <v>881</v>
      </c>
      <c r="F21" s="8">
        <v>11250</v>
      </c>
      <c r="G21" s="8">
        <f t="shared" si="0"/>
        <v>500</v>
      </c>
      <c r="H21" s="8">
        <f t="shared" si="1"/>
        <v>500</v>
      </c>
      <c r="I21" s="8">
        <f t="shared" si="2"/>
        <v>200</v>
      </c>
      <c r="J21" s="35"/>
      <c r="L21" s="8" t="s">
        <v>880</v>
      </c>
      <c r="M21" s="8">
        <v>200</v>
      </c>
    </row>
    <row r="22" spans="1:18" ht="15.75" customHeight="1">
      <c r="A22" s="7">
        <v>16</v>
      </c>
      <c r="B22" s="8" t="s">
        <v>910</v>
      </c>
      <c r="C22" s="8" t="s">
        <v>888</v>
      </c>
      <c r="D22" s="8" t="s">
        <v>899</v>
      </c>
      <c r="E22" s="8" t="s">
        <v>911</v>
      </c>
      <c r="F22" s="8">
        <v>11250</v>
      </c>
      <c r="G22" s="8">
        <f t="shared" si="0"/>
        <v>500</v>
      </c>
      <c r="H22" s="8">
        <f t="shared" si="1"/>
        <v>500</v>
      </c>
      <c r="I22" s="8">
        <f t="shared" si="2"/>
        <v>300</v>
      </c>
      <c r="J22" s="35"/>
      <c r="L22" s="8" t="s">
        <v>899</v>
      </c>
      <c r="M22" s="8">
        <v>300</v>
      </c>
    </row>
    <row r="23" spans="1:18" ht="15.75" customHeight="1">
      <c r="A23" s="12">
        <v>17</v>
      </c>
      <c r="B23" s="13" t="s">
        <v>912</v>
      </c>
      <c r="C23" s="13" t="s">
        <v>882</v>
      </c>
      <c r="D23" s="13" t="s">
        <v>877</v>
      </c>
      <c r="E23" s="13" t="s">
        <v>887</v>
      </c>
      <c r="F23" s="13">
        <v>7500</v>
      </c>
      <c r="G23" s="8">
        <f t="shared" si="0"/>
        <v>200</v>
      </c>
      <c r="H23" s="8">
        <f t="shared" si="1"/>
        <v>800</v>
      </c>
      <c r="I23" s="8">
        <f t="shared" si="2"/>
        <v>100</v>
      </c>
      <c r="J23" s="35"/>
      <c r="L23" s="8" t="s">
        <v>571</v>
      </c>
      <c r="M23" s="8">
        <v>400</v>
      </c>
    </row>
    <row r="24" spans="1:18" ht="15.75" customHeight="1"/>
    <row r="25" spans="1:18" ht="15.75" customHeight="1">
      <c r="A25" s="6" t="s">
        <v>913</v>
      </c>
    </row>
    <row r="26" spans="1:18" ht="15.75" customHeight="1">
      <c r="A26" s="6" t="s">
        <v>914</v>
      </c>
    </row>
    <row r="27" spans="1:18" ht="15.75" customHeight="1">
      <c r="A27" s="6" t="s">
        <v>915</v>
      </c>
      <c r="N27" s="5" t="s">
        <v>916</v>
      </c>
      <c r="R27" s="6">
        <f>COUNTIF(C7:C23,"sales")</f>
        <v>3</v>
      </c>
    </row>
    <row r="28" spans="1:18" ht="15.75" customHeight="1">
      <c r="A28" s="6" t="s">
        <v>917</v>
      </c>
    </row>
    <row r="29" spans="1:18" ht="15.75" customHeight="1">
      <c r="A29" s="6" t="s">
        <v>918</v>
      </c>
      <c r="O29" s="5" t="s">
        <v>919</v>
      </c>
      <c r="R29" s="6">
        <f>SUMIF(D7:D23,"north",F7:F23)</f>
        <v>111500</v>
      </c>
    </row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4:I4"/>
  </mergeCell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J1"/>
    </sheetView>
  </sheetViews>
  <sheetFormatPr defaultColWidth="14.42578125" defaultRowHeight="15" customHeight="1"/>
  <cols>
    <col min="1" max="1" width="5" customWidth="1"/>
    <col min="2" max="2" width="12.140625" customWidth="1"/>
    <col min="3" max="3" width="8" customWidth="1"/>
    <col min="4" max="4" width="10.140625" customWidth="1"/>
    <col min="5" max="5" width="10.7109375" customWidth="1"/>
    <col min="6" max="6" width="8.5703125" customWidth="1"/>
    <col min="7" max="7" width="6.7109375" customWidth="1"/>
    <col min="8" max="8" width="7" customWidth="1"/>
    <col min="9" max="9" width="10.42578125" customWidth="1"/>
    <col min="10" max="26" width="8" customWidth="1"/>
  </cols>
  <sheetData>
    <row r="1" spans="1:13" ht="18.75" customHeight="1">
      <c r="A1" s="310" t="s">
        <v>920</v>
      </c>
      <c r="B1" s="311"/>
      <c r="C1" s="311"/>
      <c r="D1" s="311"/>
      <c r="E1" s="311"/>
      <c r="F1" s="311"/>
      <c r="G1" s="311"/>
      <c r="H1" s="311"/>
      <c r="I1" s="311"/>
      <c r="J1" s="311"/>
      <c r="K1" s="16"/>
      <c r="L1" s="16"/>
      <c r="M1" s="16"/>
    </row>
    <row r="4" spans="1:13" ht="18.75" customHeight="1">
      <c r="A4" s="346" t="s">
        <v>846</v>
      </c>
      <c r="B4" s="311"/>
      <c r="C4" s="311"/>
      <c r="D4" s="311"/>
      <c r="E4" s="311"/>
      <c r="F4" s="311"/>
    </row>
    <row r="5" spans="1:13">
      <c r="A5" s="347" t="s">
        <v>921</v>
      </c>
      <c r="B5" s="311"/>
      <c r="C5" s="311"/>
      <c r="D5" s="311"/>
      <c r="E5" s="311"/>
      <c r="F5" s="311"/>
      <c r="I5" s="212" t="s">
        <v>922</v>
      </c>
    </row>
    <row r="6" spans="1:13">
      <c r="A6" s="211"/>
      <c r="B6" s="211"/>
      <c r="C6" s="211"/>
      <c r="D6" s="211"/>
      <c r="E6" s="211"/>
      <c r="F6" s="211"/>
    </row>
    <row r="7" spans="1:13">
      <c r="A7" s="213" t="s">
        <v>923</v>
      </c>
      <c r="B7" s="214" t="s">
        <v>198</v>
      </c>
      <c r="C7" s="214" t="s">
        <v>813</v>
      </c>
      <c r="D7" s="215" t="s">
        <v>474</v>
      </c>
      <c r="E7" s="216" t="s">
        <v>924</v>
      </c>
      <c r="F7" s="217" t="s">
        <v>77</v>
      </c>
      <c r="H7" s="214" t="s">
        <v>925</v>
      </c>
      <c r="I7" s="214" t="s">
        <v>926</v>
      </c>
      <c r="J7" s="218" t="s">
        <v>927</v>
      </c>
    </row>
    <row r="8" spans="1:13">
      <c r="A8" s="219">
        <v>1</v>
      </c>
      <c r="B8" s="220" t="s">
        <v>876</v>
      </c>
      <c r="C8" s="220" t="s">
        <v>320</v>
      </c>
      <c r="D8" s="221">
        <v>15625</v>
      </c>
      <c r="E8" s="222">
        <f>VLOOKUP(D8,$H$4:$I$12,2,1)</f>
        <v>0.2</v>
      </c>
      <c r="F8" s="158" t="str">
        <f>VLOOKUP(D8,$H$4:$J$12,3,1)</f>
        <v>D</v>
      </c>
      <c r="H8" s="8">
        <v>1</v>
      </c>
      <c r="I8" s="223">
        <v>0.05</v>
      </c>
      <c r="J8" s="9" t="s">
        <v>543</v>
      </c>
    </row>
    <row r="9" spans="1:13">
      <c r="A9" s="219">
        <v>2</v>
      </c>
      <c r="B9" s="220" t="s">
        <v>879</v>
      </c>
      <c r="C9" s="220" t="s">
        <v>320</v>
      </c>
      <c r="D9" s="221">
        <v>12500</v>
      </c>
      <c r="E9" s="224">
        <f>VLOOKUP(D9,H7:J15,2,1)</f>
        <v>0.15</v>
      </c>
      <c r="F9" s="225" t="s">
        <v>139</v>
      </c>
      <c r="H9" s="8">
        <v>5001</v>
      </c>
      <c r="I9" s="223">
        <v>0.1</v>
      </c>
      <c r="J9" s="9" t="s">
        <v>549</v>
      </c>
    </row>
    <row r="10" spans="1:13">
      <c r="A10" s="219">
        <v>3</v>
      </c>
      <c r="B10" s="220" t="s">
        <v>883</v>
      </c>
      <c r="C10" s="220" t="s">
        <v>882</v>
      </c>
      <c r="D10" s="221">
        <v>8750</v>
      </c>
      <c r="E10" s="224" t="s">
        <v>139</v>
      </c>
      <c r="F10" s="225" t="s">
        <v>139</v>
      </c>
      <c r="H10" s="8">
        <v>10001</v>
      </c>
      <c r="I10" s="223">
        <v>0.15</v>
      </c>
      <c r="J10" s="9" t="s">
        <v>551</v>
      </c>
    </row>
    <row r="11" spans="1:13">
      <c r="A11" s="219">
        <v>4</v>
      </c>
      <c r="B11" s="220" t="s">
        <v>885</v>
      </c>
      <c r="C11" s="220" t="s">
        <v>884</v>
      </c>
      <c r="D11" s="221">
        <v>15000</v>
      </c>
      <c r="E11" s="224" t="s">
        <v>139</v>
      </c>
      <c r="F11" s="225" t="s">
        <v>139</v>
      </c>
      <c r="H11" s="8">
        <v>15001</v>
      </c>
      <c r="I11" s="223">
        <v>0.2</v>
      </c>
      <c r="J11" s="9" t="s">
        <v>545</v>
      </c>
    </row>
    <row r="12" spans="1:13">
      <c r="A12" s="219">
        <v>5</v>
      </c>
      <c r="B12" s="220" t="s">
        <v>886</v>
      </c>
      <c r="C12" s="220" t="s">
        <v>884</v>
      </c>
      <c r="D12" s="221">
        <v>8875</v>
      </c>
      <c r="E12" s="224" t="s">
        <v>139</v>
      </c>
      <c r="F12" s="225" t="s">
        <v>139</v>
      </c>
      <c r="H12" s="8">
        <v>20001</v>
      </c>
      <c r="I12" s="223">
        <v>0.25</v>
      </c>
      <c r="J12" s="9" t="s">
        <v>18</v>
      </c>
    </row>
    <row r="13" spans="1:13">
      <c r="A13" s="219">
        <v>6</v>
      </c>
      <c r="B13" s="220" t="s">
        <v>889</v>
      </c>
      <c r="C13" s="220" t="s">
        <v>884</v>
      </c>
      <c r="D13" s="221">
        <v>8875</v>
      </c>
      <c r="E13" s="224" t="s">
        <v>139</v>
      </c>
      <c r="F13" s="225" t="s">
        <v>139</v>
      </c>
      <c r="H13" s="8">
        <v>25001</v>
      </c>
      <c r="I13" s="223">
        <v>0.3</v>
      </c>
      <c r="J13" s="9" t="s">
        <v>554</v>
      </c>
    </row>
    <row r="14" spans="1:13">
      <c r="A14" s="219">
        <v>7</v>
      </c>
      <c r="B14" s="220" t="s">
        <v>892</v>
      </c>
      <c r="C14" s="220" t="s">
        <v>320</v>
      </c>
      <c r="D14" s="221">
        <v>10625</v>
      </c>
      <c r="E14" s="224" t="s">
        <v>139</v>
      </c>
      <c r="F14" s="225" t="s">
        <v>139</v>
      </c>
      <c r="H14" s="8">
        <v>30001</v>
      </c>
      <c r="I14" s="223">
        <v>0.35</v>
      </c>
      <c r="J14" s="9" t="s">
        <v>928</v>
      </c>
    </row>
    <row r="15" spans="1:13">
      <c r="A15" s="219">
        <v>8</v>
      </c>
      <c r="B15" s="220" t="s">
        <v>895</v>
      </c>
      <c r="C15" s="220" t="s">
        <v>882</v>
      </c>
      <c r="D15" s="221">
        <v>11250</v>
      </c>
      <c r="E15" s="224" t="s">
        <v>139</v>
      </c>
      <c r="F15" s="225" t="s">
        <v>139</v>
      </c>
      <c r="H15" s="8">
        <v>35001</v>
      </c>
      <c r="I15" s="223">
        <v>0.4</v>
      </c>
      <c r="J15" s="9" t="s">
        <v>929</v>
      </c>
    </row>
    <row r="16" spans="1:13">
      <c r="A16" s="219">
        <v>9</v>
      </c>
      <c r="B16" s="220" t="s">
        <v>898</v>
      </c>
      <c r="C16" s="220" t="s">
        <v>249</v>
      </c>
      <c r="D16" s="221">
        <v>10625</v>
      </c>
      <c r="E16" s="224" t="s">
        <v>139</v>
      </c>
      <c r="F16" s="225" t="s">
        <v>139</v>
      </c>
    </row>
    <row r="17" spans="1:6">
      <c r="A17" s="219">
        <v>10</v>
      </c>
      <c r="B17" s="220" t="s">
        <v>900</v>
      </c>
      <c r="C17" s="220" t="s">
        <v>888</v>
      </c>
      <c r="D17" s="226">
        <v>15000</v>
      </c>
      <c r="E17" s="224" t="s">
        <v>139</v>
      </c>
      <c r="F17" s="225" t="s">
        <v>139</v>
      </c>
    </row>
    <row r="18" spans="1:6">
      <c r="A18" s="219">
        <v>11</v>
      </c>
      <c r="B18" s="220" t="s">
        <v>902</v>
      </c>
      <c r="C18" s="220" t="s">
        <v>249</v>
      </c>
      <c r="D18" s="221">
        <v>13750</v>
      </c>
      <c r="E18" s="224" t="s">
        <v>139</v>
      </c>
      <c r="F18" s="225" t="s">
        <v>139</v>
      </c>
    </row>
    <row r="19" spans="1:6">
      <c r="A19" s="219">
        <v>12</v>
      </c>
      <c r="B19" s="220" t="s">
        <v>904</v>
      </c>
      <c r="C19" s="220" t="s">
        <v>891</v>
      </c>
      <c r="D19" s="221">
        <v>35000</v>
      </c>
      <c r="E19" s="224" t="s">
        <v>139</v>
      </c>
      <c r="F19" s="225" t="s">
        <v>139</v>
      </c>
    </row>
    <row r="20" spans="1:6">
      <c r="A20" s="219">
        <v>13</v>
      </c>
      <c r="B20" s="220" t="s">
        <v>906</v>
      </c>
      <c r="C20" s="220" t="s">
        <v>894</v>
      </c>
      <c r="D20" s="221">
        <v>10625</v>
      </c>
      <c r="E20" s="224" t="s">
        <v>139</v>
      </c>
      <c r="F20" s="225" t="s">
        <v>139</v>
      </c>
    </row>
    <row r="21" spans="1:6" ht="15.75" customHeight="1">
      <c r="A21" s="219">
        <v>14</v>
      </c>
      <c r="B21" s="220" t="s">
        <v>907</v>
      </c>
      <c r="C21" s="220" t="s">
        <v>894</v>
      </c>
      <c r="D21" s="221">
        <v>10625</v>
      </c>
      <c r="E21" s="224" t="s">
        <v>139</v>
      </c>
      <c r="F21" s="225" t="s">
        <v>139</v>
      </c>
    </row>
    <row r="22" spans="1:6" ht="15.75" customHeight="1">
      <c r="A22" s="219">
        <v>15</v>
      </c>
      <c r="B22" s="220" t="s">
        <v>909</v>
      </c>
      <c r="C22" s="220" t="s">
        <v>888</v>
      </c>
      <c r="D22" s="221">
        <v>11250</v>
      </c>
      <c r="E22" s="224" t="s">
        <v>139</v>
      </c>
      <c r="F22" s="225" t="s">
        <v>139</v>
      </c>
    </row>
    <row r="23" spans="1:6" ht="15.75" customHeight="1">
      <c r="A23" s="219">
        <v>16</v>
      </c>
      <c r="B23" s="220" t="s">
        <v>910</v>
      </c>
      <c r="C23" s="220" t="s">
        <v>888</v>
      </c>
      <c r="D23" s="221">
        <v>11250</v>
      </c>
      <c r="E23" s="224" t="s">
        <v>139</v>
      </c>
      <c r="F23" s="225" t="s">
        <v>139</v>
      </c>
    </row>
    <row r="24" spans="1:6" ht="15.75" customHeight="1">
      <c r="A24" s="219">
        <v>17</v>
      </c>
      <c r="B24" s="220" t="s">
        <v>912</v>
      </c>
      <c r="C24" s="220" t="s">
        <v>882</v>
      </c>
      <c r="D24" s="221">
        <v>7500</v>
      </c>
      <c r="E24" s="224" t="s">
        <v>139</v>
      </c>
      <c r="F24" s="225" t="s">
        <v>139</v>
      </c>
    </row>
    <row r="25" spans="1:6" ht="15.75" customHeight="1">
      <c r="A25" s="219">
        <v>18</v>
      </c>
      <c r="B25" s="220" t="s">
        <v>930</v>
      </c>
      <c r="C25" s="220" t="s">
        <v>882</v>
      </c>
      <c r="D25" s="221">
        <v>4250</v>
      </c>
      <c r="E25" s="224" t="s">
        <v>139</v>
      </c>
      <c r="F25" s="225" t="s">
        <v>139</v>
      </c>
    </row>
    <row r="26" spans="1:6" ht="15.75" customHeight="1">
      <c r="A26" s="219">
        <v>19</v>
      </c>
      <c r="B26" s="220" t="s">
        <v>931</v>
      </c>
      <c r="C26" s="220" t="s">
        <v>882</v>
      </c>
      <c r="D26" s="221">
        <v>5625</v>
      </c>
      <c r="E26" s="224" t="s">
        <v>139</v>
      </c>
      <c r="F26" s="225" t="s">
        <v>139</v>
      </c>
    </row>
    <row r="27" spans="1:6" ht="15.75" customHeight="1">
      <c r="A27" s="219">
        <v>20</v>
      </c>
      <c r="B27" s="220" t="s">
        <v>932</v>
      </c>
      <c r="C27" s="220" t="s">
        <v>882</v>
      </c>
      <c r="D27" s="221">
        <v>5625</v>
      </c>
      <c r="E27" s="224" t="s">
        <v>139</v>
      </c>
      <c r="F27" s="225" t="s">
        <v>139</v>
      </c>
    </row>
    <row r="28" spans="1:6" ht="15.75" customHeight="1">
      <c r="A28" s="219">
        <v>21</v>
      </c>
      <c r="B28" s="220" t="s">
        <v>933</v>
      </c>
      <c r="C28" s="220" t="s">
        <v>882</v>
      </c>
      <c r="D28" s="221">
        <v>5625</v>
      </c>
      <c r="E28" s="224" t="s">
        <v>139</v>
      </c>
      <c r="F28" s="225" t="s">
        <v>139</v>
      </c>
    </row>
    <row r="29" spans="1:6" ht="15.75" customHeight="1">
      <c r="A29" s="219">
        <v>22</v>
      </c>
      <c r="B29" s="220" t="s">
        <v>934</v>
      </c>
      <c r="C29" s="220" t="s">
        <v>320</v>
      </c>
      <c r="D29" s="221">
        <v>10625</v>
      </c>
      <c r="E29" s="224" t="s">
        <v>139</v>
      </c>
      <c r="F29" s="225" t="s">
        <v>139</v>
      </c>
    </row>
    <row r="30" spans="1:6" ht="15.75" customHeight="1">
      <c r="A30" s="219">
        <v>23</v>
      </c>
      <c r="B30" s="220" t="s">
        <v>935</v>
      </c>
      <c r="C30" s="220" t="s">
        <v>884</v>
      </c>
      <c r="D30" s="221">
        <v>5625</v>
      </c>
      <c r="E30" s="224" t="s">
        <v>139</v>
      </c>
      <c r="F30" s="225" t="s">
        <v>139</v>
      </c>
    </row>
    <row r="31" spans="1:6" ht="15.75" customHeight="1">
      <c r="A31" s="219">
        <v>24</v>
      </c>
      <c r="B31" s="220" t="s">
        <v>936</v>
      </c>
      <c r="C31" s="220" t="s">
        <v>320</v>
      </c>
      <c r="D31" s="221">
        <v>13750</v>
      </c>
      <c r="E31" s="224" t="s">
        <v>139</v>
      </c>
      <c r="F31" s="225" t="s">
        <v>139</v>
      </c>
    </row>
    <row r="32" spans="1:6" ht="15.75" customHeight="1">
      <c r="A32" s="219">
        <v>25</v>
      </c>
      <c r="B32" s="220" t="s">
        <v>937</v>
      </c>
      <c r="C32" s="220" t="s">
        <v>320</v>
      </c>
      <c r="D32" s="221">
        <v>9375</v>
      </c>
      <c r="E32" s="224" t="s">
        <v>139</v>
      </c>
      <c r="F32" s="225" t="s">
        <v>139</v>
      </c>
    </row>
    <row r="33" spans="1:6" ht="15.75" customHeight="1">
      <c r="A33" s="219">
        <v>26</v>
      </c>
      <c r="B33" s="220" t="s">
        <v>938</v>
      </c>
      <c r="C33" s="220" t="s">
        <v>884</v>
      </c>
      <c r="D33" s="221">
        <v>7500</v>
      </c>
      <c r="E33" s="224" t="s">
        <v>139</v>
      </c>
      <c r="F33" s="225" t="s">
        <v>139</v>
      </c>
    </row>
    <row r="34" spans="1:6" ht="15.75" customHeight="1">
      <c r="A34" s="219">
        <v>27</v>
      </c>
      <c r="B34" s="220" t="s">
        <v>939</v>
      </c>
      <c r="C34" s="220" t="s">
        <v>888</v>
      </c>
      <c r="D34" s="221">
        <v>6875</v>
      </c>
      <c r="E34" s="224" t="s">
        <v>139</v>
      </c>
      <c r="F34" s="225" t="s">
        <v>139</v>
      </c>
    </row>
    <row r="35" spans="1:6" ht="15.75" customHeight="1">
      <c r="A35" s="219">
        <v>28</v>
      </c>
      <c r="B35" s="220" t="s">
        <v>940</v>
      </c>
      <c r="C35" s="220" t="s">
        <v>894</v>
      </c>
      <c r="D35" s="221">
        <v>10125</v>
      </c>
      <c r="E35" s="224" t="s">
        <v>139</v>
      </c>
      <c r="F35" s="225" t="s">
        <v>139</v>
      </c>
    </row>
    <row r="36" spans="1:6" ht="15.75" customHeight="1">
      <c r="A36" s="219">
        <v>29</v>
      </c>
      <c r="B36" s="220" t="s">
        <v>941</v>
      </c>
      <c r="C36" s="220" t="s">
        <v>884</v>
      </c>
      <c r="D36" s="221">
        <v>11250</v>
      </c>
      <c r="E36" s="224" t="s">
        <v>139</v>
      </c>
      <c r="F36" s="225" t="s">
        <v>139</v>
      </c>
    </row>
    <row r="37" spans="1:6" ht="15.75" customHeight="1">
      <c r="A37" s="219">
        <v>30</v>
      </c>
      <c r="B37" s="220" t="s">
        <v>942</v>
      </c>
      <c r="C37" s="220" t="s">
        <v>897</v>
      </c>
      <c r="D37" s="221">
        <v>11250</v>
      </c>
      <c r="E37" s="224" t="s">
        <v>139</v>
      </c>
      <c r="F37" s="225" t="s">
        <v>139</v>
      </c>
    </row>
    <row r="38" spans="1:6" ht="15.75" customHeight="1">
      <c r="A38" s="219">
        <v>31</v>
      </c>
      <c r="B38" s="220" t="s">
        <v>943</v>
      </c>
      <c r="C38" s="220" t="s">
        <v>897</v>
      </c>
      <c r="D38" s="221">
        <v>5000</v>
      </c>
      <c r="E38" s="224" t="s">
        <v>139</v>
      </c>
      <c r="F38" s="225" t="s">
        <v>139</v>
      </c>
    </row>
    <row r="39" spans="1:6" ht="15.75" customHeight="1">
      <c r="A39" s="219">
        <v>32</v>
      </c>
      <c r="B39" s="220" t="s">
        <v>944</v>
      </c>
      <c r="C39" s="220" t="s">
        <v>897</v>
      </c>
      <c r="D39" s="221">
        <v>6250</v>
      </c>
      <c r="E39" s="224" t="s">
        <v>139</v>
      </c>
      <c r="F39" s="225" t="s">
        <v>139</v>
      </c>
    </row>
    <row r="40" spans="1:6" ht="15.75" customHeight="1">
      <c r="A40" s="219">
        <v>33</v>
      </c>
      <c r="B40" s="220" t="s">
        <v>945</v>
      </c>
      <c r="C40" s="220" t="s">
        <v>882</v>
      </c>
      <c r="D40" s="221">
        <v>6625</v>
      </c>
      <c r="E40" s="224" t="s">
        <v>139</v>
      </c>
      <c r="F40" s="225" t="s">
        <v>139</v>
      </c>
    </row>
    <row r="41" spans="1:6" ht="15.75" customHeight="1">
      <c r="A41" s="219">
        <v>34</v>
      </c>
      <c r="B41" s="220" t="s">
        <v>934</v>
      </c>
      <c r="C41" s="220" t="s">
        <v>894</v>
      </c>
      <c r="D41" s="221">
        <v>8375</v>
      </c>
      <c r="E41" s="224" t="s">
        <v>139</v>
      </c>
      <c r="F41" s="225" t="s">
        <v>139</v>
      </c>
    </row>
    <row r="42" spans="1:6" ht="15.75" customHeight="1">
      <c r="A42" s="219">
        <v>35</v>
      </c>
      <c r="B42" s="220" t="s">
        <v>900</v>
      </c>
      <c r="C42" s="220" t="s">
        <v>249</v>
      </c>
      <c r="D42" s="221">
        <v>17500</v>
      </c>
      <c r="E42" s="224" t="s">
        <v>139</v>
      </c>
      <c r="F42" s="225" t="s">
        <v>139</v>
      </c>
    </row>
    <row r="43" spans="1:6" ht="15.75" customHeight="1">
      <c r="A43" s="219">
        <v>36</v>
      </c>
      <c r="B43" s="220" t="s">
        <v>946</v>
      </c>
      <c r="C43" s="220" t="s">
        <v>249</v>
      </c>
      <c r="D43" s="221">
        <v>17500</v>
      </c>
      <c r="E43" s="224" t="s">
        <v>139</v>
      </c>
      <c r="F43" s="225" t="s">
        <v>139</v>
      </c>
    </row>
    <row r="44" spans="1:6" ht="15.75" customHeight="1">
      <c r="A44" s="219">
        <v>37</v>
      </c>
      <c r="B44" s="220" t="s">
        <v>904</v>
      </c>
      <c r="C44" s="220" t="s">
        <v>249</v>
      </c>
      <c r="D44" s="221">
        <v>17500</v>
      </c>
      <c r="E44" s="224" t="s">
        <v>139</v>
      </c>
      <c r="F44" s="225" t="s">
        <v>139</v>
      </c>
    </row>
    <row r="45" spans="1:6" ht="15.75" customHeight="1">
      <c r="A45" s="219">
        <v>38</v>
      </c>
      <c r="B45" s="220" t="s">
        <v>548</v>
      </c>
      <c r="C45" s="220" t="s">
        <v>320</v>
      </c>
      <c r="D45" s="221">
        <v>7500</v>
      </c>
      <c r="E45" s="224" t="s">
        <v>139</v>
      </c>
      <c r="F45" s="225" t="s">
        <v>139</v>
      </c>
    </row>
    <row r="46" spans="1:6" ht="15.75" customHeight="1">
      <c r="A46" s="219">
        <v>39</v>
      </c>
      <c r="B46" s="220" t="s">
        <v>947</v>
      </c>
      <c r="C46" s="220" t="s">
        <v>888</v>
      </c>
      <c r="D46" s="221">
        <v>5625</v>
      </c>
      <c r="E46" s="224" t="s">
        <v>139</v>
      </c>
      <c r="F46" s="225" t="s">
        <v>139</v>
      </c>
    </row>
    <row r="47" spans="1:6" ht="15.75" customHeight="1">
      <c r="A47" s="219">
        <v>40</v>
      </c>
      <c r="B47" s="220" t="s">
        <v>934</v>
      </c>
      <c r="C47" s="220" t="s">
        <v>884</v>
      </c>
      <c r="D47" s="221">
        <v>9500</v>
      </c>
      <c r="E47" s="224" t="s">
        <v>139</v>
      </c>
      <c r="F47" s="225" t="s">
        <v>139</v>
      </c>
    </row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A4:F4"/>
    <mergeCell ref="A5:F5"/>
  </mergeCell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J1000"/>
  <sheetViews>
    <sheetView workbookViewId="0">
      <selection sqref="A1:H1"/>
    </sheetView>
  </sheetViews>
  <sheetFormatPr defaultColWidth="14.42578125" defaultRowHeight="15" customHeight="1"/>
  <cols>
    <col min="1" max="1" width="11.28515625" customWidth="1"/>
    <col min="2" max="2" width="14.7109375" customWidth="1"/>
    <col min="3" max="3" width="11.7109375" customWidth="1"/>
    <col min="4" max="26" width="8" customWidth="1"/>
  </cols>
  <sheetData>
    <row r="1" spans="1:10" ht="18.75" customHeight="1">
      <c r="A1" s="310" t="s">
        <v>948</v>
      </c>
      <c r="B1" s="311"/>
      <c r="C1" s="311"/>
      <c r="D1" s="311"/>
      <c r="E1" s="311"/>
      <c r="F1" s="311"/>
      <c r="G1" s="311"/>
      <c r="H1" s="311"/>
      <c r="I1" s="16"/>
      <c r="J1" s="16"/>
    </row>
    <row r="2" spans="1:10">
      <c r="A2" s="313" t="s">
        <v>949</v>
      </c>
      <c r="B2" s="311"/>
      <c r="C2" s="311"/>
      <c r="D2" s="311"/>
      <c r="E2" s="311"/>
      <c r="F2" s="311"/>
      <c r="G2" s="311"/>
      <c r="H2" s="311"/>
    </row>
    <row r="4" spans="1:10">
      <c r="A4" s="112" t="s">
        <v>950</v>
      </c>
      <c r="B4" s="112" t="s">
        <v>951</v>
      </c>
      <c r="C4" s="112" t="s">
        <v>952</v>
      </c>
      <c r="D4" s="112" t="s">
        <v>953</v>
      </c>
    </row>
    <row r="5" spans="1:10">
      <c r="A5" s="227">
        <v>21916</v>
      </c>
      <c r="B5" s="227">
        <v>25698</v>
      </c>
      <c r="C5" s="112" t="s">
        <v>954</v>
      </c>
      <c r="D5" s="66">
        <f>DATEDIF(A5,B5,"d")</f>
        <v>3782</v>
      </c>
      <c r="E5" s="228" t="s">
        <v>955</v>
      </c>
    </row>
    <row r="6" spans="1:10">
      <c r="A6" s="227">
        <v>21916</v>
      </c>
      <c r="B6" s="227">
        <v>25698</v>
      </c>
      <c r="C6" s="112" t="s">
        <v>956</v>
      </c>
      <c r="D6" s="66">
        <f>DATEDIF(A6,B6,"m")</f>
        <v>124</v>
      </c>
      <c r="E6" s="228" t="s">
        <v>957</v>
      </c>
    </row>
    <row r="7" spans="1:10">
      <c r="A7" s="227">
        <v>21916</v>
      </c>
      <c r="B7" s="227">
        <v>25698</v>
      </c>
      <c r="C7" s="112" t="s">
        <v>958</v>
      </c>
      <c r="D7" s="66">
        <f>DATEDIF(A7,B7,"y")</f>
        <v>10</v>
      </c>
      <c r="E7" s="228" t="s">
        <v>959</v>
      </c>
    </row>
    <row r="8" spans="1:10">
      <c r="A8" s="227">
        <v>21916</v>
      </c>
      <c r="B8" s="227">
        <v>25698</v>
      </c>
      <c r="C8" s="112" t="s">
        <v>960</v>
      </c>
      <c r="D8" s="66">
        <f>DATEDIF(A8,B8,"yd")</f>
        <v>130</v>
      </c>
      <c r="E8" s="228" t="s">
        <v>961</v>
      </c>
    </row>
    <row r="9" spans="1:10">
      <c r="A9" s="227">
        <v>21916</v>
      </c>
      <c r="B9" s="227">
        <v>25698</v>
      </c>
      <c r="C9" s="112" t="s">
        <v>962</v>
      </c>
      <c r="D9" s="66">
        <f>DATEDIF(A9,B9,"ym")</f>
        <v>4</v>
      </c>
      <c r="E9" s="228" t="s">
        <v>963</v>
      </c>
    </row>
    <row r="10" spans="1:10">
      <c r="A10" s="227">
        <v>21916</v>
      </c>
      <c r="B10" s="227">
        <v>25698</v>
      </c>
      <c r="C10" s="112" t="s">
        <v>964</v>
      </c>
      <c r="D10" s="66">
        <f>DATEDIF(A10,B10,"md")</f>
        <v>9</v>
      </c>
      <c r="E10" s="228" t="s">
        <v>965</v>
      </c>
    </row>
    <row r="12" spans="1:10" ht="15.75" customHeight="1">
      <c r="A12" s="229" t="s">
        <v>966</v>
      </c>
      <c r="B12" s="230"/>
      <c r="C12" s="230"/>
      <c r="D12" s="230"/>
      <c r="E12" s="230"/>
      <c r="F12" s="230"/>
      <c r="G12" s="230"/>
    </row>
    <row r="13" spans="1:10">
      <c r="A13" s="78" t="s">
        <v>967</v>
      </c>
    </row>
    <row r="14" spans="1:10">
      <c r="A14" s="78" t="s">
        <v>968</v>
      </c>
    </row>
    <row r="16" spans="1:10" ht="15.75" customHeight="1">
      <c r="A16" s="229" t="s">
        <v>969</v>
      </c>
      <c r="B16" s="230"/>
      <c r="C16" s="230"/>
      <c r="D16" s="230"/>
      <c r="E16" s="230"/>
      <c r="F16" s="230"/>
      <c r="G16" s="230"/>
    </row>
    <row r="17" spans="1:7">
      <c r="A17" s="6" t="s">
        <v>970</v>
      </c>
    </row>
    <row r="18" spans="1:7">
      <c r="A18" s="78" t="s">
        <v>971</v>
      </c>
    </row>
    <row r="19" spans="1:7">
      <c r="A19" s="6" t="s">
        <v>972</v>
      </c>
    </row>
    <row r="20" spans="1:7">
      <c r="A20" s="6" t="s">
        <v>973</v>
      </c>
    </row>
    <row r="21" spans="1:7" ht="15.75" customHeight="1">
      <c r="A21" s="6" t="s">
        <v>974</v>
      </c>
    </row>
    <row r="22" spans="1:7" ht="15.75" customHeight="1">
      <c r="A22" s="97" t="s">
        <v>975</v>
      </c>
      <c r="B22" s="6" t="s">
        <v>976</v>
      </c>
    </row>
    <row r="23" spans="1:7" ht="15.75" customHeight="1">
      <c r="A23" s="97" t="s">
        <v>977</v>
      </c>
      <c r="B23" s="6" t="s">
        <v>978</v>
      </c>
    </row>
    <row r="24" spans="1:7" ht="15.75" customHeight="1">
      <c r="A24" s="97" t="s">
        <v>979</v>
      </c>
      <c r="B24" s="6" t="s">
        <v>980</v>
      </c>
    </row>
    <row r="25" spans="1:7" ht="15.75" customHeight="1">
      <c r="A25" s="97" t="s">
        <v>981</v>
      </c>
      <c r="B25" s="6" t="s">
        <v>982</v>
      </c>
    </row>
    <row r="26" spans="1:7" ht="15.75" customHeight="1">
      <c r="A26" s="97" t="s">
        <v>983</v>
      </c>
      <c r="B26" s="6" t="s">
        <v>984</v>
      </c>
    </row>
    <row r="27" spans="1:7" ht="15.75" customHeight="1">
      <c r="A27" s="97" t="s">
        <v>985</v>
      </c>
      <c r="B27" s="6" t="s">
        <v>986</v>
      </c>
    </row>
    <row r="28" spans="1:7" ht="15.75" customHeight="1"/>
    <row r="29" spans="1:7" ht="15.75" customHeight="1">
      <c r="A29" s="229" t="s">
        <v>987</v>
      </c>
      <c r="B29" s="230"/>
      <c r="C29" s="230"/>
      <c r="D29" s="230"/>
      <c r="E29" s="230"/>
      <c r="F29" s="230"/>
      <c r="G29" s="230"/>
    </row>
    <row r="30" spans="1:7" ht="15.75" customHeight="1">
      <c r="A30" s="93" t="s">
        <v>988</v>
      </c>
      <c r="B30" s="93"/>
      <c r="C30" s="93"/>
      <c r="D30" s="93"/>
      <c r="E30" s="93"/>
      <c r="F30" s="93"/>
      <c r="G30" s="93"/>
    </row>
    <row r="31" spans="1:7" ht="15.75" customHeight="1"/>
    <row r="32" spans="1:7" ht="15.75" customHeight="1"/>
    <row r="33" spans="1:4" ht="15.75" customHeight="1"/>
    <row r="34" spans="1:4" ht="15.75" customHeight="1"/>
    <row r="35" spans="1:4" ht="15.75" customHeight="1">
      <c r="B35" s="231" t="s">
        <v>989</v>
      </c>
      <c r="C35" s="232">
        <v>21916</v>
      </c>
    </row>
    <row r="36" spans="1:4" ht="15.75" customHeight="1"/>
    <row r="37" spans="1:4" ht="15.75" customHeight="1">
      <c r="B37" s="231" t="s">
        <v>990</v>
      </c>
      <c r="C37" s="233">
        <f ca="1">DATEDIF(C35,TODAY(),"y")</f>
        <v>65</v>
      </c>
      <c r="D37" s="228" t="s">
        <v>991</v>
      </c>
    </row>
    <row r="38" spans="1:4" ht="15.75" customHeight="1">
      <c r="B38" s="231" t="s">
        <v>992</v>
      </c>
      <c r="C38" s="233">
        <f ca="1">DATEDIF(C35,TODAY(),"ym")</f>
        <v>4</v>
      </c>
      <c r="D38" s="228" t="s">
        <v>993</v>
      </c>
    </row>
    <row r="39" spans="1:4" ht="15.75" customHeight="1">
      <c r="B39" s="231" t="s">
        <v>994</v>
      </c>
      <c r="C39" s="233">
        <f ca="1">DATEDIF(C35,TODAY(),"md")</f>
        <v>12</v>
      </c>
      <c r="D39" s="228" t="s">
        <v>995</v>
      </c>
    </row>
    <row r="40" spans="1:4" ht="15.75" customHeight="1"/>
    <row r="41" spans="1:4" ht="15.75" customHeight="1">
      <c r="B41" s="6" t="s">
        <v>996</v>
      </c>
    </row>
    <row r="42" spans="1:4" ht="15.75" customHeight="1">
      <c r="B42" s="228" t="str">
        <f ca="1">"Age is "&amp;DATEDIF(C35,TODAY(),"y")&amp;" Years, "&amp;DATEDIF(C35,TODAY(),"ym")&amp;" Months and "&amp;DATEDIF(C35,TODAY(),"md")&amp;" Days"</f>
        <v>Age is 65 Years, 4 Months and 12 Days</v>
      </c>
      <c r="C42" s="234"/>
    </row>
    <row r="43" spans="1:4" ht="15.75" customHeight="1">
      <c r="A43" s="235" t="s">
        <v>997</v>
      </c>
    </row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A9999"/>
  </sheetPr>
  <dimension ref="A1:J1000"/>
  <sheetViews>
    <sheetView workbookViewId="0">
      <selection sqref="A1:J1"/>
    </sheetView>
  </sheetViews>
  <sheetFormatPr defaultColWidth="14.42578125" defaultRowHeight="15" customHeight="1"/>
  <cols>
    <col min="1" max="26" width="8" customWidth="1"/>
  </cols>
  <sheetData>
    <row r="1" spans="1:10" ht="18.75" customHeight="1">
      <c r="A1" s="310" t="s">
        <v>998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0">
      <c r="A2" s="313" t="s">
        <v>999</v>
      </c>
      <c r="B2" s="311"/>
      <c r="C2" s="311"/>
      <c r="D2" s="311"/>
      <c r="E2" s="311"/>
      <c r="F2" s="311"/>
      <c r="G2" s="311"/>
      <c r="H2" s="311"/>
      <c r="I2" s="311"/>
      <c r="J2" s="311"/>
    </row>
    <row r="4" spans="1:10" ht="15.75" customHeight="1">
      <c r="H4" s="236"/>
    </row>
    <row r="5" spans="1:10" ht="27" customHeight="1">
      <c r="A5" s="237" t="s">
        <v>361</v>
      </c>
      <c r="B5" s="238" t="s">
        <v>1000</v>
      </c>
      <c r="C5" s="238" t="s">
        <v>1001</v>
      </c>
      <c r="D5" s="238" t="s">
        <v>416</v>
      </c>
      <c r="E5" s="238" t="s">
        <v>1002</v>
      </c>
      <c r="F5" s="238" t="s">
        <v>1003</v>
      </c>
      <c r="G5" s="238" t="s">
        <v>1004</v>
      </c>
      <c r="H5" s="239" t="s">
        <v>1005</v>
      </c>
    </row>
    <row r="6" spans="1:10">
      <c r="A6" s="240" t="s">
        <v>839</v>
      </c>
      <c r="B6" s="112">
        <v>200</v>
      </c>
      <c r="C6" s="112">
        <v>3000</v>
      </c>
      <c r="D6" s="112" t="s">
        <v>1006</v>
      </c>
      <c r="E6" s="241">
        <v>4.5</v>
      </c>
      <c r="F6" s="112">
        <v>4</v>
      </c>
      <c r="G6" s="112">
        <v>3</v>
      </c>
      <c r="H6" s="242">
        <f t="shared" ref="H6:H21" si="0">E6*F6*G6</f>
        <v>54</v>
      </c>
    </row>
    <row r="7" spans="1:10">
      <c r="A7" s="240" t="s">
        <v>1007</v>
      </c>
      <c r="B7" s="112">
        <v>100</v>
      </c>
      <c r="C7" s="112">
        <v>2000</v>
      </c>
      <c r="D7" s="112" t="s">
        <v>1006</v>
      </c>
      <c r="E7" s="241">
        <v>2</v>
      </c>
      <c r="F7" s="112">
        <v>15</v>
      </c>
      <c r="G7" s="112">
        <v>2</v>
      </c>
      <c r="H7" s="242">
        <f t="shared" si="0"/>
        <v>60</v>
      </c>
    </row>
    <row r="8" spans="1:10">
      <c r="A8" s="240" t="s">
        <v>1008</v>
      </c>
      <c r="B8" s="112">
        <v>60</v>
      </c>
      <c r="C8" s="112"/>
      <c r="D8" s="112"/>
      <c r="E8" s="241"/>
      <c r="F8" s="112"/>
      <c r="G8" s="112"/>
      <c r="H8" s="242">
        <f t="shared" si="0"/>
        <v>0</v>
      </c>
    </row>
    <row r="9" spans="1:10">
      <c r="A9" s="240" t="s">
        <v>1009</v>
      </c>
      <c r="B9" s="112">
        <v>10</v>
      </c>
      <c r="C9" s="112">
        <v>8000</v>
      </c>
      <c r="D9" s="112" t="s">
        <v>1010</v>
      </c>
      <c r="E9" s="241">
        <v>0.8</v>
      </c>
      <c r="F9" s="112">
        <v>25</v>
      </c>
      <c r="G9" s="112">
        <v>6</v>
      </c>
      <c r="H9" s="242">
        <f t="shared" si="0"/>
        <v>120</v>
      </c>
    </row>
    <row r="10" spans="1:10">
      <c r="A10" s="240" t="s">
        <v>839</v>
      </c>
      <c r="B10" s="112">
        <v>80</v>
      </c>
      <c r="C10" s="112">
        <v>1000</v>
      </c>
      <c r="D10" s="112" t="s">
        <v>1006</v>
      </c>
      <c r="E10" s="241">
        <v>0.2</v>
      </c>
      <c r="F10" s="112">
        <v>40</v>
      </c>
      <c r="G10" s="112">
        <v>3</v>
      </c>
      <c r="H10" s="242">
        <f t="shared" si="0"/>
        <v>24</v>
      </c>
    </row>
    <row r="11" spans="1:10">
      <c r="A11" s="240" t="s">
        <v>1008</v>
      </c>
      <c r="B11" s="112">
        <v>100</v>
      </c>
      <c r="C11" s="112" t="s">
        <v>1011</v>
      </c>
      <c r="D11" s="112" t="s">
        <v>1006</v>
      </c>
      <c r="E11" s="241">
        <v>1.25</v>
      </c>
      <c r="F11" s="112">
        <v>10</v>
      </c>
      <c r="G11" s="112">
        <v>4</v>
      </c>
      <c r="H11" s="242">
        <f t="shared" si="0"/>
        <v>50</v>
      </c>
    </row>
    <row r="12" spans="1:10">
      <c r="A12" s="240" t="s">
        <v>1008</v>
      </c>
      <c r="B12" s="112">
        <v>200</v>
      </c>
      <c r="C12" s="112">
        <v>3000</v>
      </c>
      <c r="D12" s="112" t="s">
        <v>1006</v>
      </c>
      <c r="E12" s="241">
        <v>2.5</v>
      </c>
      <c r="F12" s="112">
        <v>15</v>
      </c>
      <c r="G12" s="112">
        <v>0</v>
      </c>
      <c r="H12" s="242">
        <f t="shared" si="0"/>
        <v>0</v>
      </c>
    </row>
    <row r="13" spans="1:10">
      <c r="A13" s="240" t="s">
        <v>1009</v>
      </c>
      <c r="B13" s="112">
        <v>25</v>
      </c>
      <c r="C13" s="112" t="s">
        <v>1011</v>
      </c>
      <c r="D13" s="112" t="s">
        <v>1010</v>
      </c>
      <c r="E13" s="241">
        <v>0.5</v>
      </c>
      <c r="F13" s="112">
        <v>10</v>
      </c>
      <c r="G13" s="112">
        <v>3</v>
      </c>
      <c r="H13" s="242">
        <f t="shared" si="0"/>
        <v>15</v>
      </c>
    </row>
    <row r="14" spans="1:10">
      <c r="A14" s="240" t="s">
        <v>839</v>
      </c>
      <c r="B14" s="112">
        <v>200</v>
      </c>
      <c r="C14" s="112">
        <v>3000</v>
      </c>
      <c r="D14" s="112" t="s">
        <v>1010</v>
      </c>
      <c r="E14" s="241">
        <v>5</v>
      </c>
      <c r="F14" s="112">
        <v>3</v>
      </c>
      <c r="G14" s="112">
        <v>2</v>
      </c>
      <c r="H14" s="242">
        <f t="shared" si="0"/>
        <v>30</v>
      </c>
    </row>
    <row r="15" spans="1:10">
      <c r="A15" s="240" t="s">
        <v>1007</v>
      </c>
      <c r="B15" s="112">
        <v>100</v>
      </c>
      <c r="C15" s="112">
        <v>2000</v>
      </c>
      <c r="D15" s="112" t="s">
        <v>1010</v>
      </c>
      <c r="E15" s="241">
        <v>1.8</v>
      </c>
      <c r="F15" s="112">
        <v>20</v>
      </c>
      <c r="G15" s="112">
        <v>5</v>
      </c>
      <c r="H15" s="242">
        <f t="shared" si="0"/>
        <v>180</v>
      </c>
    </row>
    <row r="16" spans="1:10">
      <c r="A16" s="240" t="s">
        <v>839</v>
      </c>
      <c r="B16" s="112">
        <v>100</v>
      </c>
      <c r="C16" s="112" t="s">
        <v>1011</v>
      </c>
      <c r="D16" s="112" t="s">
        <v>1010</v>
      </c>
      <c r="E16" s="241">
        <v>0.25</v>
      </c>
      <c r="F16" s="112">
        <v>10</v>
      </c>
      <c r="G16" s="112">
        <v>5</v>
      </c>
      <c r="H16" s="242">
        <f t="shared" si="0"/>
        <v>12.5</v>
      </c>
    </row>
    <row r="17" spans="1:9">
      <c r="A17" s="240" t="s">
        <v>839</v>
      </c>
      <c r="B17" s="112">
        <v>10</v>
      </c>
      <c r="C17" s="112">
        <v>800</v>
      </c>
      <c r="D17" s="112" t="s">
        <v>1006</v>
      </c>
      <c r="E17" s="241">
        <v>0.2</v>
      </c>
      <c r="F17" s="112">
        <v>25</v>
      </c>
      <c r="G17" s="112">
        <v>2</v>
      </c>
      <c r="H17" s="242">
        <f t="shared" si="0"/>
        <v>10</v>
      </c>
    </row>
    <row r="18" spans="1:9">
      <c r="A18" s="240" t="s">
        <v>839</v>
      </c>
      <c r="B18" s="112">
        <v>60</v>
      </c>
      <c r="C18" s="112">
        <v>1000</v>
      </c>
      <c r="D18" s="112" t="s">
        <v>1010</v>
      </c>
      <c r="E18" s="241">
        <v>0.15</v>
      </c>
      <c r="F18" s="112">
        <v>25</v>
      </c>
      <c r="G18" s="112">
        <v>0</v>
      </c>
      <c r="H18" s="242">
        <f t="shared" si="0"/>
        <v>0</v>
      </c>
    </row>
    <row r="19" spans="1:9">
      <c r="A19" s="240" t="s">
        <v>839</v>
      </c>
      <c r="B19" s="112">
        <v>80</v>
      </c>
      <c r="C19" s="112">
        <v>1000</v>
      </c>
      <c r="D19" s="112" t="s">
        <v>1010</v>
      </c>
      <c r="E19" s="241">
        <v>0.2</v>
      </c>
      <c r="F19" s="112">
        <v>30</v>
      </c>
      <c r="G19" s="112">
        <v>2</v>
      </c>
      <c r="H19" s="242">
        <f t="shared" si="0"/>
        <v>12</v>
      </c>
    </row>
    <row r="20" spans="1:9">
      <c r="A20" s="240" t="s">
        <v>839</v>
      </c>
      <c r="B20" s="112">
        <v>100</v>
      </c>
      <c r="C20" s="112">
        <v>2000</v>
      </c>
      <c r="D20" s="112" t="s">
        <v>1006</v>
      </c>
      <c r="E20" s="241">
        <v>0.8</v>
      </c>
      <c r="F20" s="112">
        <v>10</v>
      </c>
      <c r="G20" s="112">
        <v>5</v>
      </c>
      <c r="H20" s="242">
        <f t="shared" si="0"/>
        <v>40</v>
      </c>
    </row>
    <row r="21" spans="1:9" ht="15.75" customHeight="1">
      <c r="A21" s="243" t="s">
        <v>839</v>
      </c>
      <c r="B21" s="244">
        <v>40</v>
      </c>
      <c r="C21" s="244">
        <v>1000</v>
      </c>
      <c r="D21" s="244" t="s">
        <v>1006</v>
      </c>
      <c r="E21" s="245">
        <v>0.1</v>
      </c>
      <c r="F21" s="244">
        <v>20</v>
      </c>
      <c r="G21" s="244">
        <v>5</v>
      </c>
      <c r="H21" s="242">
        <f t="shared" si="0"/>
        <v>10</v>
      </c>
    </row>
    <row r="22" spans="1:9" ht="15.75" customHeight="1"/>
    <row r="23" spans="1:9" ht="15.75" customHeight="1">
      <c r="A23" s="6" t="s">
        <v>1012</v>
      </c>
    </row>
    <row r="24" spans="1:9" ht="15.75" customHeight="1"/>
    <row r="25" spans="1:9" ht="15.75" customHeight="1">
      <c r="D25" s="246" t="s">
        <v>416</v>
      </c>
      <c r="E25" s="247" t="s">
        <v>1013</v>
      </c>
    </row>
    <row r="26" spans="1:9" ht="15.75" customHeight="1">
      <c r="C26" s="248" t="s">
        <v>1014</v>
      </c>
      <c r="D26" s="249" t="s">
        <v>1015</v>
      </c>
    </row>
    <row r="27" spans="1:9" ht="15.75" customHeight="1"/>
    <row r="28" spans="1:9" ht="15.75" customHeight="1">
      <c r="A28" s="93"/>
      <c r="B28" s="93"/>
      <c r="C28" s="248" t="str">
        <f>"The Average cost of "&amp;D26&amp;" is : "</f>
        <v xml:space="preserve">The Average cost of sunbeam is : </v>
      </c>
      <c r="D28" s="250">
        <f>DAVERAGE(A5:H21,E5,D25:D26)</f>
        <v>1.2428571428571427</v>
      </c>
      <c r="E28" s="228" t="s">
        <v>1016</v>
      </c>
    </row>
    <row r="29" spans="1:9" ht="15.75" customHeight="1"/>
    <row r="30" spans="1:9" ht="15.75" customHeight="1">
      <c r="A30" s="229" t="s">
        <v>1017</v>
      </c>
      <c r="B30" s="229"/>
      <c r="C30" s="229"/>
      <c r="D30" s="229"/>
      <c r="E30" s="229"/>
      <c r="F30" s="229"/>
      <c r="G30" s="229"/>
      <c r="H30" s="229"/>
      <c r="I30" s="229"/>
    </row>
    <row r="31" spans="1:9" ht="15.75" customHeight="1"/>
    <row r="32" spans="1:9" ht="15.75" customHeight="1">
      <c r="A32" s="251" t="s">
        <v>1018</v>
      </c>
    </row>
    <row r="33" spans="1:9" ht="15.75" customHeight="1"/>
    <row r="34" spans="1:9" ht="15.75" customHeight="1">
      <c r="D34" s="252" t="s">
        <v>361</v>
      </c>
      <c r="E34" s="253" t="s">
        <v>416</v>
      </c>
    </row>
    <row r="35" spans="1:9" ht="15.75" customHeight="1">
      <c r="D35" s="254" t="s">
        <v>839</v>
      </c>
      <c r="E35" s="255" t="s">
        <v>1006</v>
      </c>
    </row>
    <row r="36" spans="1:9" ht="15.75" customHeight="1"/>
    <row r="37" spans="1:9" ht="15.75" customHeight="1">
      <c r="C37" s="248" t="str">
        <f>"The average of "&amp;E35&amp;" "&amp;D35&amp;" is : "</f>
        <v xml:space="preserve">The average of Horizon Bulb is : </v>
      </c>
      <c r="D37" s="250">
        <f>DAVERAGE(A5:H21,E5,D34:E35)</f>
        <v>1.1599999999999999</v>
      </c>
      <c r="E37" s="228" t="s">
        <v>1019</v>
      </c>
    </row>
    <row r="38" spans="1:9" ht="15.75" customHeight="1"/>
    <row r="39" spans="1:9" ht="15.75" customHeight="1">
      <c r="A39" s="6" t="s">
        <v>1020</v>
      </c>
    </row>
    <row r="40" spans="1:9" ht="15.75" customHeight="1"/>
    <row r="41" spans="1:9" ht="15.75" customHeight="1">
      <c r="D41" s="250">
        <f>DAVERAGE(A5:H21,"Unit Cost",D34:E35)</f>
        <v>1.1599999999999999</v>
      </c>
      <c r="E41" s="228" t="s">
        <v>1021</v>
      </c>
    </row>
    <row r="42" spans="1:9" ht="15.75" customHeight="1"/>
    <row r="43" spans="1:9" ht="15.75" customHeight="1">
      <c r="A43" s="256" t="s">
        <v>1022</v>
      </c>
      <c r="B43" s="257"/>
      <c r="C43" s="257"/>
      <c r="D43" s="257"/>
      <c r="E43" s="257"/>
      <c r="F43" s="257"/>
      <c r="G43" s="257"/>
      <c r="H43" s="257"/>
      <c r="I43" s="257"/>
    </row>
    <row r="44" spans="1:9" ht="15.75" customHeight="1"/>
    <row r="45" spans="1:9" ht="15.75" customHeight="1">
      <c r="D45" s="252" t="s">
        <v>361</v>
      </c>
      <c r="E45" s="253" t="s">
        <v>1000</v>
      </c>
    </row>
    <row r="46" spans="1:9" ht="15.75" customHeight="1">
      <c r="D46" s="254" t="s">
        <v>839</v>
      </c>
      <c r="E46" s="255">
        <v>100</v>
      </c>
    </row>
    <row r="47" spans="1:9" ht="15.75" customHeight="1"/>
    <row r="48" spans="1:9" ht="15.75" customHeight="1">
      <c r="C48" s="248" t="str">
        <f>"Average of "&amp;D46&amp;" "&amp;E46&amp;" is : "</f>
        <v xml:space="preserve">Average of Bulb 100 is : </v>
      </c>
      <c r="D48" s="250">
        <f>DAVERAGE(A5:H21,"Unit Cost",D45:E46)</f>
        <v>0.52500000000000002</v>
      </c>
      <c r="E48" s="6" t="s">
        <v>1023</v>
      </c>
    </row>
    <row r="49" spans="1:9" ht="15.75" customHeight="1"/>
    <row r="50" spans="1:9" ht="15.75" customHeight="1">
      <c r="A50" s="256" t="s">
        <v>1024</v>
      </c>
      <c r="B50" s="257"/>
      <c r="C50" s="257"/>
      <c r="D50" s="257"/>
      <c r="E50" s="257"/>
      <c r="F50" s="257"/>
      <c r="G50" s="257"/>
      <c r="H50" s="257"/>
      <c r="I50" s="257"/>
    </row>
    <row r="51" spans="1:9" ht="15.75" customHeight="1"/>
    <row r="52" spans="1:9" ht="15.75" customHeight="1">
      <c r="D52" s="252" t="s">
        <v>361</v>
      </c>
      <c r="E52" s="253" t="s">
        <v>1000</v>
      </c>
    </row>
    <row r="53" spans="1:9" ht="15.75" customHeight="1">
      <c r="D53" s="258" t="s">
        <v>839</v>
      </c>
      <c r="E53" s="259" t="s">
        <v>1025</v>
      </c>
    </row>
    <row r="54" spans="1:9" ht="15.75" customHeight="1"/>
    <row r="55" spans="1:9" ht="15.75" customHeight="1">
      <c r="C55" s="248" t="str">
        <f>"Average of "&amp;D53&amp;" "&amp;E53&amp;" is : "</f>
        <v xml:space="preserve">Average of Bulb &lt;100 is : </v>
      </c>
      <c r="D55" s="260">
        <f>DAVERAGE(A5:H21,"Unit Cost",D52:E53)</f>
        <v>0.16999999999999998</v>
      </c>
      <c r="E55" s="228" t="s">
        <v>1026</v>
      </c>
    </row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</sheetPr>
  <dimension ref="A1:J1000"/>
  <sheetViews>
    <sheetView workbookViewId="0">
      <selection sqref="A1:J1"/>
    </sheetView>
  </sheetViews>
  <sheetFormatPr defaultColWidth="14.42578125" defaultRowHeight="15" customHeight="1"/>
  <cols>
    <col min="1" max="26" width="8" customWidth="1"/>
  </cols>
  <sheetData>
    <row r="1" spans="1:10" ht="18.75" customHeight="1">
      <c r="A1" s="310" t="s">
        <v>1027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0">
      <c r="A2" s="313" t="s">
        <v>1028</v>
      </c>
      <c r="B2" s="311"/>
      <c r="C2" s="311"/>
      <c r="D2" s="311"/>
      <c r="E2" s="311"/>
      <c r="F2" s="311"/>
      <c r="G2" s="311"/>
      <c r="H2" s="311"/>
      <c r="I2" s="311"/>
      <c r="J2" s="311"/>
    </row>
    <row r="3" spans="1:10" ht="15.75" customHeight="1"/>
    <row r="4" spans="1:10" ht="27" customHeight="1">
      <c r="A4" s="237" t="s">
        <v>361</v>
      </c>
      <c r="B4" s="238" t="s">
        <v>1000</v>
      </c>
      <c r="C4" s="238" t="s">
        <v>1001</v>
      </c>
      <c r="D4" s="238" t="s">
        <v>416</v>
      </c>
      <c r="E4" s="238" t="s">
        <v>1002</v>
      </c>
      <c r="F4" s="238" t="s">
        <v>1003</v>
      </c>
      <c r="G4" s="238" t="s">
        <v>1004</v>
      </c>
      <c r="H4" s="239" t="s">
        <v>1005</v>
      </c>
    </row>
    <row r="5" spans="1:10">
      <c r="A5" s="240" t="s">
        <v>839</v>
      </c>
      <c r="B5" s="112">
        <v>200</v>
      </c>
      <c r="C5" s="112">
        <v>3000</v>
      </c>
      <c r="D5" s="112" t="s">
        <v>1006</v>
      </c>
      <c r="E5" s="241">
        <v>4.5</v>
      </c>
      <c r="F5" s="112">
        <v>4</v>
      </c>
      <c r="G5" s="112">
        <v>3</v>
      </c>
      <c r="H5" s="242">
        <f t="shared" ref="H5:H20" si="0">E5*F5*G5</f>
        <v>54</v>
      </c>
    </row>
    <row r="6" spans="1:10">
      <c r="A6" s="240" t="s">
        <v>1007</v>
      </c>
      <c r="B6" s="112">
        <v>100</v>
      </c>
      <c r="C6" s="112">
        <v>2000</v>
      </c>
      <c r="D6" s="112" t="s">
        <v>1006</v>
      </c>
      <c r="E6" s="241">
        <v>2</v>
      </c>
      <c r="F6" s="112">
        <v>15</v>
      </c>
      <c r="G6" s="112">
        <v>2</v>
      </c>
      <c r="H6" s="242">
        <f t="shared" si="0"/>
        <v>60</v>
      </c>
    </row>
    <row r="7" spans="1:10">
      <c r="A7" s="240" t="s">
        <v>1008</v>
      </c>
      <c r="B7" s="112">
        <v>60</v>
      </c>
      <c r="C7" s="112"/>
      <c r="D7" s="112"/>
      <c r="E7" s="241"/>
      <c r="F7" s="112"/>
      <c r="G7" s="112"/>
      <c r="H7" s="242">
        <f t="shared" si="0"/>
        <v>0</v>
      </c>
    </row>
    <row r="8" spans="1:10">
      <c r="A8" s="240" t="s">
        <v>1009</v>
      </c>
      <c r="B8" s="112">
        <v>10</v>
      </c>
      <c r="C8" s="112">
        <v>8000</v>
      </c>
      <c r="D8" s="112" t="s">
        <v>1010</v>
      </c>
      <c r="E8" s="241">
        <v>0.8</v>
      </c>
      <c r="F8" s="112">
        <v>25</v>
      </c>
      <c r="G8" s="112">
        <v>6</v>
      </c>
      <c r="H8" s="242">
        <f t="shared" si="0"/>
        <v>120</v>
      </c>
    </row>
    <row r="9" spans="1:10">
      <c r="A9" s="240" t="s">
        <v>839</v>
      </c>
      <c r="B9" s="112">
        <v>80</v>
      </c>
      <c r="C9" s="112">
        <v>1000</v>
      </c>
      <c r="D9" s="112" t="s">
        <v>1006</v>
      </c>
      <c r="E9" s="241">
        <v>0.2</v>
      </c>
      <c r="F9" s="112">
        <v>40</v>
      </c>
      <c r="G9" s="112">
        <v>3</v>
      </c>
      <c r="H9" s="242">
        <f t="shared" si="0"/>
        <v>24</v>
      </c>
    </row>
    <row r="10" spans="1:10">
      <c r="A10" s="240" t="s">
        <v>1008</v>
      </c>
      <c r="B10" s="112">
        <v>100</v>
      </c>
      <c r="C10" s="112" t="s">
        <v>1011</v>
      </c>
      <c r="D10" s="112" t="s">
        <v>1006</v>
      </c>
      <c r="E10" s="241">
        <v>1.25</v>
      </c>
      <c r="F10" s="112">
        <v>10</v>
      </c>
      <c r="G10" s="112">
        <v>4</v>
      </c>
      <c r="H10" s="242">
        <f t="shared" si="0"/>
        <v>50</v>
      </c>
    </row>
    <row r="11" spans="1:10">
      <c r="A11" s="240" t="s">
        <v>1008</v>
      </c>
      <c r="B11" s="112">
        <v>200</v>
      </c>
      <c r="C11" s="112">
        <v>3000</v>
      </c>
      <c r="D11" s="112" t="s">
        <v>1006</v>
      </c>
      <c r="E11" s="241">
        <v>2.5</v>
      </c>
      <c r="F11" s="112">
        <v>15</v>
      </c>
      <c r="G11" s="112">
        <v>1</v>
      </c>
      <c r="H11" s="242">
        <f t="shared" si="0"/>
        <v>37.5</v>
      </c>
    </row>
    <row r="12" spans="1:10">
      <c r="A12" s="240" t="s">
        <v>1009</v>
      </c>
      <c r="B12" s="112">
        <v>25</v>
      </c>
      <c r="C12" s="112" t="s">
        <v>1011</v>
      </c>
      <c r="D12" s="112" t="s">
        <v>1010</v>
      </c>
      <c r="E12" s="241">
        <v>0.5</v>
      </c>
      <c r="F12" s="112">
        <v>10</v>
      </c>
      <c r="G12" s="112">
        <v>3</v>
      </c>
      <c r="H12" s="242">
        <f t="shared" si="0"/>
        <v>15</v>
      </c>
    </row>
    <row r="13" spans="1:10">
      <c r="A13" s="240" t="s">
        <v>839</v>
      </c>
      <c r="B13" s="112">
        <v>200</v>
      </c>
      <c r="C13" s="112">
        <v>3000</v>
      </c>
      <c r="D13" s="112" t="s">
        <v>1010</v>
      </c>
      <c r="E13" s="241">
        <v>5</v>
      </c>
      <c r="F13" s="112">
        <v>3</v>
      </c>
      <c r="G13" s="112">
        <v>2</v>
      </c>
      <c r="H13" s="242">
        <f t="shared" si="0"/>
        <v>30</v>
      </c>
    </row>
    <row r="14" spans="1:10">
      <c r="A14" s="240" t="s">
        <v>1007</v>
      </c>
      <c r="B14" s="112">
        <v>100</v>
      </c>
      <c r="C14" s="112">
        <v>2000</v>
      </c>
      <c r="D14" s="112" t="s">
        <v>1010</v>
      </c>
      <c r="E14" s="241">
        <v>1.8</v>
      </c>
      <c r="F14" s="112">
        <v>20</v>
      </c>
      <c r="G14" s="112">
        <v>5</v>
      </c>
      <c r="H14" s="242">
        <f t="shared" si="0"/>
        <v>180</v>
      </c>
    </row>
    <row r="15" spans="1:10">
      <c r="A15" s="240" t="s">
        <v>839</v>
      </c>
      <c r="B15" s="112">
        <v>100</v>
      </c>
      <c r="C15" s="112" t="s">
        <v>1011</v>
      </c>
      <c r="D15" s="112" t="s">
        <v>1010</v>
      </c>
      <c r="E15" s="241">
        <v>0.25</v>
      </c>
      <c r="F15" s="112">
        <v>10</v>
      </c>
      <c r="G15" s="112">
        <v>5</v>
      </c>
      <c r="H15" s="242">
        <f t="shared" si="0"/>
        <v>12.5</v>
      </c>
    </row>
    <row r="16" spans="1:10">
      <c r="A16" s="240" t="s">
        <v>839</v>
      </c>
      <c r="B16" s="112">
        <v>10</v>
      </c>
      <c r="C16" s="112">
        <v>800</v>
      </c>
      <c r="D16" s="112" t="s">
        <v>1006</v>
      </c>
      <c r="E16" s="241">
        <v>0.2</v>
      </c>
      <c r="F16" s="112">
        <v>25</v>
      </c>
      <c r="G16" s="112">
        <v>2</v>
      </c>
      <c r="H16" s="242">
        <f t="shared" si="0"/>
        <v>10</v>
      </c>
    </row>
    <row r="17" spans="1:9">
      <c r="A17" s="240" t="s">
        <v>839</v>
      </c>
      <c r="B17" s="112">
        <v>60</v>
      </c>
      <c r="C17" s="112">
        <v>1000</v>
      </c>
      <c r="D17" s="112" t="s">
        <v>1010</v>
      </c>
      <c r="E17" s="241">
        <v>0.15</v>
      </c>
      <c r="F17" s="112">
        <v>25</v>
      </c>
      <c r="G17" s="112">
        <v>1</v>
      </c>
      <c r="H17" s="242">
        <f t="shared" si="0"/>
        <v>3.75</v>
      </c>
    </row>
    <row r="18" spans="1:9">
      <c r="A18" s="240" t="s">
        <v>839</v>
      </c>
      <c r="B18" s="112">
        <v>80</v>
      </c>
      <c r="C18" s="112">
        <v>1000</v>
      </c>
      <c r="D18" s="112" t="s">
        <v>1010</v>
      </c>
      <c r="E18" s="241">
        <v>0.2</v>
      </c>
      <c r="F18" s="112">
        <v>30</v>
      </c>
      <c r="G18" s="112">
        <v>2</v>
      </c>
      <c r="H18" s="242">
        <f t="shared" si="0"/>
        <v>12</v>
      </c>
    </row>
    <row r="19" spans="1:9">
      <c r="A19" s="240" t="s">
        <v>839</v>
      </c>
      <c r="B19" s="112">
        <v>100</v>
      </c>
      <c r="C19" s="112">
        <v>2000</v>
      </c>
      <c r="D19" s="112" t="s">
        <v>1006</v>
      </c>
      <c r="E19" s="241">
        <v>0.8</v>
      </c>
      <c r="F19" s="112">
        <v>10</v>
      </c>
      <c r="G19" s="112">
        <v>5</v>
      </c>
      <c r="H19" s="242">
        <f t="shared" si="0"/>
        <v>40</v>
      </c>
    </row>
    <row r="20" spans="1:9" ht="15.75" customHeight="1">
      <c r="A20" s="243" t="s">
        <v>839</v>
      </c>
      <c r="B20" s="244">
        <v>40</v>
      </c>
      <c r="C20" s="244">
        <v>1000</v>
      </c>
      <c r="D20" s="244" t="s">
        <v>1006</v>
      </c>
      <c r="E20" s="245">
        <v>0.1</v>
      </c>
      <c r="F20" s="244">
        <v>20</v>
      </c>
      <c r="G20" s="244">
        <v>5</v>
      </c>
      <c r="H20" s="242">
        <f t="shared" si="0"/>
        <v>10</v>
      </c>
    </row>
    <row r="21" spans="1:9" ht="15.75" customHeight="1"/>
    <row r="22" spans="1:9" ht="15.75" customHeight="1">
      <c r="A22" s="6" t="s">
        <v>1029</v>
      </c>
    </row>
    <row r="23" spans="1:9" ht="15.75" customHeight="1"/>
    <row r="24" spans="1:9" ht="15.75" customHeight="1">
      <c r="D24" s="246" t="s">
        <v>416</v>
      </c>
      <c r="E24" s="247" t="s">
        <v>1030</v>
      </c>
    </row>
    <row r="25" spans="1:9" ht="15.75" customHeight="1">
      <c r="C25" s="248" t="s">
        <v>1014</v>
      </c>
      <c r="D25" s="249" t="s">
        <v>1006</v>
      </c>
    </row>
    <row r="26" spans="1:9" ht="15.75" customHeight="1"/>
    <row r="27" spans="1:9" ht="15.75" customHeight="1">
      <c r="A27" s="93"/>
      <c r="B27" s="93"/>
      <c r="C27" s="248" t="str">
        <f>"The COUNT value of "&amp;D25&amp;" is : "</f>
        <v xml:space="preserve">The COUNT value of Horizon is : </v>
      </c>
      <c r="D27" s="66">
        <f>DCOUNT(A4:H20,C4,D24:D25)</f>
        <v>7</v>
      </c>
      <c r="E27" s="228" t="s">
        <v>1031</v>
      </c>
    </row>
    <row r="28" spans="1:9" ht="15.75" customHeight="1"/>
    <row r="29" spans="1:9" ht="15.75" customHeight="1">
      <c r="A29" s="229" t="s">
        <v>1032</v>
      </c>
      <c r="B29" s="229"/>
      <c r="C29" s="229"/>
      <c r="D29" s="229"/>
      <c r="E29" s="229"/>
      <c r="F29" s="229"/>
      <c r="G29" s="229"/>
      <c r="H29" s="229"/>
      <c r="I29" s="229"/>
    </row>
    <row r="30" spans="1:9" ht="15.75" customHeight="1">
      <c r="A30" s="6" t="s">
        <v>1033</v>
      </c>
    </row>
    <row r="31" spans="1:9" ht="15.75" customHeight="1">
      <c r="A31" s="6" t="s">
        <v>1034</v>
      </c>
    </row>
    <row r="32" spans="1:9" ht="15.75" customHeight="1"/>
    <row r="33" spans="1:9" ht="15.75" customHeight="1">
      <c r="A33" s="229" t="s">
        <v>969</v>
      </c>
      <c r="B33" s="229"/>
      <c r="C33" s="229"/>
      <c r="D33" s="229"/>
      <c r="E33" s="229"/>
      <c r="F33" s="229"/>
      <c r="G33" s="229"/>
      <c r="H33" s="229"/>
      <c r="I33" s="229"/>
    </row>
    <row r="34" spans="1:9" ht="15.75" customHeight="1">
      <c r="A34" s="261" t="s">
        <v>1035</v>
      </c>
    </row>
    <row r="35" spans="1:9" ht="15.75" customHeight="1">
      <c r="A35" s="229" t="s">
        <v>1017</v>
      </c>
      <c r="B35" s="229"/>
      <c r="C35" s="229"/>
      <c r="D35" s="229"/>
      <c r="E35" s="229"/>
      <c r="F35" s="229"/>
      <c r="G35" s="229"/>
      <c r="H35" s="229"/>
      <c r="I35" s="229"/>
    </row>
    <row r="36" spans="1:9" ht="15.75" customHeight="1"/>
    <row r="37" spans="1:9" ht="15.75" customHeight="1">
      <c r="A37" s="251" t="s">
        <v>1036</v>
      </c>
    </row>
    <row r="38" spans="1:9" ht="15.75" customHeight="1"/>
    <row r="39" spans="1:9" ht="27" customHeight="1">
      <c r="D39" s="252" t="s">
        <v>361</v>
      </c>
      <c r="E39" s="262" t="s">
        <v>1004</v>
      </c>
    </row>
    <row r="40" spans="1:9" ht="15.75" customHeight="1">
      <c r="D40" s="254" t="s">
        <v>839</v>
      </c>
      <c r="E40" s="255">
        <v>5</v>
      </c>
    </row>
    <row r="41" spans="1:9" ht="15.75" customHeight="1"/>
    <row r="42" spans="1:9" ht="15.75" customHeight="1">
      <c r="C42" s="248" t="s">
        <v>1037</v>
      </c>
      <c r="D42" s="66">
        <f>DCOUNT(A4:H20,G4,D39:E40)</f>
        <v>3</v>
      </c>
      <c r="E42" s="228" t="s">
        <v>1038</v>
      </c>
    </row>
    <row r="43" spans="1:9" ht="15.75" customHeight="1"/>
    <row r="44" spans="1:9" ht="15.75" customHeight="1">
      <c r="A44" s="6" t="s">
        <v>1039</v>
      </c>
    </row>
    <row r="45" spans="1:9" ht="15.75" customHeight="1"/>
    <row r="46" spans="1:9" ht="15.75" customHeight="1">
      <c r="D46" s="66">
        <f>DCOUNT(A4:H20,"Boxes In Stock",D39:E40)</f>
        <v>3</v>
      </c>
      <c r="E46" s="228" t="s">
        <v>1040</v>
      </c>
    </row>
    <row r="47" spans="1:9" ht="15.75" customHeight="1"/>
    <row r="48" spans="1:9" ht="15.75" customHeight="1">
      <c r="A48" s="256" t="s">
        <v>1041</v>
      </c>
      <c r="B48" s="257"/>
      <c r="C48" s="257"/>
      <c r="D48" s="257"/>
      <c r="E48" s="257"/>
      <c r="F48" s="257"/>
      <c r="G48" s="257"/>
      <c r="H48" s="257"/>
      <c r="I48" s="257"/>
    </row>
    <row r="49" spans="1:9" ht="15.75" customHeight="1"/>
    <row r="50" spans="1:9" ht="15.75" customHeight="1">
      <c r="D50" s="252" t="s">
        <v>361</v>
      </c>
      <c r="E50" s="253" t="s">
        <v>1000</v>
      </c>
    </row>
    <row r="51" spans="1:9" ht="15.75" customHeight="1">
      <c r="D51" s="254" t="s">
        <v>839</v>
      </c>
      <c r="E51" s="255">
        <v>100</v>
      </c>
    </row>
    <row r="52" spans="1:9" ht="15.75" customHeight="1"/>
    <row r="53" spans="1:9" ht="15.75" customHeight="1">
      <c r="C53" s="248" t="s">
        <v>1042</v>
      </c>
      <c r="D53" s="66">
        <f>DCOUNT(A4:H20,"Boxes In Stock",D50:E51)</f>
        <v>2</v>
      </c>
      <c r="E53" s="228" t="s">
        <v>1043</v>
      </c>
    </row>
    <row r="54" spans="1:9" ht="15.75" customHeight="1"/>
    <row r="55" spans="1:9" ht="15.75" customHeight="1">
      <c r="A55" s="256" t="s">
        <v>1044</v>
      </c>
      <c r="B55" s="257"/>
      <c r="C55" s="257"/>
      <c r="D55" s="257"/>
      <c r="E55" s="257"/>
      <c r="F55" s="257"/>
      <c r="G55" s="257"/>
      <c r="H55" s="257"/>
      <c r="I55" s="257"/>
    </row>
    <row r="56" spans="1:9" ht="15.75" customHeight="1"/>
    <row r="57" spans="1:9" ht="15.75" customHeight="1">
      <c r="D57" s="252" t="s">
        <v>361</v>
      </c>
      <c r="E57" s="263" t="s">
        <v>1000</v>
      </c>
      <c r="F57" s="253" t="s">
        <v>1000</v>
      </c>
    </row>
    <row r="58" spans="1:9" ht="15.75" customHeight="1">
      <c r="D58" s="254" t="s">
        <v>839</v>
      </c>
      <c r="E58" s="264" t="s">
        <v>1045</v>
      </c>
      <c r="F58" s="255" t="s">
        <v>1046</v>
      </c>
    </row>
    <row r="59" spans="1:9" ht="15.75" customHeight="1"/>
    <row r="60" spans="1:9" ht="15.75" customHeight="1">
      <c r="C60" s="248" t="s">
        <v>1042</v>
      </c>
      <c r="D60" s="66">
        <f>DCOUNT(A4:H20,"Boxes In Stock",D57:F58)</f>
        <v>4</v>
      </c>
      <c r="E60" s="228" t="s">
        <v>1047</v>
      </c>
    </row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</sheetPr>
  <dimension ref="A1:J1000"/>
  <sheetViews>
    <sheetView topLeftCell="A46" workbookViewId="0">
      <selection activeCell="M8" sqref="M8"/>
    </sheetView>
  </sheetViews>
  <sheetFormatPr defaultColWidth="14.42578125" defaultRowHeight="15" customHeight="1"/>
  <cols>
    <col min="1" max="1" width="8" customWidth="1"/>
    <col min="2" max="2" width="9.85546875" customWidth="1"/>
    <col min="3" max="3" width="10.85546875" customWidth="1"/>
    <col min="4" max="4" width="11.85546875" customWidth="1"/>
    <col min="5" max="5" width="10.42578125" customWidth="1"/>
    <col min="6" max="6" width="12.7109375" customWidth="1"/>
    <col min="7" max="7" width="11.5703125" customWidth="1"/>
    <col min="8" max="8" width="11.85546875" customWidth="1"/>
    <col min="9" max="26" width="8" customWidth="1"/>
  </cols>
  <sheetData>
    <row r="1" spans="1:10" ht="18.75" customHeight="1">
      <c r="A1" s="310" t="s">
        <v>1048</v>
      </c>
      <c r="B1" s="310"/>
      <c r="C1" s="310"/>
      <c r="D1" s="310"/>
      <c r="E1" s="310"/>
      <c r="F1" s="310"/>
      <c r="G1" s="310"/>
      <c r="H1" s="310"/>
      <c r="I1" s="16"/>
      <c r="J1" s="16"/>
    </row>
    <row r="2" spans="1:10">
      <c r="A2" s="313" t="s">
        <v>1049</v>
      </c>
      <c r="B2" s="313"/>
      <c r="C2" s="313"/>
      <c r="D2" s="313"/>
      <c r="E2" s="313"/>
      <c r="F2" s="313"/>
      <c r="G2" s="313"/>
      <c r="H2" s="313"/>
      <c r="I2" s="281"/>
      <c r="J2" s="281"/>
    </row>
    <row r="3" spans="1:10" ht="15.75" customHeight="1"/>
    <row r="4" spans="1:10" ht="27" customHeight="1">
      <c r="A4" s="306" t="s">
        <v>361</v>
      </c>
      <c r="B4" s="307" t="s">
        <v>1000</v>
      </c>
      <c r="C4" s="307" t="s">
        <v>1001</v>
      </c>
      <c r="D4" s="307" t="s">
        <v>416</v>
      </c>
      <c r="E4" s="307" t="s">
        <v>1002</v>
      </c>
      <c r="F4" s="307" t="s">
        <v>1003</v>
      </c>
      <c r="G4" s="307" t="s">
        <v>1004</v>
      </c>
      <c r="H4" s="308" t="s">
        <v>1005</v>
      </c>
    </row>
    <row r="5" spans="1:10">
      <c r="A5" s="240" t="s">
        <v>839</v>
      </c>
      <c r="B5" s="112">
        <v>200</v>
      </c>
      <c r="C5" s="112">
        <v>3000</v>
      </c>
      <c r="D5" s="112" t="s">
        <v>1006</v>
      </c>
      <c r="E5" s="241">
        <v>4.5</v>
      </c>
      <c r="F5" s="112">
        <v>4</v>
      </c>
      <c r="G5" s="112">
        <v>3</v>
      </c>
      <c r="H5" s="242">
        <f t="shared" ref="H5:H20" si="0">E5*F5*G5</f>
        <v>54</v>
      </c>
    </row>
    <row r="6" spans="1:10">
      <c r="A6" s="240" t="s">
        <v>1007</v>
      </c>
      <c r="B6" s="112">
        <v>100</v>
      </c>
      <c r="C6" s="112">
        <v>2000</v>
      </c>
      <c r="D6" s="112" t="s">
        <v>1006</v>
      </c>
      <c r="E6" s="241">
        <v>2</v>
      </c>
      <c r="F6" s="112">
        <v>15</v>
      </c>
      <c r="G6" s="112">
        <v>2</v>
      </c>
      <c r="H6" s="242">
        <f t="shared" si="0"/>
        <v>60</v>
      </c>
    </row>
    <row r="7" spans="1:10">
      <c r="A7" s="240" t="s">
        <v>1008</v>
      </c>
      <c r="B7" s="112">
        <v>60</v>
      </c>
      <c r="C7" s="112"/>
      <c r="D7" s="112"/>
      <c r="E7" s="241"/>
      <c r="F7" s="112"/>
      <c r="G7" s="112"/>
      <c r="H7" s="242">
        <f t="shared" si="0"/>
        <v>0</v>
      </c>
    </row>
    <row r="8" spans="1:10">
      <c r="A8" s="240" t="s">
        <v>1009</v>
      </c>
      <c r="B8" s="112">
        <v>10</v>
      </c>
      <c r="C8" s="112">
        <v>8000</v>
      </c>
      <c r="D8" s="112" t="s">
        <v>1010</v>
      </c>
      <c r="E8" s="241">
        <v>0.8</v>
      </c>
      <c r="F8" s="112">
        <v>25</v>
      </c>
      <c r="G8" s="112">
        <v>6</v>
      </c>
      <c r="H8" s="242">
        <f t="shared" si="0"/>
        <v>120</v>
      </c>
    </row>
    <row r="9" spans="1:10">
      <c r="A9" s="240" t="s">
        <v>839</v>
      </c>
      <c r="B9" s="112">
        <v>80</v>
      </c>
      <c r="C9" s="112">
        <v>1000</v>
      </c>
      <c r="D9" s="112" t="s">
        <v>1006</v>
      </c>
      <c r="E9" s="241">
        <v>0.2</v>
      </c>
      <c r="F9" s="112">
        <v>40</v>
      </c>
      <c r="G9" s="112">
        <v>3</v>
      </c>
      <c r="H9" s="242">
        <f t="shared" si="0"/>
        <v>24</v>
      </c>
    </row>
    <row r="10" spans="1:10">
      <c r="A10" s="240" t="s">
        <v>1008</v>
      </c>
      <c r="B10" s="112">
        <v>100</v>
      </c>
      <c r="C10" s="112" t="s">
        <v>1011</v>
      </c>
      <c r="D10" s="112" t="s">
        <v>1006</v>
      </c>
      <c r="E10" s="241">
        <v>1.25</v>
      </c>
      <c r="F10" s="112">
        <v>10</v>
      </c>
      <c r="G10" s="112">
        <v>4</v>
      </c>
      <c r="H10" s="242">
        <f t="shared" si="0"/>
        <v>50</v>
      </c>
    </row>
    <row r="11" spans="1:10">
      <c r="A11" s="240" t="s">
        <v>1008</v>
      </c>
      <c r="B11" s="112">
        <v>200</v>
      </c>
      <c r="C11" s="112">
        <v>3000</v>
      </c>
      <c r="D11" s="112" t="s">
        <v>1006</v>
      </c>
      <c r="E11" s="241">
        <v>2.5</v>
      </c>
      <c r="F11" s="112">
        <v>15</v>
      </c>
      <c r="G11" s="112">
        <v>1</v>
      </c>
      <c r="H11" s="242">
        <f t="shared" si="0"/>
        <v>37.5</v>
      </c>
    </row>
    <row r="12" spans="1:10">
      <c r="A12" s="240" t="s">
        <v>1009</v>
      </c>
      <c r="B12" s="112">
        <v>25</v>
      </c>
      <c r="C12" s="112" t="s">
        <v>1011</v>
      </c>
      <c r="D12" s="112" t="s">
        <v>1010</v>
      </c>
      <c r="E12" s="241">
        <v>0.5</v>
      </c>
      <c r="F12" s="112">
        <v>10</v>
      </c>
      <c r="G12" s="112">
        <v>3</v>
      </c>
      <c r="H12" s="242">
        <f t="shared" si="0"/>
        <v>15</v>
      </c>
    </row>
    <row r="13" spans="1:10">
      <c r="A13" s="240" t="s">
        <v>839</v>
      </c>
      <c r="B13" s="112">
        <v>200</v>
      </c>
      <c r="C13" s="112">
        <v>3000</v>
      </c>
      <c r="D13" s="112" t="s">
        <v>1010</v>
      </c>
      <c r="E13" s="241">
        <v>5</v>
      </c>
      <c r="F13" s="112">
        <v>3</v>
      </c>
      <c r="G13" s="112">
        <v>2</v>
      </c>
      <c r="H13" s="242">
        <f t="shared" si="0"/>
        <v>30</v>
      </c>
    </row>
    <row r="14" spans="1:10">
      <c r="A14" s="240" t="s">
        <v>1007</v>
      </c>
      <c r="B14" s="112">
        <v>100</v>
      </c>
      <c r="C14" s="112">
        <v>2000</v>
      </c>
      <c r="D14" s="112" t="s">
        <v>1010</v>
      </c>
      <c r="E14" s="241">
        <v>1.8</v>
      </c>
      <c r="F14" s="112">
        <v>20</v>
      </c>
      <c r="G14" s="112">
        <v>5</v>
      </c>
      <c r="H14" s="242">
        <f t="shared" si="0"/>
        <v>180</v>
      </c>
    </row>
    <row r="15" spans="1:10">
      <c r="A15" s="240" t="s">
        <v>839</v>
      </c>
      <c r="B15" s="112">
        <v>100</v>
      </c>
      <c r="C15" s="112" t="s">
        <v>1011</v>
      </c>
      <c r="D15" s="112" t="s">
        <v>1010</v>
      </c>
      <c r="E15" s="241">
        <v>0.25</v>
      </c>
      <c r="F15" s="112">
        <v>10</v>
      </c>
      <c r="G15" s="112">
        <v>5</v>
      </c>
      <c r="H15" s="242">
        <f t="shared" si="0"/>
        <v>12.5</v>
      </c>
    </row>
    <row r="16" spans="1:10">
      <c r="A16" s="240" t="s">
        <v>839</v>
      </c>
      <c r="B16" s="112">
        <v>10</v>
      </c>
      <c r="C16" s="112">
        <v>800</v>
      </c>
      <c r="D16" s="112" t="s">
        <v>1006</v>
      </c>
      <c r="E16" s="241">
        <v>0.2</v>
      </c>
      <c r="F16" s="112">
        <v>25</v>
      </c>
      <c r="G16" s="112">
        <v>2</v>
      </c>
      <c r="H16" s="242">
        <f t="shared" si="0"/>
        <v>10</v>
      </c>
    </row>
    <row r="17" spans="1:9">
      <c r="A17" s="240" t="s">
        <v>839</v>
      </c>
      <c r="B17" s="112">
        <v>60</v>
      </c>
      <c r="C17" s="112">
        <v>1000</v>
      </c>
      <c r="D17" s="112" t="s">
        <v>1010</v>
      </c>
      <c r="E17" s="241">
        <v>0.15</v>
      </c>
      <c r="F17" s="112">
        <v>25</v>
      </c>
      <c r="G17" s="112">
        <v>1</v>
      </c>
      <c r="H17" s="242">
        <f t="shared" si="0"/>
        <v>3.75</v>
      </c>
    </row>
    <row r="18" spans="1:9">
      <c r="A18" s="240" t="s">
        <v>839</v>
      </c>
      <c r="B18" s="112">
        <v>80</v>
      </c>
      <c r="C18" s="112">
        <v>1000</v>
      </c>
      <c r="D18" s="112" t="s">
        <v>1010</v>
      </c>
      <c r="E18" s="241">
        <v>0.2</v>
      </c>
      <c r="F18" s="112">
        <v>30</v>
      </c>
      <c r="G18" s="112">
        <v>2</v>
      </c>
      <c r="H18" s="242">
        <f t="shared" si="0"/>
        <v>12</v>
      </c>
    </row>
    <row r="19" spans="1:9">
      <c r="A19" s="240" t="s">
        <v>839</v>
      </c>
      <c r="B19" s="112">
        <v>100</v>
      </c>
      <c r="C19" s="112">
        <v>2000</v>
      </c>
      <c r="D19" s="112" t="s">
        <v>1006</v>
      </c>
      <c r="E19" s="241">
        <v>0.8</v>
      </c>
      <c r="F19" s="112">
        <v>10</v>
      </c>
      <c r="G19" s="112">
        <v>5</v>
      </c>
      <c r="H19" s="242">
        <f t="shared" si="0"/>
        <v>40</v>
      </c>
    </row>
    <row r="20" spans="1:9" ht="15.75" customHeight="1">
      <c r="A20" s="243" t="s">
        <v>839</v>
      </c>
      <c r="B20" s="244">
        <v>40</v>
      </c>
      <c r="C20" s="244">
        <v>1000</v>
      </c>
      <c r="D20" s="244" t="s">
        <v>1006</v>
      </c>
      <c r="E20" s="245">
        <v>0.1</v>
      </c>
      <c r="F20" s="244">
        <v>20</v>
      </c>
      <c r="G20" s="244">
        <v>5</v>
      </c>
      <c r="H20" s="242">
        <f t="shared" si="0"/>
        <v>10</v>
      </c>
    </row>
    <row r="21" spans="1:9" ht="15.75" customHeight="1"/>
    <row r="22" spans="1:9" ht="15.75" customHeight="1">
      <c r="A22" s="6" t="s">
        <v>1050</v>
      </c>
    </row>
    <row r="23" spans="1:9" ht="15.75" customHeight="1"/>
    <row r="24" spans="1:9" ht="15.75" customHeight="1">
      <c r="D24" s="246" t="s">
        <v>416</v>
      </c>
      <c r="E24" s="247" t="s">
        <v>1051</v>
      </c>
    </row>
    <row r="25" spans="1:9" ht="15.75" customHeight="1">
      <c r="C25" s="248" t="s">
        <v>1014</v>
      </c>
      <c r="D25" s="249" t="s">
        <v>1006</v>
      </c>
    </row>
    <row r="26" spans="1:9" ht="15.75" customHeight="1"/>
    <row r="27" spans="1:9" ht="15.75" customHeight="1">
      <c r="A27" s="93"/>
      <c r="B27" s="93"/>
      <c r="C27" s="248" t="str">
        <f>"The COUNT value of "&amp;D25&amp;" is : "</f>
        <v xml:space="preserve">The COUNT value of Horizon is : </v>
      </c>
      <c r="D27" s="66">
        <f>DCOUNTA(A4:H20,D4,D24:D25)</f>
        <v>8</v>
      </c>
      <c r="E27" s="228"/>
    </row>
    <row r="28" spans="1:9" ht="15.75" customHeight="1"/>
    <row r="29" spans="1:9" ht="15.75" customHeight="1">
      <c r="A29" s="229" t="s">
        <v>1032</v>
      </c>
      <c r="B29" s="229"/>
      <c r="C29" s="229"/>
      <c r="D29" s="229"/>
      <c r="E29" s="229"/>
      <c r="F29" s="229"/>
      <c r="G29" s="229"/>
      <c r="H29" s="229"/>
      <c r="I29" s="229"/>
    </row>
    <row r="30" spans="1:9" ht="15.75" customHeight="1">
      <c r="A30" s="6" t="s">
        <v>1052</v>
      </c>
    </row>
    <row r="31" spans="1:9" ht="15.75" customHeight="1">
      <c r="A31" s="6" t="s">
        <v>1053</v>
      </c>
    </row>
    <row r="32" spans="1:9" ht="15.75" customHeight="1"/>
    <row r="33" spans="1:9" ht="15.75" customHeight="1">
      <c r="A33" s="229" t="s">
        <v>969</v>
      </c>
      <c r="B33" s="229"/>
      <c r="C33" s="229"/>
      <c r="D33" s="229"/>
      <c r="E33" s="229"/>
      <c r="F33" s="229"/>
      <c r="G33" s="229"/>
      <c r="H33" s="229"/>
      <c r="I33" s="229"/>
    </row>
    <row r="34" spans="1:9" ht="15.75" customHeight="1">
      <c r="A34" s="261" t="s">
        <v>1054</v>
      </c>
    </row>
    <row r="35" spans="1:9" ht="15.75" customHeight="1">
      <c r="A35" s="229" t="s">
        <v>1017</v>
      </c>
      <c r="B35" s="229"/>
      <c r="C35" s="229"/>
      <c r="D35" s="229"/>
      <c r="E35" s="229"/>
      <c r="F35" s="229"/>
      <c r="G35" s="229"/>
      <c r="H35" s="229"/>
      <c r="I35" s="229"/>
    </row>
    <row r="36" spans="1:9" ht="15.75" customHeight="1"/>
    <row r="37" spans="1:9" ht="15.75" customHeight="1">
      <c r="A37" s="251" t="s">
        <v>1055</v>
      </c>
    </row>
    <row r="38" spans="1:9" ht="15.75" customHeight="1"/>
    <row r="39" spans="1:9" ht="27" customHeight="1">
      <c r="D39" s="252" t="s">
        <v>361</v>
      </c>
      <c r="E39" s="262" t="s">
        <v>1001</v>
      </c>
    </row>
    <row r="40" spans="1:9" ht="15.75" customHeight="1">
      <c r="D40" s="254" t="s">
        <v>839</v>
      </c>
      <c r="E40" s="255" t="s">
        <v>1011</v>
      </c>
    </row>
    <row r="41" spans="1:9" ht="15.75" customHeight="1"/>
    <row r="42" spans="1:9" ht="15.75" customHeight="1">
      <c r="C42" s="248" t="s">
        <v>1037</v>
      </c>
      <c r="D42" s="66">
        <f>DCOUNTA(A4:H20,C4,D39:E40)</f>
        <v>1</v>
      </c>
      <c r="E42" s="228"/>
    </row>
    <row r="43" spans="1:9" ht="15.75" customHeight="1"/>
    <row r="44" spans="1:9" ht="15.75" customHeight="1">
      <c r="A44" s="6" t="s">
        <v>1056</v>
      </c>
    </row>
    <row r="45" spans="1:9" ht="15.75" customHeight="1"/>
    <row r="46" spans="1:9" ht="15.75" customHeight="1">
      <c r="D46" s="66">
        <f>DCOUNTA(A4:H20,"Life Hours",D39:E40)</f>
        <v>1</v>
      </c>
      <c r="E46" s="228"/>
    </row>
    <row r="47" spans="1:9" ht="15.75" customHeight="1"/>
    <row r="48" spans="1:9" ht="15.75" customHeight="1">
      <c r="A48" s="256" t="s">
        <v>1057</v>
      </c>
      <c r="B48" s="257"/>
      <c r="C48" s="257"/>
      <c r="D48" s="257"/>
      <c r="E48" s="257"/>
      <c r="F48" s="257"/>
      <c r="G48" s="257"/>
      <c r="H48" s="257"/>
      <c r="I48" s="257"/>
    </row>
    <row r="49" spans="1:9" ht="15.75" customHeight="1"/>
    <row r="50" spans="1:9" ht="15.75" customHeight="1">
      <c r="D50" s="252" t="s">
        <v>361</v>
      </c>
      <c r="E50" s="253" t="s">
        <v>416</v>
      </c>
    </row>
    <row r="51" spans="1:9" ht="15.75" customHeight="1">
      <c r="D51" s="254" t="s">
        <v>839</v>
      </c>
      <c r="E51" s="255" t="s">
        <v>1006</v>
      </c>
    </row>
    <row r="52" spans="1:9" ht="15.75" customHeight="1"/>
    <row r="53" spans="1:9" ht="15.75" customHeight="1">
      <c r="C53" s="248" t="s">
        <v>1042</v>
      </c>
      <c r="D53" s="66">
        <f>DCOUNTA(A4:H20,"Product",D50:E51)</f>
        <v>5</v>
      </c>
      <c r="E53" s="228"/>
    </row>
    <row r="54" spans="1:9" ht="15.75" customHeight="1"/>
    <row r="55" spans="1:9" ht="15.75" customHeight="1">
      <c r="A55" s="256" t="s">
        <v>1058</v>
      </c>
      <c r="B55" s="257"/>
      <c r="C55" s="257"/>
      <c r="D55" s="257"/>
      <c r="E55" s="257"/>
      <c r="F55" s="257"/>
      <c r="G55" s="257"/>
      <c r="H55" s="257"/>
      <c r="I55" s="257"/>
    </row>
    <row r="56" spans="1:9" ht="15.75" customHeight="1"/>
    <row r="57" spans="1:9" ht="15.75" customHeight="1">
      <c r="D57" s="252" t="s">
        <v>361</v>
      </c>
      <c r="E57" s="253" t="s">
        <v>416</v>
      </c>
    </row>
    <row r="58" spans="1:9" ht="15.75" customHeight="1">
      <c r="D58" s="268" t="s">
        <v>1008</v>
      </c>
      <c r="E58" s="269" t="s">
        <v>1006</v>
      </c>
    </row>
    <row r="59" spans="1:9" ht="15.75" customHeight="1">
      <c r="D59" s="254" t="s">
        <v>1007</v>
      </c>
      <c r="E59" s="255" t="s">
        <v>1010</v>
      </c>
    </row>
    <row r="60" spans="1:9" ht="15.75" customHeight="1"/>
    <row r="61" spans="1:9" ht="15.75" customHeight="1">
      <c r="C61" s="248" t="s">
        <v>1042</v>
      </c>
      <c r="D61" s="66">
        <f>DCOUNTA(A4:H20,"Product",D57:E59)</f>
        <v>3</v>
      </c>
      <c r="E61" s="228"/>
    </row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</sheetPr>
  <dimension ref="A1:J1000"/>
  <sheetViews>
    <sheetView topLeftCell="A40" workbookViewId="0">
      <selection activeCell="E39" sqref="E39"/>
    </sheetView>
  </sheetViews>
  <sheetFormatPr defaultColWidth="14.42578125" defaultRowHeight="15" customHeight="1"/>
  <cols>
    <col min="1" max="26" width="8" customWidth="1"/>
  </cols>
  <sheetData>
    <row r="1" spans="1:10" ht="18.75" customHeight="1">
      <c r="A1" s="310" t="s">
        <v>1059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0" ht="15.75" customHeight="1">
      <c r="A2" s="313" t="s">
        <v>1060</v>
      </c>
      <c r="B2" s="311"/>
      <c r="C2" s="311"/>
      <c r="D2" s="311"/>
      <c r="E2" s="311"/>
      <c r="F2" s="311"/>
      <c r="G2" s="311"/>
      <c r="H2" s="311"/>
      <c r="I2" s="311"/>
      <c r="J2" s="311"/>
    </row>
    <row r="3" spans="1:10" ht="27" customHeight="1">
      <c r="A3" s="265" t="s">
        <v>361</v>
      </c>
      <c r="B3" s="266" t="s">
        <v>1000</v>
      </c>
      <c r="C3" s="266" t="s">
        <v>1001</v>
      </c>
      <c r="D3" s="266" t="s">
        <v>416</v>
      </c>
      <c r="E3" s="266" t="s">
        <v>1002</v>
      </c>
      <c r="F3" s="266" t="s">
        <v>1003</v>
      </c>
      <c r="G3" s="266" t="s">
        <v>1004</v>
      </c>
      <c r="H3" s="267" t="s">
        <v>1005</v>
      </c>
    </row>
    <row r="4" spans="1:10">
      <c r="A4" s="240" t="s">
        <v>839</v>
      </c>
      <c r="B4" s="112">
        <v>200</v>
      </c>
      <c r="C4" s="112">
        <v>3000</v>
      </c>
      <c r="D4" s="112" t="s">
        <v>1006</v>
      </c>
      <c r="E4" s="241">
        <v>4.5</v>
      </c>
      <c r="F4" s="112">
        <v>4</v>
      </c>
      <c r="G4" s="112">
        <v>3</v>
      </c>
      <c r="H4" s="242">
        <f t="shared" ref="H4:H19" si="0">E4*F4*G4</f>
        <v>54</v>
      </c>
    </row>
    <row r="5" spans="1:10">
      <c r="A5" s="240" t="s">
        <v>1007</v>
      </c>
      <c r="B5" s="112">
        <v>100</v>
      </c>
      <c r="C5" s="112">
        <v>2000</v>
      </c>
      <c r="D5" s="112" t="s">
        <v>1006</v>
      </c>
      <c r="E5" s="241">
        <v>2</v>
      </c>
      <c r="F5" s="112">
        <v>15</v>
      </c>
      <c r="G5" s="112">
        <v>2</v>
      </c>
      <c r="H5" s="242">
        <f t="shared" si="0"/>
        <v>60</v>
      </c>
    </row>
    <row r="6" spans="1:10">
      <c r="A6" s="240" t="s">
        <v>1008</v>
      </c>
      <c r="B6" s="112">
        <v>60</v>
      </c>
      <c r="C6" s="112"/>
      <c r="D6" s="112"/>
      <c r="E6" s="241"/>
      <c r="F6" s="112"/>
      <c r="G6" s="112"/>
      <c r="H6" s="242">
        <f t="shared" si="0"/>
        <v>0</v>
      </c>
    </row>
    <row r="7" spans="1:10">
      <c r="A7" s="240" t="s">
        <v>1009</v>
      </c>
      <c r="B7" s="112">
        <v>10</v>
      </c>
      <c r="C7" s="112">
        <v>8000</v>
      </c>
      <c r="D7" s="112" t="s">
        <v>1010</v>
      </c>
      <c r="E7" s="241">
        <v>0.8</v>
      </c>
      <c r="F7" s="112">
        <v>25</v>
      </c>
      <c r="G7" s="112">
        <v>6</v>
      </c>
      <c r="H7" s="242">
        <f t="shared" si="0"/>
        <v>120</v>
      </c>
    </row>
    <row r="8" spans="1:10">
      <c r="A8" s="240" t="s">
        <v>839</v>
      </c>
      <c r="B8" s="112">
        <v>80</v>
      </c>
      <c r="C8" s="112">
        <v>1000</v>
      </c>
      <c r="D8" s="112" t="s">
        <v>1006</v>
      </c>
      <c r="E8" s="241">
        <v>0.2</v>
      </c>
      <c r="F8" s="112">
        <v>40</v>
      </c>
      <c r="G8" s="112">
        <v>3</v>
      </c>
      <c r="H8" s="242">
        <f t="shared" si="0"/>
        <v>24</v>
      </c>
    </row>
    <row r="9" spans="1:10">
      <c r="A9" s="240" t="s">
        <v>1008</v>
      </c>
      <c r="B9" s="112">
        <v>100</v>
      </c>
      <c r="C9" s="112" t="s">
        <v>1011</v>
      </c>
      <c r="D9" s="112" t="s">
        <v>1006</v>
      </c>
      <c r="E9" s="241">
        <v>1.25</v>
      </c>
      <c r="F9" s="112">
        <v>10</v>
      </c>
      <c r="G9" s="112">
        <v>4</v>
      </c>
      <c r="H9" s="242">
        <f t="shared" si="0"/>
        <v>50</v>
      </c>
    </row>
    <row r="10" spans="1:10">
      <c r="A10" s="240" t="s">
        <v>1008</v>
      </c>
      <c r="B10" s="112">
        <v>200</v>
      </c>
      <c r="C10" s="112">
        <v>3000</v>
      </c>
      <c r="D10" s="112" t="s">
        <v>1006</v>
      </c>
      <c r="E10" s="241">
        <v>2.5</v>
      </c>
      <c r="F10" s="112">
        <v>15</v>
      </c>
      <c r="G10" s="112">
        <v>0</v>
      </c>
      <c r="H10" s="242">
        <f t="shared" si="0"/>
        <v>0</v>
      </c>
    </row>
    <row r="11" spans="1:10">
      <c r="A11" s="240" t="s">
        <v>1009</v>
      </c>
      <c r="B11" s="112">
        <v>25</v>
      </c>
      <c r="C11" s="112" t="s">
        <v>1011</v>
      </c>
      <c r="D11" s="112" t="s">
        <v>1010</v>
      </c>
      <c r="E11" s="241">
        <v>0.5</v>
      </c>
      <c r="F11" s="112">
        <v>10</v>
      </c>
      <c r="G11" s="112">
        <v>3</v>
      </c>
      <c r="H11" s="242">
        <f t="shared" si="0"/>
        <v>15</v>
      </c>
    </row>
    <row r="12" spans="1:10">
      <c r="A12" s="240" t="s">
        <v>839</v>
      </c>
      <c r="B12" s="112">
        <v>200</v>
      </c>
      <c r="C12" s="112">
        <v>3000</v>
      </c>
      <c r="D12" s="112" t="s">
        <v>1010</v>
      </c>
      <c r="E12" s="241">
        <v>5</v>
      </c>
      <c r="F12" s="112">
        <v>3</v>
      </c>
      <c r="G12" s="112">
        <v>2</v>
      </c>
      <c r="H12" s="242">
        <f t="shared" si="0"/>
        <v>30</v>
      </c>
    </row>
    <row r="13" spans="1:10">
      <c r="A13" s="240" t="s">
        <v>1007</v>
      </c>
      <c r="B13" s="112">
        <v>100</v>
      </c>
      <c r="C13" s="112">
        <v>2000</v>
      </c>
      <c r="D13" s="112" t="s">
        <v>1010</v>
      </c>
      <c r="E13" s="241">
        <v>1.8</v>
      </c>
      <c r="F13" s="112">
        <v>20</v>
      </c>
      <c r="G13" s="112">
        <v>5</v>
      </c>
      <c r="H13" s="242">
        <f t="shared" si="0"/>
        <v>180</v>
      </c>
    </row>
    <row r="14" spans="1:10">
      <c r="A14" s="240" t="s">
        <v>839</v>
      </c>
      <c r="B14" s="112">
        <v>100</v>
      </c>
      <c r="C14" s="112" t="s">
        <v>1011</v>
      </c>
      <c r="D14" s="112" t="s">
        <v>1010</v>
      </c>
      <c r="E14" s="241">
        <v>0.25</v>
      </c>
      <c r="F14" s="112">
        <v>10</v>
      </c>
      <c r="G14" s="112">
        <v>5</v>
      </c>
      <c r="H14" s="242">
        <f t="shared" si="0"/>
        <v>12.5</v>
      </c>
    </row>
    <row r="15" spans="1:10">
      <c r="A15" s="240" t="s">
        <v>839</v>
      </c>
      <c r="B15" s="112">
        <v>10</v>
      </c>
      <c r="C15" s="112">
        <v>800</v>
      </c>
      <c r="D15" s="112" t="s">
        <v>1006</v>
      </c>
      <c r="E15" s="241">
        <v>0.2</v>
      </c>
      <c r="F15" s="112">
        <v>25</v>
      </c>
      <c r="G15" s="112">
        <v>2</v>
      </c>
      <c r="H15" s="242">
        <f t="shared" si="0"/>
        <v>10</v>
      </c>
    </row>
    <row r="16" spans="1:10">
      <c r="A16" s="240" t="s">
        <v>839</v>
      </c>
      <c r="B16" s="112">
        <v>60</v>
      </c>
      <c r="C16" s="112">
        <v>1000</v>
      </c>
      <c r="D16" s="112" t="s">
        <v>1010</v>
      </c>
      <c r="E16" s="241">
        <v>0.15</v>
      </c>
      <c r="F16" s="112">
        <v>25</v>
      </c>
      <c r="G16" s="112">
        <v>0</v>
      </c>
      <c r="H16" s="242">
        <f t="shared" si="0"/>
        <v>0</v>
      </c>
    </row>
    <row r="17" spans="1:9">
      <c r="A17" s="240" t="s">
        <v>839</v>
      </c>
      <c r="B17" s="112">
        <v>80</v>
      </c>
      <c r="C17" s="112">
        <v>1000</v>
      </c>
      <c r="D17" s="112" t="s">
        <v>1010</v>
      </c>
      <c r="E17" s="241">
        <v>0.2</v>
      </c>
      <c r="F17" s="112">
        <v>30</v>
      </c>
      <c r="G17" s="112">
        <v>2</v>
      </c>
      <c r="H17" s="242">
        <f t="shared" si="0"/>
        <v>12</v>
      </c>
    </row>
    <row r="18" spans="1:9">
      <c r="A18" s="240" t="s">
        <v>839</v>
      </c>
      <c r="B18" s="112">
        <v>100</v>
      </c>
      <c r="C18" s="112">
        <v>2000</v>
      </c>
      <c r="D18" s="112" t="s">
        <v>1006</v>
      </c>
      <c r="E18" s="241">
        <v>0.8</v>
      </c>
      <c r="F18" s="112">
        <v>10</v>
      </c>
      <c r="G18" s="112">
        <v>5</v>
      </c>
      <c r="H18" s="242">
        <f t="shared" si="0"/>
        <v>40</v>
      </c>
    </row>
    <row r="19" spans="1:9" ht="15.75" customHeight="1">
      <c r="A19" s="243" t="s">
        <v>839</v>
      </c>
      <c r="B19" s="244">
        <v>40</v>
      </c>
      <c r="C19" s="244">
        <v>1000</v>
      </c>
      <c r="D19" s="244" t="s">
        <v>1006</v>
      </c>
      <c r="E19" s="245">
        <v>0.1</v>
      </c>
      <c r="F19" s="244">
        <v>20</v>
      </c>
      <c r="G19" s="244">
        <v>5</v>
      </c>
      <c r="H19" s="242">
        <f t="shared" si="0"/>
        <v>10</v>
      </c>
    </row>
    <row r="20" spans="1:9" ht="15.75" customHeight="1"/>
    <row r="21" spans="1:9" ht="15.75" customHeight="1">
      <c r="A21" s="6" t="s">
        <v>1061</v>
      </c>
    </row>
    <row r="22" spans="1:9" ht="15.75" customHeight="1"/>
    <row r="23" spans="1:9" ht="15.75" customHeight="1">
      <c r="D23" s="246" t="s">
        <v>416</v>
      </c>
      <c r="E23" s="247" t="s">
        <v>1062</v>
      </c>
    </row>
    <row r="24" spans="1:9" ht="15.75" customHeight="1">
      <c r="C24" s="248" t="s">
        <v>1014</v>
      </c>
      <c r="D24" s="249" t="s">
        <v>1006</v>
      </c>
    </row>
    <row r="25" spans="1:9" ht="15.75" customHeight="1"/>
    <row r="26" spans="1:9" ht="15.75" customHeight="1">
      <c r="A26" s="93"/>
      <c r="B26" s="93"/>
      <c r="C26" s="248" t="str">
        <f>"The MAX value of "&amp;D24&amp;" is : "</f>
        <v xml:space="preserve">The MAX value of Horizon is : </v>
      </c>
      <c r="D26" s="250">
        <f>DMAX(A3:H19,H3,D23:D24)</f>
        <v>60</v>
      </c>
      <c r="E26" s="228"/>
    </row>
    <row r="27" spans="1:9" ht="15.75" customHeight="1"/>
    <row r="28" spans="1:9" ht="15.75" customHeight="1">
      <c r="A28" s="229" t="s">
        <v>1032</v>
      </c>
      <c r="B28" s="229"/>
      <c r="C28" s="229"/>
      <c r="D28" s="229"/>
      <c r="E28" s="229"/>
      <c r="F28" s="229"/>
      <c r="G28" s="229"/>
      <c r="H28" s="229"/>
      <c r="I28" s="229"/>
    </row>
    <row r="29" spans="1:9" ht="15.75" customHeight="1">
      <c r="A29" s="6" t="s">
        <v>1063</v>
      </c>
    </row>
    <row r="30" spans="1:9" ht="15.75" customHeight="1"/>
    <row r="31" spans="1:9" ht="15.75" customHeight="1">
      <c r="A31" s="229" t="s">
        <v>969</v>
      </c>
      <c r="B31" s="229"/>
      <c r="C31" s="229"/>
      <c r="D31" s="229"/>
      <c r="E31" s="229"/>
      <c r="F31" s="229"/>
      <c r="G31" s="229"/>
      <c r="H31" s="229"/>
      <c r="I31" s="229"/>
    </row>
    <row r="32" spans="1:9" ht="15.75" customHeight="1">
      <c r="A32" s="261" t="s">
        <v>1064</v>
      </c>
    </row>
    <row r="33" spans="1:9" ht="15.75" customHeight="1"/>
    <row r="34" spans="1:9" ht="15.75" customHeight="1">
      <c r="A34" s="229" t="s">
        <v>1017</v>
      </c>
      <c r="B34" s="229"/>
      <c r="C34" s="229"/>
      <c r="D34" s="229"/>
      <c r="E34" s="229"/>
      <c r="F34" s="229"/>
      <c r="G34" s="229"/>
      <c r="H34" s="229"/>
      <c r="I34" s="229"/>
    </row>
    <row r="35" spans="1:9" ht="15.75" customHeight="1"/>
    <row r="36" spans="1:9" ht="15.75" customHeight="1">
      <c r="A36" s="251" t="s">
        <v>1065</v>
      </c>
    </row>
    <row r="37" spans="1:9" ht="15.75" customHeight="1"/>
    <row r="38" spans="1:9" ht="15.75" customHeight="1">
      <c r="D38" s="252" t="s">
        <v>361</v>
      </c>
      <c r="E38" s="253" t="s">
        <v>416</v>
      </c>
    </row>
    <row r="39" spans="1:9" ht="15.75" customHeight="1">
      <c r="D39" s="254" t="s">
        <v>839</v>
      </c>
      <c r="E39" s="255" t="s">
        <v>1015</v>
      </c>
    </row>
    <row r="40" spans="1:9" ht="15.75" customHeight="1"/>
    <row r="41" spans="1:9" ht="15.75" customHeight="1">
      <c r="C41" s="248" t="s">
        <v>1066</v>
      </c>
      <c r="D41" s="250">
        <f>DMAX(A3:H19,H3,D38:E39)</f>
        <v>30</v>
      </c>
      <c r="E41" s="228"/>
    </row>
    <row r="42" spans="1:9" ht="15.75" customHeight="1">
      <c r="D42" s="6">
        <f>917417511352</f>
        <v>917417511352</v>
      </c>
    </row>
    <row r="43" spans="1:9" ht="15.75" customHeight="1">
      <c r="A43" s="6" t="s">
        <v>1067</v>
      </c>
    </row>
    <row r="44" spans="1:9" ht="15.75" customHeight="1"/>
    <row r="45" spans="1:9" ht="15.75" customHeight="1">
      <c r="D45" s="250">
        <f>DMAX(A3:H19,"Value Of Stock",D38:E39)</f>
        <v>30</v>
      </c>
      <c r="E45" s="228"/>
    </row>
    <row r="46" spans="1:9" ht="15.75" customHeight="1"/>
    <row r="47" spans="1:9" ht="15.75" customHeight="1">
      <c r="A47" s="256" t="s">
        <v>1068</v>
      </c>
      <c r="B47" s="257"/>
      <c r="C47" s="257"/>
      <c r="D47" s="257"/>
      <c r="E47" s="257"/>
      <c r="F47" s="257"/>
      <c r="G47" s="257"/>
      <c r="H47" s="257"/>
      <c r="I47" s="257"/>
    </row>
    <row r="48" spans="1:9" ht="15.75" customHeight="1"/>
    <row r="49" spans="1:9" ht="15.75" customHeight="1">
      <c r="D49" s="252" t="s">
        <v>361</v>
      </c>
      <c r="E49" s="253" t="s">
        <v>1000</v>
      </c>
    </row>
    <row r="50" spans="1:9" ht="15.75" customHeight="1">
      <c r="D50" s="254" t="s">
        <v>839</v>
      </c>
      <c r="E50" s="255">
        <v>100</v>
      </c>
    </row>
    <row r="51" spans="1:9" ht="15.75" customHeight="1"/>
    <row r="52" spans="1:9" ht="15.75" customHeight="1">
      <c r="C52" s="248" t="s">
        <v>1069</v>
      </c>
      <c r="D52" s="250">
        <f>DMAX(A3:H19,"Value Of Stock",D49:E50)</f>
        <v>40</v>
      </c>
      <c r="E52" s="228"/>
    </row>
    <row r="53" spans="1:9" ht="15.75" customHeight="1"/>
    <row r="54" spans="1:9" ht="15.75" customHeight="1">
      <c r="A54" s="256" t="s">
        <v>1070</v>
      </c>
      <c r="B54" s="257"/>
      <c r="C54" s="257"/>
      <c r="D54" s="257"/>
      <c r="E54" s="257"/>
      <c r="F54" s="257"/>
      <c r="G54" s="257"/>
      <c r="H54" s="257"/>
      <c r="I54" s="257"/>
    </row>
    <row r="55" spans="1:9" ht="15.75" customHeight="1"/>
    <row r="56" spans="1:9" ht="15.75" customHeight="1">
      <c r="D56" s="252" t="s">
        <v>361</v>
      </c>
      <c r="E56" s="253" t="s">
        <v>1000</v>
      </c>
    </row>
    <row r="57" spans="1:9" ht="15.75" customHeight="1">
      <c r="D57" s="254" t="s">
        <v>839</v>
      </c>
      <c r="E57" s="255" t="s">
        <v>1025</v>
      </c>
    </row>
    <row r="58" spans="1:9" ht="15.75" customHeight="1"/>
    <row r="59" spans="1:9" ht="15.75" customHeight="1">
      <c r="C59" s="248" t="s">
        <v>1069</v>
      </c>
      <c r="D59" s="250">
        <f>DMAX(A3:H19,"Value Of Stock",D56:E57)</f>
        <v>24</v>
      </c>
      <c r="E59" s="228"/>
    </row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</sheetPr>
  <dimension ref="A1:J1000"/>
  <sheetViews>
    <sheetView workbookViewId="0">
      <selection sqref="A1:J1"/>
    </sheetView>
  </sheetViews>
  <sheetFormatPr defaultColWidth="14.42578125" defaultRowHeight="15" customHeight="1"/>
  <cols>
    <col min="1" max="26" width="8" customWidth="1"/>
  </cols>
  <sheetData>
    <row r="1" spans="1:10" ht="18.75" customHeight="1">
      <c r="A1" s="310" t="s">
        <v>1071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0">
      <c r="A2" s="313" t="s">
        <v>1072</v>
      </c>
      <c r="B2" s="311"/>
      <c r="C2" s="311"/>
      <c r="D2" s="311"/>
      <c r="E2" s="311"/>
      <c r="F2" s="311"/>
      <c r="G2" s="311"/>
      <c r="H2" s="311"/>
      <c r="I2" s="311"/>
      <c r="J2" s="311"/>
    </row>
    <row r="3" spans="1:10" ht="15.75" customHeight="1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27" customHeight="1">
      <c r="A4" s="265" t="s">
        <v>361</v>
      </c>
      <c r="B4" s="266" t="s">
        <v>1000</v>
      </c>
      <c r="C4" s="266" t="s">
        <v>1001</v>
      </c>
      <c r="D4" s="266" t="s">
        <v>416</v>
      </c>
      <c r="E4" s="266" t="s">
        <v>1002</v>
      </c>
      <c r="F4" s="266" t="s">
        <v>1003</v>
      </c>
      <c r="G4" s="266" t="s">
        <v>1004</v>
      </c>
      <c r="H4" s="267" t="s">
        <v>1005</v>
      </c>
    </row>
    <row r="5" spans="1:10">
      <c r="A5" s="240" t="s">
        <v>839</v>
      </c>
      <c r="B5" s="112">
        <v>200</v>
      </c>
      <c r="C5" s="112">
        <v>3000</v>
      </c>
      <c r="D5" s="112" t="s">
        <v>1006</v>
      </c>
      <c r="E5" s="241">
        <v>4.5</v>
      </c>
      <c r="F5" s="112">
        <v>4</v>
      </c>
      <c r="G5" s="112">
        <v>3</v>
      </c>
      <c r="H5" s="242">
        <f t="shared" ref="H5:H20" si="0">E5*F5*G5</f>
        <v>54</v>
      </c>
    </row>
    <row r="6" spans="1:10">
      <c r="A6" s="240" t="s">
        <v>1007</v>
      </c>
      <c r="B6" s="112">
        <v>100</v>
      </c>
      <c r="C6" s="112">
        <v>2000</v>
      </c>
      <c r="D6" s="112" t="s">
        <v>1006</v>
      </c>
      <c r="E6" s="241">
        <v>2</v>
      </c>
      <c r="F6" s="112">
        <v>15</v>
      </c>
      <c r="G6" s="112">
        <v>2</v>
      </c>
      <c r="H6" s="242">
        <f t="shared" si="0"/>
        <v>60</v>
      </c>
    </row>
    <row r="7" spans="1:10">
      <c r="A7" s="240" t="s">
        <v>1008</v>
      </c>
      <c r="B7" s="112">
        <v>60</v>
      </c>
      <c r="C7" s="112"/>
      <c r="D7" s="112"/>
      <c r="E7" s="241"/>
      <c r="F7" s="112"/>
      <c r="G7" s="112"/>
      <c r="H7" s="242">
        <f t="shared" si="0"/>
        <v>0</v>
      </c>
    </row>
    <row r="8" spans="1:10">
      <c r="A8" s="240" t="s">
        <v>1009</v>
      </c>
      <c r="B8" s="112">
        <v>10</v>
      </c>
      <c r="C8" s="112">
        <v>8000</v>
      </c>
      <c r="D8" s="112" t="s">
        <v>1010</v>
      </c>
      <c r="E8" s="241">
        <v>0.8</v>
      </c>
      <c r="F8" s="112">
        <v>25</v>
      </c>
      <c r="G8" s="112">
        <v>6</v>
      </c>
      <c r="H8" s="242">
        <f t="shared" si="0"/>
        <v>120</v>
      </c>
    </row>
    <row r="9" spans="1:10">
      <c r="A9" s="240" t="s">
        <v>839</v>
      </c>
      <c r="B9" s="112">
        <v>80</v>
      </c>
      <c r="C9" s="112">
        <v>1000</v>
      </c>
      <c r="D9" s="112" t="s">
        <v>1006</v>
      </c>
      <c r="E9" s="241">
        <v>0.2</v>
      </c>
      <c r="F9" s="112">
        <v>40</v>
      </c>
      <c r="G9" s="112">
        <v>3</v>
      </c>
      <c r="H9" s="242">
        <f t="shared" si="0"/>
        <v>24</v>
      </c>
    </row>
    <row r="10" spans="1:10">
      <c r="A10" s="240" t="s">
        <v>1008</v>
      </c>
      <c r="B10" s="112">
        <v>100</v>
      </c>
      <c r="C10" s="112" t="s">
        <v>1011</v>
      </c>
      <c r="D10" s="112" t="s">
        <v>1006</v>
      </c>
      <c r="E10" s="241">
        <v>1.25</v>
      </c>
      <c r="F10" s="112">
        <v>10</v>
      </c>
      <c r="G10" s="112">
        <v>4</v>
      </c>
      <c r="H10" s="242">
        <f t="shared" si="0"/>
        <v>50</v>
      </c>
    </row>
    <row r="11" spans="1:10">
      <c r="A11" s="240" t="s">
        <v>1008</v>
      </c>
      <c r="B11" s="112">
        <v>200</v>
      </c>
      <c r="C11" s="112">
        <v>3000</v>
      </c>
      <c r="D11" s="112" t="s">
        <v>1006</v>
      </c>
      <c r="E11" s="241">
        <v>2.5</v>
      </c>
      <c r="F11" s="112">
        <v>15</v>
      </c>
      <c r="G11" s="112">
        <v>0</v>
      </c>
      <c r="H11" s="242">
        <f t="shared" si="0"/>
        <v>0</v>
      </c>
    </row>
    <row r="12" spans="1:10">
      <c r="A12" s="240" t="s">
        <v>1009</v>
      </c>
      <c r="B12" s="112">
        <v>25</v>
      </c>
      <c r="C12" s="112" t="s">
        <v>1011</v>
      </c>
      <c r="D12" s="112" t="s">
        <v>1010</v>
      </c>
      <c r="E12" s="241">
        <v>0.5</v>
      </c>
      <c r="F12" s="112">
        <v>10</v>
      </c>
      <c r="G12" s="112">
        <v>3</v>
      </c>
      <c r="H12" s="242">
        <f t="shared" si="0"/>
        <v>15</v>
      </c>
    </row>
    <row r="13" spans="1:10">
      <c r="A13" s="240" t="s">
        <v>839</v>
      </c>
      <c r="B13" s="112">
        <v>200</v>
      </c>
      <c r="C13" s="112">
        <v>3000</v>
      </c>
      <c r="D13" s="112" t="s">
        <v>1010</v>
      </c>
      <c r="E13" s="241">
        <v>5</v>
      </c>
      <c r="F13" s="112">
        <v>3</v>
      </c>
      <c r="G13" s="112">
        <v>2</v>
      </c>
      <c r="H13" s="242">
        <f t="shared" si="0"/>
        <v>30</v>
      </c>
    </row>
    <row r="14" spans="1:10">
      <c r="A14" s="240" t="s">
        <v>1007</v>
      </c>
      <c r="B14" s="112">
        <v>100</v>
      </c>
      <c r="C14" s="112">
        <v>2000</v>
      </c>
      <c r="D14" s="112" t="s">
        <v>1010</v>
      </c>
      <c r="E14" s="241">
        <v>1.8</v>
      </c>
      <c r="F14" s="112">
        <v>20</v>
      </c>
      <c r="G14" s="112">
        <v>5</v>
      </c>
      <c r="H14" s="242">
        <f t="shared" si="0"/>
        <v>180</v>
      </c>
    </row>
    <row r="15" spans="1:10">
      <c r="A15" s="240" t="s">
        <v>839</v>
      </c>
      <c r="B15" s="112">
        <v>100</v>
      </c>
      <c r="C15" s="112" t="s">
        <v>1011</v>
      </c>
      <c r="D15" s="112" t="s">
        <v>1010</v>
      </c>
      <c r="E15" s="241">
        <v>0.25</v>
      </c>
      <c r="F15" s="112">
        <v>10</v>
      </c>
      <c r="G15" s="112">
        <v>5</v>
      </c>
      <c r="H15" s="242">
        <f t="shared" si="0"/>
        <v>12.5</v>
      </c>
    </row>
    <row r="16" spans="1:10">
      <c r="A16" s="240" t="s">
        <v>839</v>
      </c>
      <c r="B16" s="112">
        <v>10</v>
      </c>
      <c r="C16" s="112">
        <v>800</v>
      </c>
      <c r="D16" s="112" t="s">
        <v>1006</v>
      </c>
      <c r="E16" s="241">
        <v>0.2</v>
      </c>
      <c r="F16" s="112">
        <v>25</v>
      </c>
      <c r="G16" s="112">
        <v>2</v>
      </c>
      <c r="H16" s="242">
        <f t="shared" si="0"/>
        <v>10</v>
      </c>
    </row>
    <row r="17" spans="1:9">
      <c r="A17" s="240" t="s">
        <v>839</v>
      </c>
      <c r="B17" s="112">
        <v>60</v>
      </c>
      <c r="C17" s="112">
        <v>1000</v>
      </c>
      <c r="D17" s="112" t="s">
        <v>1010</v>
      </c>
      <c r="E17" s="241">
        <v>0.15</v>
      </c>
      <c r="F17" s="112">
        <v>25</v>
      </c>
      <c r="G17" s="112">
        <v>0</v>
      </c>
      <c r="H17" s="242">
        <f t="shared" si="0"/>
        <v>0</v>
      </c>
    </row>
    <row r="18" spans="1:9">
      <c r="A18" s="240" t="s">
        <v>839</v>
      </c>
      <c r="B18" s="112">
        <v>80</v>
      </c>
      <c r="C18" s="112">
        <v>1000</v>
      </c>
      <c r="D18" s="112" t="s">
        <v>1010</v>
      </c>
      <c r="E18" s="241">
        <v>0.2</v>
      </c>
      <c r="F18" s="112">
        <v>30</v>
      </c>
      <c r="G18" s="112">
        <v>2</v>
      </c>
      <c r="H18" s="242">
        <f t="shared" si="0"/>
        <v>12</v>
      </c>
    </row>
    <row r="19" spans="1:9">
      <c r="A19" s="240" t="s">
        <v>839</v>
      </c>
      <c r="B19" s="112">
        <v>100</v>
      </c>
      <c r="C19" s="112">
        <v>2000</v>
      </c>
      <c r="D19" s="112" t="s">
        <v>1006</v>
      </c>
      <c r="E19" s="241">
        <v>0.8</v>
      </c>
      <c r="F19" s="112">
        <v>10</v>
      </c>
      <c r="G19" s="112">
        <v>5</v>
      </c>
      <c r="H19" s="242">
        <f t="shared" si="0"/>
        <v>40</v>
      </c>
    </row>
    <row r="20" spans="1:9" ht="15.75" customHeight="1">
      <c r="A20" s="243" t="s">
        <v>839</v>
      </c>
      <c r="B20" s="244">
        <v>40</v>
      </c>
      <c r="C20" s="244">
        <v>1000</v>
      </c>
      <c r="D20" s="244" t="s">
        <v>1006</v>
      </c>
      <c r="E20" s="245">
        <v>0.1</v>
      </c>
      <c r="F20" s="244">
        <v>20</v>
      </c>
      <c r="G20" s="244">
        <v>5</v>
      </c>
      <c r="H20" s="242">
        <f t="shared" si="0"/>
        <v>10</v>
      </c>
    </row>
    <row r="21" spans="1:9" ht="15.75" customHeight="1"/>
    <row r="22" spans="1:9" ht="15.75" customHeight="1">
      <c r="A22" s="6" t="s">
        <v>1073</v>
      </c>
    </row>
    <row r="23" spans="1:9" ht="15.75" customHeight="1"/>
    <row r="24" spans="1:9" ht="15.75" customHeight="1">
      <c r="D24" s="246" t="s">
        <v>416</v>
      </c>
      <c r="E24" s="247" t="s">
        <v>1074</v>
      </c>
    </row>
    <row r="25" spans="1:9" ht="15.75" customHeight="1">
      <c r="C25" s="248" t="s">
        <v>1014</v>
      </c>
      <c r="D25" s="249" t="s">
        <v>1006</v>
      </c>
    </row>
    <row r="26" spans="1:9" ht="15.75" customHeight="1"/>
    <row r="27" spans="1:9" ht="15.75" customHeight="1">
      <c r="A27" s="93"/>
      <c r="B27" s="93"/>
      <c r="C27" s="248" t="str">
        <f>"The stock value of "&amp;D25&amp;" is : "</f>
        <v xml:space="preserve">The stock value of Horizon is : </v>
      </c>
      <c r="D27" s="250">
        <f>DSUM(A4:H20,H4,D24:D25)</f>
        <v>248</v>
      </c>
      <c r="E27" s="228" t="s">
        <v>1075</v>
      </c>
    </row>
    <row r="28" spans="1:9" ht="15.75" customHeight="1"/>
    <row r="29" spans="1:9" ht="15.75" customHeight="1">
      <c r="A29" s="229" t="s">
        <v>969</v>
      </c>
      <c r="B29" s="229"/>
      <c r="C29" s="229"/>
      <c r="D29" s="229"/>
      <c r="E29" s="229"/>
      <c r="F29" s="229"/>
      <c r="G29" s="229"/>
      <c r="H29" s="229"/>
      <c r="I29" s="229"/>
    </row>
    <row r="30" spans="1:9" ht="15.75" customHeight="1">
      <c r="A30" s="261" t="s">
        <v>1076</v>
      </c>
    </row>
    <row r="31" spans="1:9" ht="15.75" customHeight="1">
      <c r="A31" s="229" t="s">
        <v>1017</v>
      </c>
      <c r="B31" s="229"/>
      <c r="C31" s="229"/>
      <c r="D31" s="229"/>
      <c r="E31" s="229"/>
      <c r="F31" s="229"/>
      <c r="G31" s="229"/>
      <c r="H31" s="229"/>
      <c r="I31" s="229"/>
    </row>
    <row r="32" spans="1:9" ht="15.75" customHeight="1"/>
    <row r="33" spans="1:9" ht="15.75" customHeight="1">
      <c r="A33" s="251" t="s">
        <v>1077</v>
      </c>
    </row>
    <row r="34" spans="1:9" ht="15.75" customHeight="1"/>
    <row r="35" spans="1:9" ht="15.75" customHeight="1">
      <c r="D35" s="252" t="s">
        <v>361</v>
      </c>
      <c r="E35" s="253" t="s">
        <v>416</v>
      </c>
    </row>
    <row r="36" spans="1:9" ht="15.75" customHeight="1">
      <c r="D36" s="254" t="s">
        <v>839</v>
      </c>
      <c r="E36" s="255" t="s">
        <v>1015</v>
      </c>
    </row>
    <row r="37" spans="1:9" ht="15.75" customHeight="1"/>
    <row r="38" spans="1:9" ht="15.75" customHeight="1">
      <c r="C38" s="248" t="s">
        <v>1078</v>
      </c>
      <c r="D38" s="250">
        <f>DSUM(A4:H20,H4,D35:E36)</f>
        <v>54.5</v>
      </c>
      <c r="E38" s="228" t="s">
        <v>1079</v>
      </c>
    </row>
    <row r="39" spans="1:9" ht="15.75" customHeight="1"/>
    <row r="40" spans="1:9" ht="15.75" customHeight="1">
      <c r="A40" s="6" t="s">
        <v>1067</v>
      </c>
    </row>
    <row r="41" spans="1:9" ht="15.75" customHeight="1"/>
    <row r="42" spans="1:9" ht="15.75" customHeight="1">
      <c r="D42" s="250">
        <f>DSUM(A4:H20,"Value Of Stock",D35:E36)</f>
        <v>54.5</v>
      </c>
      <c r="E42" s="228" t="s">
        <v>1080</v>
      </c>
    </row>
    <row r="43" spans="1:9" ht="15.75" customHeight="1"/>
    <row r="44" spans="1:9" ht="15.75" customHeight="1">
      <c r="A44" s="256" t="s">
        <v>1081</v>
      </c>
      <c r="B44" s="257"/>
      <c r="C44" s="257"/>
      <c r="D44" s="257"/>
      <c r="E44" s="257"/>
      <c r="F44" s="257"/>
      <c r="G44" s="257"/>
      <c r="H44" s="257"/>
      <c r="I44" s="257"/>
    </row>
    <row r="45" spans="1:9" ht="15.75" customHeight="1"/>
    <row r="46" spans="1:9" ht="15.75" customHeight="1">
      <c r="D46" s="252" t="s">
        <v>361</v>
      </c>
      <c r="E46" s="253" t="s">
        <v>1000</v>
      </c>
    </row>
    <row r="47" spans="1:9" ht="15.75" customHeight="1">
      <c r="D47" s="254" t="s">
        <v>839</v>
      </c>
      <c r="E47" s="255">
        <v>100</v>
      </c>
    </row>
    <row r="48" spans="1:9" ht="15.75" customHeight="1"/>
    <row r="49" spans="1:9" ht="15.75" customHeight="1">
      <c r="C49" s="248" t="s">
        <v>1082</v>
      </c>
      <c r="D49" s="250">
        <f>DSUM(A4:H20,"Value Of Stock",D46:E47)</f>
        <v>52.5</v>
      </c>
      <c r="E49" s="228" t="s">
        <v>1083</v>
      </c>
    </row>
    <row r="50" spans="1:9" ht="15.75" customHeight="1"/>
    <row r="51" spans="1:9" ht="15.75" customHeight="1">
      <c r="A51" s="256" t="s">
        <v>1084</v>
      </c>
      <c r="B51" s="257"/>
      <c r="C51" s="257"/>
      <c r="D51" s="257"/>
      <c r="E51" s="257"/>
      <c r="F51" s="257"/>
      <c r="G51" s="257"/>
      <c r="H51" s="257"/>
      <c r="I51" s="257"/>
    </row>
    <row r="52" spans="1:9" ht="15.75" customHeight="1"/>
    <row r="53" spans="1:9" ht="15.75" customHeight="1">
      <c r="D53" s="252" t="s">
        <v>361</v>
      </c>
      <c r="E53" s="253" t="s">
        <v>1000</v>
      </c>
    </row>
    <row r="54" spans="1:9" ht="15.75" customHeight="1">
      <c r="D54" s="254" t="s">
        <v>839</v>
      </c>
      <c r="E54" s="255" t="s">
        <v>1025</v>
      </c>
    </row>
    <row r="55" spans="1:9" ht="15.75" customHeight="1"/>
    <row r="56" spans="1:9" ht="15.75" customHeight="1">
      <c r="C56" s="248" t="s">
        <v>1082</v>
      </c>
      <c r="D56" s="250">
        <f>DSUM(A4:H20,"Value Of Stock",D53:E54)</f>
        <v>56</v>
      </c>
      <c r="E56" s="228" t="s">
        <v>1085</v>
      </c>
    </row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J1000"/>
  <sheetViews>
    <sheetView topLeftCell="A13" workbookViewId="0">
      <selection sqref="A1:G1"/>
    </sheetView>
  </sheetViews>
  <sheetFormatPr defaultColWidth="14.42578125" defaultRowHeight="15" customHeight="1"/>
  <cols>
    <col min="1" max="2" width="12.42578125" customWidth="1"/>
    <col min="3" max="3" width="15.5703125" customWidth="1"/>
    <col min="4" max="4" width="14.85546875" customWidth="1"/>
    <col min="5" max="26" width="8" customWidth="1"/>
  </cols>
  <sheetData>
    <row r="1" spans="1:10" ht="18.75" customHeight="1">
      <c r="A1" s="310" t="s">
        <v>1086</v>
      </c>
      <c r="B1" s="311"/>
      <c r="C1" s="311"/>
      <c r="D1" s="311"/>
      <c r="E1" s="311"/>
      <c r="F1" s="311"/>
      <c r="G1" s="311"/>
      <c r="H1" s="16"/>
      <c r="I1" s="16"/>
      <c r="J1" s="16"/>
    </row>
    <row r="2" spans="1:10">
      <c r="A2" s="313" t="s">
        <v>1087</v>
      </c>
      <c r="B2" s="311"/>
      <c r="C2" s="311"/>
      <c r="D2" s="311"/>
      <c r="E2" s="311"/>
      <c r="F2" s="311"/>
      <c r="G2" s="311"/>
      <c r="H2" s="14"/>
      <c r="I2" s="14"/>
      <c r="J2" s="14"/>
    </row>
    <row r="4" spans="1:10">
      <c r="A4" s="112" t="s">
        <v>1088</v>
      </c>
      <c r="B4" s="112" t="s">
        <v>1089</v>
      </c>
      <c r="C4" s="112" t="s">
        <v>1090</v>
      </c>
    </row>
    <row r="5" spans="1:10">
      <c r="A5" s="65" t="s">
        <v>1091</v>
      </c>
      <c r="B5" s="65" t="s">
        <v>1092</v>
      </c>
      <c r="C5" s="66">
        <f t="shared" ref="C5:C8" si="0">FIND(B5,A5)</f>
        <v>2</v>
      </c>
      <c r="D5" s="270" t="s">
        <v>1093</v>
      </c>
      <c r="G5" s="6" t="e">
        <f>FIND(A5,"E")</f>
        <v>#VALUE!</v>
      </c>
    </row>
    <row r="6" spans="1:10">
      <c r="A6" s="65" t="s">
        <v>1091</v>
      </c>
      <c r="B6" s="65" t="s">
        <v>929</v>
      </c>
      <c r="C6" s="66">
        <f t="shared" si="0"/>
        <v>1</v>
      </c>
      <c r="D6" s="270" t="s">
        <v>1094</v>
      </c>
    </row>
    <row r="7" spans="1:10">
      <c r="A7" s="65" t="s">
        <v>1091</v>
      </c>
      <c r="B7" s="65" t="s">
        <v>1095</v>
      </c>
      <c r="C7" s="66">
        <f t="shared" si="0"/>
        <v>5</v>
      </c>
      <c r="D7" s="270" t="s">
        <v>1096</v>
      </c>
    </row>
    <row r="8" spans="1:10">
      <c r="A8" s="65" t="s">
        <v>1097</v>
      </c>
      <c r="B8" s="65" t="s">
        <v>1098</v>
      </c>
      <c r="C8" s="66">
        <f t="shared" si="0"/>
        <v>3</v>
      </c>
      <c r="D8" s="270" t="s">
        <v>1099</v>
      </c>
    </row>
    <row r="9" spans="1:10">
      <c r="A9" s="65" t="s">
        <v>1097</v>
      </c>
      <c r="B9" s="65" t="s">
        <v>1098</v>
      </c>
      <c r="C9" s="66">
        <f>FIND(B9,A9,6)</f>
        <v>11</v>
      </c>
      <c r="D9" s="270" t="s">
        <v>1100</v>
      </c>
    </row>
    <row r="10" spans="1:10">
      <c r="A10" s="65" t="s">
        <v>1097</v>
      </c>
      <c r="B10" s="65" t="s">
        <v>1101</v>
      </c>
      <c r="C10" s="66" t="e">
        <f>FIND(B10,A10)</f>
        <v>#VALUE!</v>
      </c>
      <c r="D10" s="270" t="s">
        <v>1102</v>
      </c>
    </row>
    <row r="13" spans="1:10">
      <c r="A13" s="112" t="s">
        <v>1103</v>
      </c>
      <c r="C13" s="271" t="s">
        <v>1104</v>
      </c>
      <c r="D13" s="66">
        <f>LARGE(A14:A18,1)</f>
        <v>800</v>
      </c>
      <c r="E13" s="228" t="s">
        <v>1105</v>
      </c>
    </row>
    <row r="14" spans="1:10">
      <c r="A14" s="65">
        <v>120</v>
      </c>
      <c r="C14" s="271" t="s">
        <v>1106</v>
      </c>
      <c r="D14" s="66">
        <f>LARGE(A14:A18,2)</f>
        <v>250</v>
      </c>
      <c r="E14" s="228" t="s">
        <v>1107</v>
      </c>
    </row>
    <row r="15" spans="1:10">
      <c r="A15" s="65">
        <v>800</v>
      </c>
      <c r="C15" s="271" t="s">
        <v>1108</v>
      </c>
      <c r="D15" s="66">
        <f>LARGE(A14:A18,3)</f>
        <v>120</v>
      </c>
      <c r="E15" s="228" t="s">
        <v>1109</v>
      </c>
    </row>
    <row r="16" spans="1:10">
      <c r="A16" s="65">
        <v>100</v>
      </c>
      <c r="C16" s="271" t="s">
        <v>1110</v>
      </c>
      <c r="D16" s="66">
        <f>LARGE(A14:A18,4)</f>
        <v>120</v>
      </c>
      <c r="E16" s="228" t="s">
        <v>1111</v>
      </c>
    </row>
    <row r="17" spans="1:8">
      <c r="A17" s="65">
        <v>120</v>
      </c>
      <c r="C17" s="271" t="s">
        <v>1112</v>
      </c>
      <c r="D17" s="66">
        <f>LARGE(A14:A18,5)</f>
        <v>100</v>
      </c>
      <c r="E17" s="228" t="s">
        <v>1113</v>
      </c>
    </row>
    <row r="18" spans="1:8">
      <c r="A18" s="65">
        <v>250</v>
      </c>
    </row>
    <row r="20" spans="1:8" ht="15.75" customHeight="1">
      <c r="A20" s="229" t="s">
        <v>1032</v>
      </c>
      <c r="B20" s="229"/>
      <c r="C20" s="229"/>
      <c r="D20" s="229"/>
      <c r="E20" s="229"/>
      <c r="F20" s="229"/>
      <c r="G20" s="229"/>
      <c r="H20" s="229"/>
    </row>
    <row r="21" spans="1:8" ht="15.75" customHeight="1">
      <c r="A21" s="6" t="s">
        <v>1114</v>
      </c>
    </row>
    <row r="22" spans="1:8" ht="15.75" customHeight="1">
      <c r="A22" s="6" t="s">
        <v>1115</v>
      </c>
    </row>
    <row r="23" spans="1:8" ht="15.75" customHeight="1"/>
    <row r="24" spans="1:8" ht="15.75" customHeight="1">
      <c r="A24" s="229" t="s">
        <v>969</v>
      </c>
      <c r="B24" s="229"/>
      <c r="C24" s="229"/>
      <c r="D24" s="229"/>
      <c r="E24" s="229"/>
      <c r="F24" s="229"/>
      <c r="G24" s="229"/>
      <c r="H24" s="229"/>
    </row>
    <row r="25" spans="1:8" ht="15.75" customHeight="1">
      <c r="A25" s="261" t="s">
        <v>1116</v>
      </c>
    </row>
    <row r="26" spans="1:8" ht="15.75" customHeight="1"/>
    <row r="27" spans="1:8" ht="15.75" customHeight="1">
      <c r="A27" s="229" t="s">
        <v>987</v>
      </c>
      <c r="B27" s="229"/>
      <c r="C27" s="229"/>
      <c r="D27" s="229"/>
      <c r="E27" s="229"/>
      <c r="F27" s="229"/>
      <c r="G27" s="229"/>
      <c r="H27" s="229"/>
    </row>
    <row r="28" spans="1:8" ht="15.75" customHeight="1">
      <c r="A28" s="6" t="s">
        <v>988</v>
      </c>
    </row>
    <row r="29" spans="1:8" ht="15.75" customHeight="1"/>
    <row r="30" spans="1:8" ht="15.75" customHeight="1">
      <c r="A30" s="229" t="s">
        <v>1117</v>
      </c>
      <c r="B30" s="229"/>
      <c r="C30" s="229"/>
      <c r="D30" s="229"/>
      <c r="E30" s="229"/>
      <c r="F30" s="229"/>
      <c r="G30" s="229"/>
      <c r="H30" s="229"/>
    </row>
    <row r="31" spans="1:8" ht="15.75" customHeight="1">
      <c r="A31" s="6" t="s">
        <v>1118</v>
      </c>
    </row>
    <row r="32" spans="1:8" ht="15.75" customHeight="1"/>
    <row r="33" spans="1:8" ht="15.75" customHeight="1">
      <c r="B33" s="112" t="s">
        <v>320</v>
      </c>
      <c r="C33" s="112" t="s">
        <v>298</v>
      </c>
      <c r="D33" s="112" t="s">
        <v>432</v>
      </c>
      <c r="E33" s="112" t="s">
        <v>300</v>
      </c>
    </row>
    <row r="34" spans="1:8" ht="15.75" customHeight="1">
      <c r="B34" s="112" t="s">
        <v>433</v>
      </c>
      <c r="C34" s="272">
        <v>5000</v>
      </c>
      <c r="D34" s="272">
        <v>6000</v>
      </c>
      <c r="E34" s="272">
        <v>4500</v>
      </c>
    </row>
    <row r="35" spans="1:8" ht="15.75" customHeight="1">
      <c r="B35" s="112" t="s">
        <v>434</v>
      </c>
      <c r="C35" s="272">
        <v>5800</v>
      </c>
      <c r="D35" s="272">
        <v>7000</v>
      </c>
      <c r="E35" s="272">
        <v>3000</v>
      </c>
    </row>
    <row r="36" spans="1:8" ht="15.75" customHeight="1">
      <c r="B36" s="112" t="s">
        <v>435</v>
      </c>
      <c r="C36" s="272">
        <v>3500</v>
      </c>
      <c r="D36" s="272">
        <v>2000</v>
      </c>
      <c r="E36" s="272">
        <v>10000</v>
      </c>
    </row>
    <row r="37" spans="1:8" ht="15.75" customHeight="1">
      <c r="B37" s="112" t="s">
        <v>436</v>
      </c>
      <c r="C37" s="272">
        <v>12000</v>
      </c>
      <c r="D37" s="272">
        <v>4000</v>
      </c>
      <c r="E37" s="272">
        <v>6000</v>
      </c>
    </row>
    <row r="38" spans="1:8" ht="15.75" customHeight="1"/>
    <row r="39" spans="1:8" ht="15.75" customHeight="1">
      <c r="B39" s="273"/>
      <c r="C39" s="274" t="s">
        <v>1104</v>
      </c>
      <c r="D39" s="275">
        <f>LARGE(C34:E37,1)</f>
        <v>12000</v>
      </c>
      <c r="E39" s="228" t="s">
        <v>1119</v>
      </c>
    </row>
    <row r="40" spans="1:8" ht="15.75" customHeight="1">
      <c r="B40" s="273"/>
      <c r="C40" s="274" t="s">
        <v>1106</v>
      </c>
      <c r="D40" s="275">
        <f>LARGE(C34:E37,2)</f>
        <v>10000</v>
      </c>
      <c r="E40" s="228" t="s">
        <v>1120</v>
      </c>
    </row>
    <row r="41" spans="1:8" ht="15.75" customHeight="1">
      <c r="B41" s="273"/>
      <c r="C41" s="274" t="s">
        <v>1108</v>
      </c>
      <c r="D41" s="275">
        <f>LARGE(C34:E37,3)</f>
        <v>7000</v>
      </c>
      <c r="E41" s="228" t="s">
        <v>1121</v>
      </c>
    </row>
    <row r="42" spans="1:8" ht="15.75" customHeight="1"/>
    <row r="43" spans="1:8" ht="15.75" customHeight="1">
      <c r="A43" s="229" t="s">
        <v>1122</v>
      </c>
      <c r="B43" s="229"/>
      <c r="C43" s="229"/>
      <c r="D43" s="229"/>
      <c r="E43" s="229"/>
      <c r="F43" s="229"/>
      <c r="G43" s="229"/>
      <c r="H43" s="229"/>
    </row>
    <row r="44" spans="1:8" ht="15.75" customHeight="1">
      <c r="A44" s="6" t="s">
        <v>1123</v>
      </c>
    </row>
    <row r="45" spans="1:8" ht="15.75" customHeight="1">
      <c r="A45" s="6" t="s">
        <v>1124</v>
      </c>
    </row>
    <row r="46" spans="1:8" ht="15.75" customHeight="1"/>
    <row r="47" spans="1:8" ht="15.75" customHeight="1">
      <c r="C47" s="112" t="s">
        <v>1125</v>
      </c>
      <c r="D47" s="275">
        <f>MAX(C34:E37)</f>
        <v>12000</v>
      </c>
      <c r="E47" s="228" t="s">
        <v>1126</v>
      </c>
    </row>
    <row r="48" spans="1:8" ht="15.75" customHeight="1">
      <c r="C48" s="112" t="s">
        <v>1127</v>
      </c>
      <c r="D48" s="275">
        <f>MIN(C34:E37)</f>
        <v>2000</v>
      </c>
      <c r="E48" s="228" t="s">
        <v>1128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10" zoomScale="85" zoomScaleNormal="85" workbookViewId="0">
      <selection activeCell="D5" sqref="D5"/>
    </sheetView>
  </sheetViews>
  <sheetFormatPr defaultColWidth="14.42578125" defaultRowHeight="15" customHeight="1"/>
  <cols>
    <col min="1" max="1" width="13.140625" customWidth="1"/>
    <col min="2" max="2" width="21" customWidth="1"/>
    <col min="3" max="3" width="25.28515625" customWidth="1"/>
    <col min="4" max="26" width="8" customWidth="1"/>
  </cols>
  <sheetData>
    <row r="1" spans="1:7" ht="18.75" customHeight="1">
      <c r="A1" s="310" t="s">
        <v>1129</v>
      </c>
      <c r="B1" s="311"/>
      <c r="C1" s="311"/>
      <c r="D1" s="311"/>
      <c r="E1" s="311"/>
      <c r="F1" s="311"/>
      <c r="G1" s="16"/>
    </row>
    <row r="2" spans="1:7">
      <c r="A2" s="313" t="s">
        <v>1130</v>
      </c>
      <c r="B2" s="311"/>
      <c r="C2" s="311"/>
      <c r="D2" s="311"/>
      <c r="E2" s="311"/>
      <c r="F2" s="311"/>
      <c r="G2" s="311"/>
    </row>
    <row r="3" spans="1:7">
      <c r="B3" s="74" t="s">
        <v>1131</v>
      </c>
    </row>
    <row r="4" spans="1:7" ht="26.25" customHeight="1">
      <c r="A4" s="112" t="s">
        <v>1088</v>
      </c>
      <c r="B4" s="276" t="s">
        <v>1132</v>
      </c>
      <c r="C4" s="112" t="s">
        <v>1133</v>
      </c>
    </row>
    <row r="5" spans="1:7">
      <c r="A5" s="65" t="s">
        <v>1134</v>
      </c>
      <c r="B5" s="65">
        <v>1</v>
      </c>
      <c r="C5" s="66" t="str">
        <f t="shared" ref="C5:C9" si="0">LEFT(A5,B5)</f>
        <v>A</v>
      </c>
      <c r="D5" s="228"/>
    </row>
    <row r="6" spans="1:7">
      <c r="A6" s="65" t="s">
        <v>1134</v>
      </c>
      <c r="B6" s="65">
        <v>2</v>
      </c>
      <c r="C6" s="66" t="str">
        <f t="shared" si="0"/>
        <v>Al</v>
      </c>
      <c r="D6" s="228"/>
    </row>
    <row r="7" spans="1:7">
      <c r="A7" s="65" t="s">
        <v>1134</v>
      </c>
      <c r="B7" s="65">
        <v>3</v>
      </c>
      <c r="C7" s="66" t="str">
        <f t="shared" si="0"/>
        <v>Ala</v>
      </c>
      <c r="D7" s="228"/>
    </row>
    <row r="8" spans="1:7">
      <c r="A8" s="65" t="s">
        <v>1135</v>
      </c>
      <c r="B8" s="65">
        <v>6</v>
      </c>
      <c r="C8" s="66" t="str">
        <f t="shared" si="0"/>
        <v>Cardif</v>
      </c>
      <c r="D8" s="228"/>
    </row>
    <row r="9" spans="1:7">
      <c r="A9" s="65" t="s">
        <v>1136</v>
      </c>
      <c r="B9" s="65">
        <v>4</v>
      </c>
      <c r="C9" s="66" t="str">
        <f t="shared" si="0"/>
        <v>ABC1</v>
      </c>
      <c r="D9" s="228"/>
    </row>
    <row r="10" spans="1:7">
      <c r="A10" s="277"/>
      <c r="B10" s="277"/>
      <c r="C10" s="278"/>
      <c r="D10" s="228"/>
    </row>
    <row r="11" spans="1:7">
      <c r="B11" s="74" t="s">
        <v>1137</v>
      </c>
    </row>
    <row r="12" spans="1:7">
      <c r="A12" s="112" t="s">
        <v>229</v>
      </c>
      <c r="B12" s="112" t="s">
        <v>198</v>
      </c>
    </row>
    <row r="13" spans="1:7">
      <c r="A13" s="65" t="s">
        <v>1134</v>
      </c>
      <c r="B13" s="66" t="str">
        <f t="shared" ref="B13:B15" si="1">LEFT(A13,FIND(" ",A13)-1)</f>
        <v>Alan</v>
      </c>
      <c r="C13" s="228"/>
    </row>
    <row r="14" spans="1:7">
      <c r="A14" s="65" t="s">
        <v>1138</v>
      </c>
      <c r="B14" s="66" t="str">
        <f t="shared" si="1"/>
        <v>Bob</v>
      </c>
      <c r="C14" s="228"/>
    </row>
    <row r="15" spans="1:7">
      <c r="A15" s="65" t="s">
        <v>1139</v>
      </c>
      <c r="B15" s="66" t="str">
        <f t="shared" si="1"/>
        <v>Carol</v>
      </c>
      <c r="C15" s="228"/>
    </row>
    <row r="17" spans="1:3">
      <c r="B17" s="74" t="s">
        <v>1140</v>
      </c>
    </row>
    <row r="18" spans="1:3">
      <c r="A18" s="112" t="s">
        <v>1088</v>
      </c>
      <c r="B18" s="112" t="s">
        <v>1141</v>
      </c>
    </row>
    <row r="19" spans="1:3">
      <c r="A19" s="65" t="s">
        <v>1134</v>
      </c>
      <c r="B19" s="66">
        <f>LEN(A19)</f>
        <v>10</v>
      </c>
      <c r="C19" s="228"/>
    </row>
    <row r="20" spans="1:3">
      <c r="A20" s="65" t="s">
        <v>1138</v>
      </c>
      <c r="B20" s="66" t="s">
        <v>139</v>
      </c>
      <c r="C20" s="228"/>
    </row>
    <row r="21" spans="1:3" ht="15.75" customHeight="1">
      <c r="A21" s="65" t="s">
        <v>1139</v>
      </c>
      <c r="B21" s="66" t="s">
        <v>139</v>
      </c>
      <c r="C21" s="228"/>
    </row>
    <row r="22" spans="1:3" ht="15.75" customHeight="1">
      <c r="A22" s="65" t="s">
        <v>1135</v>
      </c>
      <c r="B22" s="66" t="s">
        <v>139</v>
      </c>
      <c r="C22" s="228"/>
    </row>
    <row r="23" spans="1:3" ht="15.75" customHeight="1">
      <c r="A23" s="65" t="s">
        <v>1136</v>
      </c>
      <c r="B23" s="66" t="s">
        <v>139</v>
      </c>
      <c r="C23" s="228"/>
    </row>
    <row r="24" spans="1:3" ht="15.75" customHeight="1"/>
    <row r="25" spans="1:3" ht="15.75" customHeight="1">
      <c r="B25" s="279" t="s">
        <v>1142</v>
      </c>
    </row>
    <row r="26" spans="1:3" ht="15.75" customHeight="1">
      <c r="A26" s="112" t="s">
        <v>1143</v>
      </c>
      <c r="B26" s="112" t="s">
        <v>1144</v>
      </c>
    </row>
    <row r="27" spans="1:3" ht="15.75" customHeight="1">
      <c r="A27" s="65" t="s">
        <v>1145</v>
      </c>
      <c r="B27" s="66" t="str">
        <f>LOWER(A27)</f>
        <v>alan jones</v>
      </c>
      <c r="C27" s="228"/>
    </row>
    <row r="28" spans="1:3" ht="15.75" customHeight="1">
      <c r="A28" s="65" t="s">
        <v>1146</v>
      </c>
      <c r="B28" s="66" t="s">
        <v>139</v>
      </c>
      <c r="C28" s="228"/>
    </row>
    <row r="29" spans="1:3" ht="15.75" customHeight="1">
      <c r="A29" s="65" t="s">
        <v>1147</v>
      </c>
      <c r="B29" s="66" t="s">
        <v>139</v>
      </c>
      <c r="C29" s="228"/>
    </row>
    <row r="30" spans="1:3" ht="15.75" customHeight="1">
      <c r="A30" s="65" t="s">
        <v>1148</v>
      </c>
      <c r="B30" s="66" t="s">
        <v>139</v>
      </c>
      <c r="C30" s="228"/>
    </row>
    <row r="31" spans="1:3" ht="15.75" customHeight="1">
      <c r="A31" s="65" t="s">
        <v>1136</v>
      </c>
      <c r="B31" s="66" t="s">
        <v>139</v>
      </c>
      <c r="C31" s="228"/>
    </row>
    <row r="32" spans="1:3" ht="15.75" customHeight="1"/>
    <row r="33" spans="1:4" ht="15.75" customHeight="1">
      <c r="B33" s="279" t="s">
        <v>1149</v>
      </c>
    </row>
    <row r="34" spans="1:4" ht="15.75" customHeight="1"/>
    <row r="35" spans="1:4" ht="15.75" customHeight="1">
      <c r="A35" s="112" t="s">
        <v>232</v>
      </c>
      <c r="B35" s="112" t="s">
        <v>1150</v>
      </c>
      <c r="C35" s="112" t="s">
        <v>1151</v>
      </c>
    </row>
    <row r="36" spans="1:4" ht="15.75" customHeight="1">
      <c r="A36" s="227">
        <v>35855</v>
      </c>
      <c r="B36" s="227">
        <v>35861</v>
      </c>
      <c r="C36" s="66">
        <f t="shared" ref="C36:C38" si="2">NETWORKDAYS(A36,B36)</f>
        <v>5</v>
      </c>
      <c r="D36" s="270"/>
    </row>
    <row r="37" spans="1:4" ht="15.75" customHeight="1">
      <c r="A37" s="227">
        <v>35910</v>
      </c>
      <c r="B37" s="227">
        <v>36006</v>
      </c>
      <c r="C37" s="66">
        <f t="shared" si="2"/>
        <v>69</v>
      </c>
      <c r="D37" s="270"/>
    </row>
    <row r="38" spans="1:4" ht="15.75" customHeight="1">
      <c r="A38" s="227">
        <v>36153</v>
      </c>
      <c r="B38" s="227">
        <v>36165</v>
      </c>
      <c r="C38" s="66">
        <f t="shared" si="2"/>
        <v>9</v>
      </c>
      <c r="D38" s="270"/>
    </row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G2"/>
  </mergeCell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B4" sqref="B4"/>
    </sheetView>
  </sheetViews>
  <sheetFormatPr defaultColWidth="14.42578125" defaultRowHeight="15" customHeight="1"/>
  <cols>
    <col min="1" max="1" width="17.140625" customWidth="1"/>
    <col min="2" max="2" width="17.42578125" customWidth="1"/>
    <col min="3" max="3" width="11.28515625" customWidth="1"/>
    <col min="4" max="4" width="9.28515625" customWidth="1"/>
    <col min="5" max="26" width="8" customWidth="1"/>
  </cols>
  <sheetData>
    <row r="1" spans="1:12" ht="18.75" customHeight="1">
      <c r="A1" s="310" t="s">
        <v>1152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</row>
    <row r="2" spans="1:12">
      <c r="A2" s="313" t="s">
        <v>1153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</row>
    <row r="3" spans="1:12">
      <c r="A3" s="17"/>
      <c r="B3" s="17"/>
      <c r="C3" s="17"/>
      <c r="D3" s="17"/>
      <c r="E3" s="17"/>
      <c r="F3" s="17"/>
      <c r="G3" s="17"/>
    </row>
    <row r="4" spans="1:12">
      <c r="B4" s="74" t="s">
        <v>1154</v>
      </c>
    </row>
    <row r="5" spans="1:12">
      <c r="A5" s="290" t="s">
        <v>1155</v>
      </c>
      <c r="B5" s="290" t="s">
        <v>1156</v>
      </c>
      <c r="C5" s="290" t="s">
        <v>168</v>
      </c>
    </row>
    <row r="6" spans="1:12">
      <c r="A6" s="65">
        <v>3</v>
      </c>
      <c r="B6" s="65">
        <v>2</v>
      </c>
      <c r="C6" s="66">
        <f>POWER(A6,B6)</f>
        <v>9</v>
      </c>
      <c r="D6" s="228"/>
    </row>
    <row r="7" spans="1:12">
      <c r="A7" s="65">
        <v>3</v>
      </c>
      <c r="B7" s="65">
        <v>4</v>
      </c>
      <c r="C7" s="66">
        <f>POWER(A7,B7)</f>
        <v>81</v>
      </c>
      <c r="D7" s="228"/>
    </row>
    <row r="8" spans="1:12">
      <c r="A8" s="65">
        <v>5</v>
      </c>
      <c r="B8" s="65">
        <v>2</v>
      </c>
      <c r="C8" s="66">
        <f>POWER(A8,B8)</f>
        <v>25</v>
      </c>
      <c r="D8" s="228"/>
    </row>
    <row r="9" spans="1:12">
      <c r="A9" s="65">
        <v>5</v>
      </c>
      <c r="B9" s="65">
        <v>4</v>
      </c>
      <c r="C9" s="66">
        <f>POWER(A9,B9)</f>
        <v>625</v>
      </c>
      <c r="D9" s="228"/>
    </row>
    <row r="11" spans="1:12">
      <c r="B11" s="74" t="s">
        <v>1157</v>
      </c>
    </row>
    <row r="12" spans="1:12">
      <c r="A12" s="348" t="s">
        <v>1158</v>
      </c>
      <c r="B12" s="349"/>
      <c r="C12" s="290" t="s">
        <v>361</v>
      </c>
    </row>
    <row r="13" spans="1:12">
      <c r="A13" s="65">
        <v>2</v>
      </c>
      <c r="B13" s="65">
        <v>3</v>
      </c>
      <c r="C13" s="66">
        <f>PRODUCT(A13,B13)</f>
        <v>6</v>
      </c>
      <c r="D13" s="228"/>
    </row>
    <row r="14" spans="1:12">
      <c r="A14" s="65">
        <v>5</v>
      </c>
      <c r="B14" s="65">
        <v>10</v>
      </c>
      <c r="C14" s="66">
        <f>PRODUCT(A14,B14)</f>
        <v>50</v>
      </c>
      <c r="D14" s="228"/>
    </row>
    <row r="15" spans="1:12">
      <c r="A15" s="65">
        <v>3</v>
      </c>
      <c r="B15" s="65">
        <v>7</v>
      </c>
      <c r="C15" s="66">
        <f>PRODUCT(A15,B15)</f>
        <v>21</v>
      </c>
      <c r="D15" s="228"/>
    </row>
    <row r="16" spans="1:12">
      <c r="C16" s="66">
        <f>PRODUCT(A13:B15)</f>
        <v>6300</v>
      </c>
      <c r="D16" s="228"/>
    </row>
    <row r="18" spans="1:4">
      <c r="B18" s="74" t="s">
        <v>1159</v>
      </c>
    </row>
    <row r="19" spans="1:4">
      <c r="A19" s="290" t="s">
        <v>1160</v>
      </c>
      <c r="B19" s="290" t="s">
        <v>1161</v>
      </c>
    </row>
    <row r="20" spans="1:4">
      <c r="A20" s="65" t="s">
        <v>1199</v>
      </c>
      <c r="B20" s="66" t="str">
        <f>PROPER(A20)</f>
        <v>Kanchan</v>
      </c>
      <c r="C20" s="228"/>
    </row>
    <row r="21" spans="1:4" ht="15.75" customHeight="1">
      <c r="A21" s="65" t="s">
        <v>1200</v>
      </c>
      <c r="B21" s="66" t="str">
        <f>PROPER(A21)</f>
        <v>Anjali</v>
      </c>
      <c r="C21" s="228"/>
    </row>
    <row r="22" spans="1:4" ht="15.75" customHeight="1">
      <c r="A22" s="65" t="s">
        <v>1201</v>
      </c>
      <c r="B22" s="66" t="str">
        <f>PROPER(A22)</f>
        <v>Tanisha</v>
      </c>
      <c r="C22" s="228"/>
    </row>
    <row r="23" spans="1:4" ht="15.75" customHeight="1">
      <c r="A23" s="65" t="s">
        <v>1202</v>
      </c>
      <c r="B23" s="66" t="str">
        <f>PROPER(A23)</f>
        <v>Kumkum</v>
      </c>
      <c r="C23" s="228"/>
    </row>
    <row r="24" spans="1:4" ht="15.75" customHeight="1">
      <c r="A24" s="65" t="s">
        <v>1203</v>
      </c>
      <c r="B24" s="66" t="str">
        <f>PROPER(A24)</f>
        <v>Shama</v>
      </c>
      <c r="C24" s="228"/>
    </row>
    <row r="25" spans="1:4" ht="15.75" customHeight="1"/>
    <row r="26" spans="1:4" ht="15.75" customHeight="1">
      <c r="B26" s="74" t="s">
        <v>1162</v>
      </c>
    </row>
    <row r="27" spans="1:4" ht="26.25" customHeight="1">
      <c r="A27" s="291" t="s">
        <v>1163</v>
      </c>
      <c r="B27" s="291" t="s">
        <v>1164</v>
      </c>
      <c r="C27" s="291" t="s">
        <v>1165</v>
      </c>
    </row>
    <row r="28" spans="1:4" ht="15.75" customHeight="1">
      <c r="A28" s="65" t="s">
        <v>543</v>
      </c>
      <c r="B28" s="65">
        <v>3</v>
      </c>
      <c r="C28" s="66" t="str">
        <f>REPT(A28,B28)</f>
        <v>AAA</v>
      </c>
      <c r="D28" s="228"/>
    </row>
    <row r="29" spans="1:4" ht="15.75" customHeight="1">
      <c r="A29" s="65" t="s">
        <v>1166</v>
      </c>
      <c r="B29" s="65">
        <v>3</v>
      </c>
      <c r="C29" s="66" t="str">
        <f>REPT(A29,B29)</f>
        <v>ABABAB</v>
      </c>
      <c r="D29" s="228"/>
    </row>
    <row r="30" spans="1:4" ht="15.75" customHeight="1">
      <c r="A30" s="65" t="s">
        <v>1167</v>
      </c>
      <c r="B30" s="65">
        <v>10</v>
      </c>
      <c r="C30" s="66" t="str">
        <f>REPT(A30,B30)</f>
        <v>----------</v>
      </c>
      <c r="D30" s="228"/>
    </row>
    <row r="31" spans="1:4" ht="15.75" customHeight="1">
      <c r="A31" s="65" t="s">
        <v>1168</v>
      </c>
      <c r="B31" s="65">
        <v>10</v>
      </c>
      <c r="C31" s="66" t="str">
        <f>REPT(A31,B31)</f>
        <v>||||||||||</v>
      </c>
      <c r="D31" s="228"/>
    </row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2:B12"/>
    <mergeCell ref="A1:L1"/>
    <mergeCell ref="A2:L2"/>
  </mergeCells>
  <pageMargins left="0.7" right="0.7" top="0.75" bottom="0.75" header="0" footer="0"/>
  <pageSetup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0" workbookViewId="0">
      <selection activeCell="L25" sqref="L25"/>
    </sheetView>
  </sheetViews>
  <sheetFormatPr defaultColWidth="14.42578125" defaultRowHeight="15" customHeight="1"/>
  <cols>
    <col min="1" max="1" width="10.140625" customWidth="1"/>
    <col min="2" max="2" width="10.42578125" customWidth="1"/>
    <col min="3" max="26" width="8" customWidth="1"/>
  </cols>
  <sheetData>
    <row r="1" spans="1:14" ht="18.75" customHeight="1">
      <c r="A1" s="310" t="s">
        <v>1169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4">
      <c r="A2" s="313" t="s">
        <v>1170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</row>
    <row r="4" spans="1:14" ht="64.5" customHeight="1">
      <c r="A4" s="293" t="s">
        <v>1171</v>
      </c>
      <c r="B4" s="293" t="s">
        <v>1132</v>
      </c>
      <c r="C4" s="293" t="s">
        <v>1172</v>
      </c>
    </row>
    <row r="5" spans="1:14">
      <c r="A5" s="292" t="s">
        <v>1202</v>
      </c>
      <c r="B5" s="65">
        <v>1</v>
      </c>
      <c r="C5" s="66" t="str">
        <f>RIGHT(A5,B5)</f>
        <v>m</v>
      </c>
      <c r="D5" s="228"/>
    </row>
    <row r="6" spans="1:14">
      <c r="A6" s="292" t="s">
        <v>1201</v>
      </c>
      <c r="B6" s="65">
        <v>2</v>
      </c>
      <c r="C6" s="66" t="str">
        <f>RIGHT(A6,B6)</f>
        <v>ha</v>
      </c>
      <c r="D6" s="228"/>
    </row>
    <row r="7" spans="1:14">
      <c r="A7" s="292" t="s">
        <v>1204</v>
      </c>
      <c r="B7" s="65">
        <v>3</v>
      </c>
      <c r="C7" s="66" t="str">
        <f>RIGHT(A7,B7)</f>
        <v>rul</v>
      </c>
      <c r="D7" s="228"/>
    </row>
    <row r="8" spans="1:14">
      <c r="A8" s="292" t="s">
        <v>1203</v>
      </c>
      <c r="B8" s="65">
        <v>6</v>
      </c>
      <c r="C8" s="66" t="str">
        <f>RIGHT(A8,B8)</f>
        <v>shama</v>
      </c>
      <c r="D8" s="228"/>
    </row>
    <row r="9" spans="1:14">
      <c r="A9" s="65" t="s">
        <v>1136</v>
      </c>
      <c r="B9" s="65">
        <v>4</v>
      </c>
      <c r="C9" s="66" t="str">
        <f>RIGHT(A9,B9)</f>
        <v>C123</v>
      </c>
      <c r="D9" s="228"/>
    </row>
    <row r="11" spans="1:14">
      <c r="A11" s="74" t="s">
        <v>1173</v>
      </c>
      <c r="D11" s="302"/>
    </row>
    <row r="12" spans="1:14">
      <c r="A12" s="290" t="s">
        <v>1155</v>
      </c>
      <c r="B12" s="290" t="s">
        <v>1174</v>
      </c>
    </row>
    <row r="13" spans="1:14">
      <c r="A13" s="280">
        <v>1</v>
      </c>
      <c r="B13" s="66" t="str">
        <f>ROMAN(A13)</f>
        <v>I</v>
      </c>
      <c r="C13" s="228"/>
    </row>
    <row r="14" spans="1:14">
      <c r="A14" s="280">
        <v>2</v>
      </c>
      <c r="B14" s="66" t="str">
        <f t="shared" ref="B14:B25" si="0">ROMAN(A14)</f>
        <v>II</v>
      </c>
      <c r="C14" s="228"/>
    </row>
    <row r="15" spans="1:14">
      <c r="A15" s="280">
        <v>3</v>
      </c>
      <c r="B15" s="66" t="str">
        <f t="shared" si="0"/>
        <v>III</v>
      </c>
      <c r="C15" s="228"/>
    </row>
    <row r="16" spans="1:14">
      <c r="A16" s="280">
        <v>5</v>
      </c>
      <c r="B16" s="66" t="str">
        <f t="shared" si="0"/>
        <v>V</v>
      </c>
      <c r="C16" s="228"/>
      <c r="E16" s="74" t="s">
        <v>1175</v>
      </c>
    </row>
    <row r="17" spans="1:8">
      <c r="A17" s="280">
        <v>10</v>
      </c>
      <c r="B17" s="66" t="str">
        <f t="shared" si="0"/>
        <v>X</v>
      </c>
      <c r="C17" s="228"/>
    </row>
    <row r="18" spans="1:8">
      <c r="A18" s="280">
        <v>1998</v>
      </c>
      <c r="B18" s="66" t="str">
        <f t="shared" si="0"/>
        <v>MCMXCVIII</v>
      </c>
      <c r="C18" s="228"/>
      <c r="E18" s="290" t="s">
        <v>320</v>
      </c>
      <c r="F18" s="290" t="s">
        <v>298</v>
      </c>
      <c r="G18" s="290" t="s">
        <v>432</v>
      </c>
      <c r="H18" s="290" t="s">
        <v>300</v>
      </c>
    </row>
    <row r="19" spans="1:8">
      <c r="A19" s="280">
        <v>1998</v>
      </c>
      <c r="B19" s="66" t="str">
        <f t="shared" si="0"/>
        <v>MCMXCVIII</v>
      </c>
      <c r="C19" s="228"/>
      <c r="E19" s="290" t="s">
        <v>433</v>
      </c>
      <c r="F19" s="272">
        <v>5000</v>
      </c>
      <c r="G19" s="272">
        <v>6000</v>
      </c>
      <c r="H19" s="272">
        <v>4500</v>
      </c>
    </row>
    <row r="20" spans="1:8">
      <c r="A20" s="280">
        <v>1998</v>
      </c>
      <c r="B20" s="66" t="str">
        <f t="shared" si="0"/>
        <v>MCMXCVIII</v>
      </c>
      <c r="C20" s="228"/>
      <c r="E20" s="290" t="s">
        <v>434</v>
      </c>
      <c r="F20" s="272">
        <v>5800</v>
      </c>
      <c r="G20" s="272">
        <v>7000</v>
      </c>
      <c r="H20" s="272">
        <v>3000</v>
      </c>
    </row>
    <row r="21" spans="1:8" ht="15.75" customHeight="1">
      <c r="A21" s="280">
        <v>1998</v>
      </c>
      <c r="B21" s="66" t="str">
        <f>ROMAN(A21)</f>
        <v>MCMXCVIII</v>
      </c>
      <c r="C21" s="228"/>
      <c r="E21" s="290" t="s">
        <v>435</v>
      </c>
      <c r="F21" s="272">
        <v>3500</v>
      </c>
      <c r="G21" s="272">
        <v>2000</v>
      </c>
      <c r="H21" s="272">
        <v>10000</v>
      </c>
    </row>
    <row r="22" spans="1:8" ht="15.75" customHeight="1">
      <c r="A22" s="280">
        <v>1998</v>
      </c>
      <c r="B22" s="66" t="str">
        <f t="shared" si="0"/>
        <v>MCMXCVIII</v>
      </c>
      <c r="C22" s="228"/>
      <c r="E22" s="112" t="s">
        <v>436</v>
      </c>
      <c r="F22" s="272">
        <v>12000</v>
      </c>
      <c r="G22" s="272">
        <v>4000</v>
      </c>
      <c r="H22" s="272">
        <v>6000</v>
      </c>
    </row>
    <row r="23" spans="1:8" ht="15.75" customHeight="1">
      <c r="A23" s="280">
        <v>1998</v>
      </c>
      <c r="B23" s="66" t="str">
        <f t="shared" si="0"/>
        <v>MCMXCVIII</v>
      </c>
      <c r="C23" s="228"/>
    </row>
    <row r="24" spans="1:8" ht="15.75" customHeight="1">
      <c r="A24" s="280">
        <v>1998</v>
      </c>
      <c r="B24" s="66" t="str">
        <f t="shared" si="0"/>
        <v>MCMXCVIII</v>
      </c>
      <c r="C24" s="228"/>
      <c r="E24" s="303"/>
      <c r="F24" s="304" t="s">
        <v>1176</v>
      </c>
      <c r="G24" s="305">
        <f>SMALL(F19:H22,1)</f>
        <v>2000</v>
      </c>
      <c r="H24" s="228"/>
    </row>
    <row r="25" spans="1:8" ht="15.75" customHeight="1">
      <c r="A25" s="280">
        <v>1998</v>
      </c>
      <c r="B25" s="66" t="str">
        <f t="shared" si="0"/>
        <v>MCMXCVIII</v>
      </c>
      <c r="C25" s="228"/>
      <c r="E25" s="303"/>
      <c r="F25" s="304" t="s">
        <v>1177</v>
      </c>
      <c r="G25" s="305">
        <f>SMALL(F19:H22,2)</f>
        <v>3000</v>
      </c>
      <c r="H25" s="228"/>
    </row>
    <row r="26" spans="1:8" ht="15.75" customHeight="1">
      <c r="E26" s="303"/>
      <c r="F26" s="304" t="s">
        <v>1178</v>
      </c>
      <c r="G26" s="305">
        <f>SMALL(F19:H22,3)</f>
        <v>3500</v>
      </c>
      <c r="H26" s="228"/>
    </row>
    <row r="27" spans="1:8" ht="15.75" customHeight="1">
      <c r="D27" s="302"/>
    </row>
    <row r="28" spans="1:8" ht="15.75" customHeight="1">
      <c r="A28" s="294"/>
      <c r="B28" s="294"/>
      <c r="C28" s="294"/>
      <c r="D28" s="294"/>
    </row>
    <row r="29" spans="1:8" ht="15.75" customHeight="1">
      <c r="A29" s="294"/>
      <c r="B29" s="295"/>
      <c r="C29" s="295"/>
      <c r="D29" s="295"/>
    </row>
    <row r="30" spans="1:8" ht="15.75" customHeight="1">
      <c r="A30" s="294"/>
      <c r="B30" s="295"/>
      <c r="C30" s="295"/>
      <c r="D30" s="295"/>
    </row>
    <row r="31" spans="1:8" ht="15.75" customHeight="1">
      <c r="A31" s="294"/>
      <c r="B31" s="295"/>
      <c r="C31" s="295"/>
      <c r="D31" s="295"/>
    </row>
    <row r="32" spans="1:8" ht="15.75" customHeight="1">
      <c r="A32" s="296"/>
      <c r="B32" s="295"/>
      <c r="C32" s="295"/>
      <c r="D32" s="295"/>
    </row>
    <row r="33" spans="1:4" ht="15.75" customHeight="1">
      <c r="A33" s="297"/>
      <c r="B33" s="297"/>
      <c r="C33" s="297"/>
      <c r="D33" s="297"/>
    </row>
    <row r="34" spans="1:4" ht="15.75" customHeight="1">
      <c r="A34" s="298"/>
      <c r="B34" s="299"/>
      <c r="C34" s="300"/>
      <c r="D34" s="301"/>
    </row>
    <row r="35" spans="1:4" ht="15.75" customHeight="1">
      <c r="A35" s="298"/>
      <c r="B35" s="299"/>
      <c r="C35" s="300"/>
      <c r="D35" s="301"/>
    </row>
    <row r="36" spans="1:4" ht="15.75" customHeight="1">
      <c r="A36" s="298"/>
      <c r="B36" s="299"/>
      <c r="C36" s="300"/>
      <c r="D36" s="301"/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2:N2"/>
  </mergeCells>
  <pageMargins left="0.7" right="0.7" top="0.75" bottom="0.75" header="0" footer="0"/>
  <pageSetup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opLeftCell="A7" workbookViewId="0">
      <selection activeCell="J25" sqref="J25"/>
    </sheetView>
  </sheetViews>
  <sheetFormatPr defaultColWidth="14.42578125" defaultRowHeight="15" customHeight="1"/>
  <cols>
    <col min="1" max="1" width="8" customWidth="1"/>
    <col min="2" max="3" width="5" customWidth="1"/>
    <col min="4" max="4" width="5.28515625" customWidth="1"/>
    <col min="5" max="5" width="5" customWidth="1"/>
    <col min="6" max="6" width="5.28515625" customWidth="1"/>
    <col min="7" max="7" width="5.5703125" customWidth="1"/>
    <col min="8" max="8" width="6.140625" customWidth="1"/>
    <col min="9" max="9" width="8" customWidth="1"/>
    <col min="10" max="10" width="18" customWidth="1"/>
    <col min="11" max="11" width="11.140625" customWidth="1"/>
    <col min="12" max="12" width="12.42578125" customWidth="1"/>
    <col min="13" max="26" width="8" customWidth="1"/>
  </cols>
  <sheetData>
    <row r="1" spans="1:15" ht="18.75" customHeight="1">
      <c r="A1" s="310" t="s">
        <v>1179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</row>
    <row r="2" spans="1:15">
      <c r="A2" s="313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</row>
    <row r="4" spans="1:15">
      <c r="A4" s="118" t="s">
        <v>109</v>
      </c>
      <c r="B4" s="118" t="s">
        <v>110</v>
      </c>
      <c r="C4" s="118" t="s">
        <v>111</v>
      </c>
      <c r="D4" s="118" t="s">
        <v>112</v>
      </c>
      <c r="E4" s="118" t="s">
        <v>113</v>
      </c>
      <c r="F4" s="118" t="s">
        <v>114</v>
      </c>
      <c r="G4" s="118" t="s">
        <v>115</v>
      </c>
      <c r="H4" s="118" t="s">
        <v>116</v>
      </c>
      <c r="I4" s="118" t="s">
        <v>117</v>
      </c>
      <c r="J4" s="118" t="s">
        <v>844</v>
      </c>
      <c r="K4" s="118" t="s">
        <v>1180</v>
      </c>
      <c r="L4" s="283" t="s">
        <v>1196</v>
      </c>
    </row>
    <row r="5" spans="1:15" ht="15.75">
      <c r="A5" s="8" t="s">
        <v>119</v>
      </c>
      <c r="B5" s="8">
        <v>2000</v>
      </c>
      <c r="C5" s="8">
        <v>1500</v>
      </c>
      <c r="D5" s="8">
        <v>300</v>
      </c>
      <c r="E5" s="8">
        <v>1400</v>
      </c>
      <c r="F5" s="8">
        <v>1000</v>
      </c>
      <c r="G5" s="8">
        <v>1400</v>
      </c>
      <c r="H5" s="282">
        <f t="shared" ref="H5:H15" si="0">SUM(B5:G5)</f>
        <v>7600</v>
      </c>
      <c r="I5" s="8">
        <v>10000</v>
      </c>
      <c r="J5" s="8" t="str">
        <f t="shared" ref="J5:J15" si="1">IF(H5&gt;I5,"ACHIEVED","NOT ACHIVED")</f>
        <v>NOT ACHIVED</v>
      </c>
      <c r="K5" s="8">
        <f t="shared" ref="K5:K15" si="2">IF(H5&gt;=I5,H5*10%,H5*5%)</f>
        <v>380</v>
      </c>
      <c r="L5" s="6" t="str">
        <f>IF(H5&gt;I5,"10%","5%")</f>
        <v>5%</v>
      </c>
    </row>
    <row r="6" spans="1:15">
      <c r="A6" s="8" t="s">
        <v>98</v>
      </c>
      <c r="B6" s="8">
        <v>5000</v>
      </c>
      <c r="C6" s="8">
        <v>1200</v>
      </c>
      <c r="D6" s="8">
        <v>500</v>
      </c>
      <c r="E6" s="8">
        <v>1200</v>
      </c>
      <c r="F6" s="8">
        <v>1200</v>
      </c>
      <c r="G6" s="8">
        <v>2800</v>
      </c>
      <c r="H6" s="8">
        <f t="shared" si="0"/>
        <v>11900</v>
      </c>
      <c r="I6" s="8">
        <v>12000</v>
      </c>
      <c r="J6" s="8" t="str">
        <f t="shared" si="1"/>
        <v>NOT ACHIVED</v>
      </c>
      <c r="K6" s="8">
        <f t="shared" si="2"/>
        <v>595</v>
      </c>
      <c r="L6" s="6" t="str">
        <f t="shared" ref="L6:L15" si="3">IF(H6&gt;I6,"10%","5%")</f>
        <v>5%</v>
      </c>
    </row>
    <row r="7" spans="1:15">
      <c r="A7" s="8" t="s">
        <v>96</v>
      </c>
      <c r="B7" s="8">
        <v>3000</v>
      </c>
      <c r="C7" s="8">
        <v>800</v>
      </c>
      <c r="D7" s="8">
        <v>1200</v>
      </c>
      <c r="E7" s="8">
        <v>3000</v>
      </c>
      <c r="F7" s="8">
        <v>1500</v>
      </c>
      <c r="G7" s="8">
        <v>3500</v>
      </c>
      <c r="H7" s="8">
        <f t="shared" si="0"/>
        <v>13000</v>
      </c>
      <c r="I7" s="8">
        <v>18000</v>
      </c>
      <c r="J7" s="8" t="str">
        <f t="shared" si="1"/>
        <v>NOT ACHIVED</v>
      </c>
      <c r="K7" s="8">
        <f t="shared" si="2"/>
        <v>650</v>
      </c>
      <c r="L7" s="6" t="str">
        <f t="shared" si="3"/>
        <v>5%</v>
      </c>
    </row>
    <row r="8" spans="1:15">
      <c r="A8" s="8" t="s">
        <v>17</v>
      </c>
      <c r="B8" s="8">
        <v>1000</v>
      </c>
      <c r="C8" s="8">
        <v>900</v>
      </c>
      <c r="D8" s="8">
        <v>1800</v>
      </c>
      <c r="E8" s="8">
        <v>5000</v>
      </c>
      <c r="F8" s="8">
        <v>1400</v>
      </c>
      <c r="G8" s="8">
        <v>1200</v>
      </c>
      <c r="H8" s="8">
        <f t="shared" si="0"/>
        <v>11300</v>
      </c>
      <c r="I8" s="8">
        <v>10000</v>
      </c>
      <c r="J8" s="8" t="str">
        <f t="shared" si="1"/>
        <v>ACHIEVED</v>
      </c>
      <c r="K8" s="8">
        <f t="shared" si="2"/>
        <v>1130</v>
      </c>
      <c r="L8" s="6" t="str">
        <f t="shared" si="3"/>
        <v>10%</v>
      </c>
    </row>
    <row r="9" spans="1:15">
      <c r="A9" s="8" t="s">
        <v>12</v>
      </c>
      <c r="B9" s="8">
        <v>500</v>
      </c>
      <c r="C9" s="8">
        <v>1000</v>
      </c>
      <c r="D9" s="8">
        <v>2300</v>
      </c>
      <c r="E9" s="8">
        <v>8000</v>
      </c>
      <c r="F9" s="8">
        <v>1700</v>
      </c>
      <c r="G9" s="8">
        <v>1400</v>
      </c>
      <c r="H9" s="8">
        <f t="shared" si="0"/>
        <v>14900</v>
      </c>
      <c r="I9" s="8">
        <v>12000</v>
      </c>
      <c r="J9" s="8" t="str">
        <f t="shared" si="1"/>
        <v>ACHIEVED</v>
      </c>
      <c r="K9" s="8">
        <f t="shared" si="2"/>
        <v>1490</v>
      </c>
      <c r="L9" s="6" t="str">
        <f t="shared" si="3"/>
        <v>10%</v>
      </c>
    </row>
    <row r="10" spans="1:15">
      <c r="A10" s="8" t="s">
        <v>13</v>
      </c>
      <c r="B10" s="8">
        <v>800</v>
      </c>
      <c r="C10" s="8">
        <v>500</v>
      </c>
      <c r="D10" s="8">
        <v>2400</v>
      </c>
      <c r="E10" s="8">
        <v>1900</v>
      </c>
      <c r="F10" s="8">
        <v>1800</v>
      </c>
      <c r="G10" s="8">
        <v>1800</v>
      </c>
      <c r="H10" s="8">
        <f t="shared" si="0"/>
        <v>9200</v>
      </c>
      <c r="I10" s="8">
        <v>10000</v>
      </c>
      <c r="J10" s="8" t="str">
        <f t="shared" si="1"/>
        <v>NOT ACHIVED</v>
      </c>
      <c r="K10" s="8">
        <f t="shared" si="2"/>
        <v>460</v>
      </c>
      <c r="L10" s="6" t="str">
        <f t="shared" si="3"/>
        <v>5%</v>
      </c>
    </row>
    <row r="11" spans="1:15">
      <c r="A11" s="8" t="s">
        <v>120</v>
      </c>
      <c r="B11" s="8">
        <v>1200</v>
      </c>
      <c r="C11" s="8">
        <v>1400</v>
      </c>
      <c r="D11" s="8">
        <v>1500</v>
      </c>
      <c r="E11" s="8">
        <v>700</v>
      </c>
      <c r="F11" s="8">
        <v>2500</v>
      </c>
      <c r="G11" s="8">
        <v>7000</v>
      </c>
      <c r="H11" s="8">
        <f t="shared" si="0"/>
        <v>14300</v>
      </c>
      <c r="I11" s="8">
        <v>12000</v>
      </c>
      <c r="J11" s="8" t="str">
        <f t="shared" si="1"/>
        <v>ACHIEVED</v>
      </c>
      <c r="K11" s="8">
        <f t="shared" si="2"/>
        <v>1430</v>
      </c>
      <c r="L11" s="6" t="str">
        <f t="shared" si="3"/>
        <v>10%</v>
      </c>
    </row>
    <row r="12" spans="1:15">
      <c r="A12" s="8" t="s">
        <v>121</v>
      </c>
      <c r="B12" s="8">
        <v>1500</v>
      </c>
      <c r="C12" s="8">
        <v>1800</v>
      </c>
      <c r="D12" s="8">
        <v>1800</v>
      </c>
      <c r="E12" s="8">
        <v>1800</v>
      </c>
      <c r="F12" s="8">
        <v>300</v>
      </c>
      <c r="G12" s="8">
        <v>1500</v>
      </c>
      <c r="H12" s="8">
        <f t="shared" si="0"/>
        <v>8700</v>
      </c>
      <c r="I12" s="8">
        <v>10000</v>
      </c>
      <c r="J12" s="8" t="str">
        <f t="shared" si="1"/>
        <v>NOT ACHIVED</v>
      </c>
      <c r="K12" s="8">
        <f t="shared" si="2"/>
        <v>435</v>
      </c>
      <c r="L12" s="6" t="str">
        <f t="shared" si="3"/>
        <v>5%</v>
      </c>
    </row>
    <row r="13" spans="1:15">
      <c r="A13" s="8" t="s">
        <v>122</v>
      </c>
      <c r="B13" s="8">
        <v>1800</v>
      </c>
      <c r="C13" s="8">
        <v>2500</v>
      </c>
      <c r="D13" s="8">
        <v>1700</v>
      </c>
      <c r="E13" s="8">
        <v>1500</v>
      </c>
      <c r="F13" s="8">
        <v>2800</v>
      </c>
      <c r="G13" s="8">
        <v>1800</v>
      </c>
      <c r="H13" s="8">
        <f t="shared" si="0"/>
        <v>12100</v>
      </c>
      <c r="I13" s="8">
        <v>12000</v>
      </c>
      <c r="J13" s="8" t="str">
        <f t="shared" si="1"/>
        <v>ACHIEVED</v>
      </c>
      <c r="K13" s="8">
        <f t="shared" si="2"/>
        <v>1210</v>
      </c>
      <c r="L13" s="6" t="str">
        <f t="shared" si="3"/>
        <v>10%</v>
      </c>
    </row>
    <row r="14" spans="1:15">
      <c r="A14" s="8" t="s">
        <v>123</v>
      </c>
      <c r="B14" s="8">
        <v>200</v>
      </c>
      <c r="C14" s="8">
        <v>3000</v>
      </c>
      <c r="D14" s="8">
        <v>1900</v>
      </c>
      <c r="E14" s="8">
        <v>1200</v>
      </c>
      <c r="F14" s="8">
        <v>1500</v>
      </c>
      <c r="G14" s="8">
        <v>3000</v>
      </c>
      <c r="H14" s="8">
        <f t="shared" si="0"/>
        <v>10800</v>
      </c>
      <c r="I14" s="8">
        <v>10000</v>
      </c>
      <c r="J14" s="8" t="str">
        <f t="shared" si="1"/>
        <v>ACHIEVED</v>
      </c>
      <c r="K14" s="8">
        <f t="shared" si="2"/>
        <v>1080</v>
      </c>
      <c r="L14" s="6" t="str">
        <f t="shared" si="3"/>
        <v>10%</v>
      </c>
    </row>
    <row r="15" spans="1:15">
      <c r="A15" s="8" t="s">
        <v>124</v>
      </c>
      <c r="B15" s="8">
        <v>1600</v>
      </c>
      <c r="C15" s="8">
        <v>1200</v>
      </c>
      <c r="D15" s="8">
        <v>2000</v>
      </c>
      <c r="E15" s="8">
        <v>800</v>
      </c>
      <c r="F15" s="8">
        <v>1700</v>
      </c>
      <c r="G15" s="8">
        <v>800</v>
      </c>
      <c r="H15" s="8">
        <f t="shared" si="0"/>
        <v>8100</v>
      </c>
      <c r="I15" s="8">
        <v>10000</v>
      </c>
      <c r="J15" s="8" t="str">
        <f t="shared" si="1"/>
        <v>NOT ACHIVED</v>
      </c>
      <c r="K15" s="8">
        <f t="shared" si="2"/>
        <v>405</v>
      </c>
      <c r="L15" s="6" t="str">
        <f t="shared" si="3"/>
        <v>5%</v>
      </c>
    </row>
    <row r="16" spans="1:15">
      <c r="K16" s="5" t="s">
        <v>1181</v>
      </c>
      <c r="L16" s="5" t="s">
        <v>168</v>
      </c>
      <c r="N16" s="5"/>
      <c r="O16" s="5"/>
    </row>
    <row r="17" spans="1:14">
      <c r="A17" s="6" t="s">
        <v>125</v>
      </c>
      <c r="J17" s="5" t="s">
        <v>1183</v>
      </c>
      <c r="K17" s="6">
        <f>VLOOKUP(J17,$A$4:$K$15,9,0)</f>
        <v>12000</v>
      </c>
      <c r="L17" t="str">
        <f>VLOOKUP(J17,$A$4:$K$15,10,0)</f>
        <v>ACHIEVED</v>
      </c>
      <c r="M17" s="5"/>
      <c r="N17" s="6"/>
    </row>
    <row r="18" spans="1:14">
      <c r="A18" s="6" t="s">
        <v>129</v>
      </c>
      <c r="J18" s="6" t="s">
        <v>846</v>
      </c>
      <c r="K18" t="s">
        <v>1181</v>
      </c>
      <c r="L18" t="s">
        <v>168</v>
      </c>
    </row>
    <row r="19" spans="1:14">
      <c r="A19" s="6"/>
      <c r="J19" s="284" t="s">
        <v>1197</v>
      </c>
      <c r="K19">
        <f>VLOOKUP(A8,$A$4:$K$15,9,0)</f>
        <v>10000</v>
      </c>
      <c r="L19" t="str">
        <f>VLOOKUP(A8,$A$4:$K$15,10,0)</f>
        <v>ACHIEVED</v>
      </c>
    </row>
    <row r="20" spans="1:14">
      <c r="A20" s="6" t="s">
        <v>130</v>
      </c>
      <c r="J20" s="285" t="s">
        <v>1198</v>
      </c>
      <c r="K20">
        <f>VLOOKUP(A10,$A$4:$K$15,9,0)</f>
        <v>10000</v>
      </c>
      <c r="L20" t="str">
        <f>VLOOKUP(A12,$A$4:$K$15,10,0)</f>
        <v>NOT ACHIVED</v>
      </c>
    </row>
    <row r="21" spans="1:14">
      <c r="A21" s="6" t="s">
        <v>131</v>
      </c>
      <c r="J21" s="6">
        <f>COUNTIF(B4:B15,B5)</f>
        <v>1</v>
      </c>
      <c r="K21">
        <f>COUNTIF(C4:C15,C13)</f>
        <v>1</v>
      </c>
    </row>
    <row r="22" spans="1:14" ht="15.75" customHeight="1">
      <c r="A22" s="284" t="s">
        <v>1186</v>
      </c>
      <c r="J22" s="6" t="s">
        <v>1185</v>
      </c>
    </row>
    <row r="23" spans="1:14" ht="15.75" customHeight="1">
      <c r="A23" s="6" t="s">
        <v>1188</v>
      </c>
    </row>
    <row r="24" spans="1:14" ht="15.75" customHeight="1">
      <c r="A24" s="6" t="s">
        <v>1189</v>
      </c>
      <c r="K24" s="6" t="s">
        <v>1187</v>
      </c>
    </row>
    <row r="25" spans="1:14" ht="15.75" customHeight="1">
      <c r="K25" s="6"/>
    </row>
    <row r="26" spans="1:14" ht="15.75" customHeight="1">
      <c r="K26" s="6"/>
    </row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L1"/>
    <mergeCell ref="A2:L2"/>
  </mergeCells>
  <conditionalFormatting sqref="I4:I15">
    <cfRule type="cellIs" dxfId="1" priority="2" operator="between">
      <formula>2000</formula>
      <formula>5000</formula>
    </cfRule>
  </conditionalFormatting>
  <conditionalFormatting sqref="I5:I15">
    <cfRule type="cellIs" dxfId="0" priority="1" operator="between">
      <formula>2000</formula>
      <formula>5000</formula>
    </cfRule>
  </conditionalFormatting>
  <pageMargins left="0.7" right="0.7" top="0.75" bottom="0.75" header="0" footer="0"/>
  <pageSetup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4" zoomScaleNormal="100" workbookViewId="0">
      <selection activeCell="C12" sqref="C12"/>
    </sheetView>
  </sheetViews>
  <sheetFormatPr defaultColWidth="14.42578125" defaultRowHeight="15" customHeight="1"/>
  <cols>
    <col min="1" max="1" width="70.140625" customWidth="1"/>
    <col min="2" max="8" width="8" customWidth="1"/>
    <col min="9" max="9" width="10" customWidth="1"/>
    <col min="10" max="10" width="13.28515625" customWidth="1"/>
    <col min="11" max="26" width="8" customWidth="1"/>
  </cols>
  <sheetData>
    <row r="1" spans="1:14" ht="18.75" customHeight="1">
      <c r="A1" s="310" t="s">
        <v>1190</v>
      </c>
      <c r="B1" s="311"/>
      <c r="C1" s="311"/>
      <c r="D1" s="311"/>
      <c r="E1" s="311"/>
      <c r="F1" s="311"/>
      <c r="G1" s="311"/>
      <c r="H1" s="311"/>
      <c r="I1" s="311"/>
      <c r="J1" s="311"/>
      <c r="K1" s="16"/>
      <c r="L1" s="16"/>
    </row>
    <row r="3" spans="1:14">
      <c r="L3" s="5" t="s">
        <v>1191</v>
      </c>
    </row>
    <row r="4" spans="1:14">
      <c r="A4" s="2" t="s">
        <v>109</v>
      </c>
      <c r="B4" s="3" t="s">
        <v>110</v>
      </c>
      <c r="C4" s="3" t="s">
        <v>111</v>
      </c>
      <c r="D4" s="3" t="s">
        <v>112</v>
      </c>
      <c r="E4" s="3" t="s">
        <v>113</v>
      </c>
      <c r="F4" s="3" t="s">
        <v>114</v>
      </c>
      <c r="G4" s="3" t="s">
        <v>115</v>
      </c>
      <c r="H4" s="3" t="s">
        <v>116</v>
      </c>
      <c r="I4" s="3" t="s">
        <v>117</v>
      </c>
      <c r="J4" s="4" t="s">
        <v>844</v>
      </c>
      <c r="L4" s="6">
        <f>RANK(E5,$E$5:$E$15,0)</f>
        <v>7</v>
      </c>
      <c r="N4" s="6" t="s">
        <v>1195</v>
      </c>
    </row>
    <row r="5" spans="1:14">
      <c r="A5" s="7" t="s">
        <v>119</v>
      </c>
      <c r="B5" s="8">
        <v>2000</v>
      </c>
      <c r="C5" s="8">
        <v>1500</v>
      </c>
      <c r="D5" s="8">
        <v>300</v>
      </c>
      <c r="E5" s="8">
        <v>1400</v>
      </c>
      <c r="F5" s="8">
        <v>1000</v>
      </c>
      <c r="G5" s="8">
        <v>1400</v>
      </c>
      <c r="H5" s="8">
        <f t="shared" ref="H5:H15" si="0">SUM(B5:G5)</f>
        <v>7600</v>
      </c>
      <c r="I5" s="8">
        <v>10000</v>
      </c>
      <c r="J5" s="34" t="str">
        <f t="shared" ref="J5:J15" si="1">IF(H5&gt;I5,"ACHIEVED","NOT ACHIVED")</f>
        <v>NOT ACHIVED</v>
      </c>
      <c r="L5" s="6">
        <v>7</v>
      </c>
    </row>
    <row r="6" spans="1:14">
      <c r="A6" s="7" t="s">
        <v>98</v>
      </c>
      <c r="B6" s="8">
        <v>5000</v>
      </c>
      <c r="C6" s="8">
        <v>1200</v>
      </c>
      <c r="D6" s="8">
        <v>500</v>
      </c>
      <c r="E6" s="8">
        <v>1200</v>
      </c>
      <c r="F6" s="8">
        <v>1200</v>
      </c>
      <c r="G6" s="8">
        <v>2800</v>
      </c>
      <c r="H6" s="8">
        <f t="shared" si="0"/>
        <v>11900</v>
      </c>
      <c r="I6" s="8">
        <v>12000</v>
      </c>
      <c r="J6" s="34" t="str">
        <f t="shared" si="1"/>
        <v>NOT ACHIVED</v>
      </c>
      <c r="L6" s="6">
        <v>8</v>
      </c>
    </row>
    <row r="7" spans="1:14">
      <c r="A7" s="7" t="s">
        <v>96</v>
      </c>
      <c r="B7" s="8">
        <v>3000</v>
      </c>
      <c r="C7" s="8">
        <v>800</v>
      </c>
      <c r="D7" s="8">
        <v>1200</v>
      </c>
      <c r="E7" s="8">
        <v>3000</v>
      </c>
      <c r="F7" s="8">
        <v>1500</v>
      </c>
      <c r="G7" s="8">
        <v>3500</v>
      </c>
      <c r="H7" s="8">
        <f t="shared" si="0"/>
        <v>13000</v>
      </c>
      <c r="I7" s="8">
        <v>18000</v>
      </c>
      <c r="J7" s="34" t="str">
        <f t="shared" si="1"/>
        <v>NOT ACHIVED</v>
      </c>
      <c r="L7" s="6">
        <v>3</v>
      </c>
      <c r="N7" s="6">
        <f>LARGE(F5:F15,2)</f>
        <v>2500</v>
      </c>
    </row>
    <row r="8" spans="1:14">
      <c r="A8" s="7" t="s">
        <v>17</v>
      </c>
      <c r="B8" s="8">
        <v>1000</v>
      </c>
      <c r="C8" s="8">
        <v>900</v>
      </c>
      <c r="D8" s="8">
        <v>1800</v>
      </c>
      <c r="E8" s="8">
        <v>5000</v>
      </c>
      <c r="F8" s="8">
        <v>1400</v>
      </c>
      <c r="G8" s="8">
        <v>1200</v>
      </c>
      <c r="H8" s="8">
        <f t="shared" si="0"/>
        <v>11300</v>
      </c>
      <c r="I8" s="8">
        <v>10000</v>
      </c>
      <c r="J8" s="34" t="str">
        <f t="shared" si="1"/>
        <v>ACHIEVED</v>
      </c>
      <c r="L8" s="6">
        <v>2</v>
      </c>
    </row>
    <row r="9" spans="1:14">
      <c r="A9" s="7" t="s">
        <v>12</v>
      </c>
      <c r="B9" s="8">
        <v>500</v>
      </c>
      <c r="C9" s="8">
        <v>1000</v>
      </c>
      <c r="D9" s="8">
        <v>2300</v>
      </c>
      <c r="E9" s="8">
        <v>8000</v>
      </c>
      <c r="F9" s="8">
        <v>1700</v>
      </c>
      <c r="G9" s="8">
        <v>1400</v>
      </c>
      <c r="H9" s="8">
        <f t="shared" si="0"/>
        <v>14900</v>
      </c>
      <c r="I9" s="8">
        <v>12000</v>
      </c>
      <c r="J9" s="34" t="str">
        <f t="shared" si="1"/>
        <v>ACHIEVED</v>
      </c>
      <c r="L9" s="6">
        <v>1</v>
      </c>
    </row>
    <row r="10" spans="1:14">
      <c r="A10" s="7" t="s">
        <v>13</v>
      </c>
      <c r="B10" s="8">
        <v>800</v>
      </c>
      <c r="C10" s="8">
        <v>500</v>
      </c>
      <c r="D10" s="8">
        <v>2400</v>
      </c>
      <c r="E10" s="8">
        <v>1900</v>
      </c>
      <c r="F10" s="8">
        <v>1800</v>
      </c>
      <c r="G10" s="8">
        <v>1800</v>
      </c>
      <c r="H10" s="8">
        <f t="shared" si="0"/>
        <v>9200</v>
      </c>
      <c r="I10" s="8">
        <v>10000</v>
      </c>
      <c r="J10" s="34" t="str">
        <f t="shared" si="1"/>
        <v>NOT ACHIVED</v>
      </c>
      <c r="L10" s="6">
        <v>4</v>
      </c>
    </row>
    <row r="11" spans="1:14">
      <c r="A11" s="7" t="s">
        <v>120</v>
      </c>
      <c r="B11" s="8">
        <v>1200</v>
      </c>
      <c r="C11" s="8">
        <v>1400</v>
      </c>
      <c r="D11" s="8">
        <v>1500</v>
      </c>
      <c r="E11" s="8">
        <v>700</v>
      </c>
      <c r="F11" s="8">
        <v>2500</v>
      </c>
      <c r="G11" s="8">
        <v>7000</v>
      </c>
      <c r="H11" s="8">
        <f t="shared" si="0"/>
        <v>14300</v>
      </c>
      <c r="I11" s="8">
        <v>12000</v>
      </c>
      <c r="J11" s="34" t="str">
        <f t="shared" si="1"/>
        <v>ACHIEVED</v>
      </c>
      <c r="L11" s="6">
        <v>11</v>
      </c>
    </row>
    <row r="12" spans="1:14">
      <c r="A12" s="7" t="s">
        <v>121</v>
      </c>
      <c r="B12" s="8">
        <v>1500</v>
      </c>
      <c r="C12" s="8">
        <v>1800</v>
      </c>
      <c r="D12" s="8">
        <v>1800</v>
      </c>
      <c r="E12" s="8">
        <v>1800</v>
      </c>
      <c r="F12" s="8">
        <v>300</v>
      </c>
      <c r="G12" s="8">
        <v>1500</v>
      </c>
      <c r="H12" s="8">
        <f t="shared" si="0"/>
        <v>8700</v>
      </c>
      <c r="I12" s="8">
        <v>10000</v>
      </c>
      <c r="J12" s="34" t="str">
        <f t="shared" si="1"/>
        <v>NOT ACHIVED</v>
      </c>
      <c r="L12" s="6">
        <v>5</v>
      </c>
    </row>
    <row r="13" spans="1:14">
      <c r="A13" s="7" t="s">
        <v>122</v>
      </c>
      <c r="B13" s="8">
        <v>1800</v>
      </c>
      <c r="C13" s="8">
        <v>2500</v>
      </c>
      <c r="D13" s="8">
        <v>1700</v>
      </c>
      <c r="E13" s="8">
        <v>1500</v>
      </c>
      <c r="F13" s="8">
        <v>2800</v>
      </c>
      <c r="G13" s="8">
        <v>1800</v>
      </c>
      <c r="H13" s="8">
        <f t="shared" si="0"/>
        <v>12100</v>
      </c>
      <c r="I13" s="8">
        <v>12000</v>
      </c>
      <c r="J13" s="34" t="str">
        <f t="shared" si="1"/>
        <v>ACHIEVED</v>
      </c>
      <c r="L13" s="6">
        <v>6</v>
      </c>
    </row>
    <row r="14" spans="1:14">
      <c r="A14" s="7" t="s">
        <v>123</v>
      </c>
      <c r="B14" s="8">
        <v>200</v>
      </c>
      <c r="C14" s="8">
        <v>3000</v>
      </c>
      <c r="D14" s="8">
        <v>1900</v>
      </c>
      <c r="E14" s="8">
        <v>1200</v>
      </c>
      <c r="F14" s="8">
        <v>1500</v>
      </c>
      <c r="G14" s="8">
        <v>3000</v>
      </c>
      <c r="H14" s="8">
        <f t="shared" si="0"/>
        <v>10800</v>
      </c>
      <c r="I14" s="8">
        <v>10000</v>
      </c>
      <c r="J14" s="34" t="str">
        <f t="shared" si="1"/>
        <v>ACHIEVED</v>
      </c>
      <c r="L14" s="6">
        <v>8</v>
      </c>
    </row>
    <row r="15" spans="1:14">
      <c r="A15" s="12" t="s">
        <v>124</v>
      </c>
      <c r="B15" s="13">
        <v>1600</v>
      </c>
      <c r="C15" s="13">
        <v>1200</v>
      </c>
      <c r="D15" s="13">
        <v>2000</v>
      </c>
      <c r="E15" s="13">
        <v>800</v>
      </c>
      <c r="F15" s="13">
        <v>1700</v>
      </c>
      <c r="G15" s="13">
        <v>800</v>
      </c>
      <c r="H15" s="13">
        <f t="shared" si="0"/>
        <v>8100</v>
      </c>
      <c r="I15" s="13">
        <v>10000</v>
      </c>
      <c r="J15" s="117" t="str">
        <f t="shared" si="1"/>
        <v>NOT ACHIVED</v>
      </c>
      <c r="L15" s="6">
        <v>10</v>
      </c>
    </row>
    <row r="16" spans="1:14">
      <c r="L16" s="6" t="e">
        <f t="shared" ref="L16:L17" si="2">RANK(E17,$E$5:$E$15,0)</f>
        <v>#N/A</v>
      </c>
    </row>
    <row r="17" spans="1:12">
      <c r="A17" s="6" t="s">
        <v>125</v>
      </c>
      <c r="H17" s="49" t="s">
        <v>1182</v>
      </c>
      <c r="I17" s="49"/>
      <c r="L17" s="6" t="e">
        <f t="shared" si="2"/>
        <v>#N/A</v>
      </c>
    </row>
    <row r="18" spans="1:12">
      <c r="A18" s="6" t="s">
        <v>129</v>
      </c>
      <c r="H18" s="49" t="s">
        <v>846</v>
      </c>
      <c r="I18" s="49"/>
    </row>
    <row r="19" spans="1:12">
      <c r="A19" s="6" t="s">
        <v>130</v>
      </c>
      <c r="H19" s="49" t="s">
        <v>1184</v>
      </c>
      <c r="I19" s="49"/>
    </row>
    <row r="20" spans="1:12">
      <c r="A20" s="6" t="s">
        <v>131</v>
      </c>
      <c r="H20" s="49" t="s">
        <v>1185</v>
      </c>
      <c r="I20" s="49"/>
    </row>
    <row r="21" spans="1:12" ht="15.75" customHeight="1">
      <c r="A21" s="6" t="s">
        <v>1186</v>
      </c>
      <c r="H21" s="49" t="s">
        <v>1184</v>
      </c>
      <c r="I21" s="49"/>
    </row>
    <row r="22" spans="1:12" ht="15.75" customHeight="1">
      <c r="A22" s="6" t="s">
        <v>1188</v>
      </c>
      <c r="H22" s="49" t="s">
        <v>1192</v>
      </c>
      <c r="I22" s="49"/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F23" sqref="E23:F23"/>
    </sheetView>
  </sheetViews>
  <sheetFormatPr defaultColWidth="14.42578125" defaultRowHeight="15" customHeight="1"/>
  <cols>
    <col min="1" max="1" width="8" customWidth="1"/>
    <col min="2" max="2" width="18.42578125" customWidth="1"/>
    <col min="3" max="3" width="11.28515625" customWidth="1"/>
    <col min="4" max="4" width="12.140625" customWidth="1"/>
    <col min="5" max="5" width="12" customWidth="1"/>
    <col min="6" max="6" width="13.7109375" customWidth="1"/>
    <col min="7" max="7" width="12.42578125" customWidth="1"/>
    <col min="8" max="13" width="8" customWidth="1"/>
    <col min="14" max="14" width="12.140625" customWidth="1"/>
    <col min="15" max="18" width="8" customWidth="1"/>
    <col min="19" max="19" width="18" customWidth="1"/>
    <col min="20" max="20" width="12.85546875" customWidth="1"/>
    <col min="21" max="26" width="8" customWidth="1"/>
  </cols>
  <sheetData>
    <row r="1" spans="1:19" ht="18.75" customHeight="1">
      <c r="A1" s="310" t="s">
        <v>1193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16"/>
      <c r="M1" s="16"/>
      <c r="N1" s="16"/>
    </row>
    <row r="2" spans="1:19">
      <c r="A2" s="313" t="s">
        <v>1194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14"/>
      <c r="M2" s="14"/>
      <c r="N2" s="14"/>
    </row>
    <row r="4" spans="1:19">
      <c r="A4" s="8" t="s">
        <v>81</v>
      </c>
      <c r="B4" s="8" t="s">
        <v>135</v>
      </c>
      <c r="C4" s="8" t="s">
        <v>136</v>
      </c>
      <c r="D4" s="8" t="s">
        <v>137</v>
      </c>
      <c r="E4" s="36" t="s">
        <v>138</v>
      </c>
      <c r="F4" s="289" t="s">
        <v>32</v>
      </c>
    </row>
    <row r="5" spans="1:19">
      <c r="A5" s="8" t="s">
        <v>119</v>
      </c>
      <c r="B5" s="46">
        <v>29356</v>
      </c>
      <c r="C5" s="8">
        <f ca="1">DATEDIF(B5,TODAY(),"md")</f>
        <v>28</v>
      </c>
      <c r="D5" s="8">
        <f ca="1">DATEDIF(C5,TODAY(),"ym")</f>
        <v>3</v>
      </c>
      <c r="E5" s="8">
        <f ca="1">DATEDIF(B5,TODAY(),"y")</f>
        <v>44</v>
      </c>
      <c r="F5" s="5" t="str">
        <f t="shared" ref="F5:F15" ca="1" si="0">IF(E5&gt;20,"ADULT","CHILD")</f>
        <v>ADULT</v>
      </c>
    </row>
    <row r="6" spans="1:19">
      <c r="A6" s="8" t="s">
        <v>98</v>
      </c>
      <c r="B6" s="46">
        <v>29818</v>
      </c>
      <c r="C6" s="114">
        <f ca="1">DATEDIF(B6,TODAY(),"md")</f>
        <v>23</v>
      </c>
      <c r="D6" s="114">
        <f t="shared" ref="D6:D15" ca="1" si="1">DATEDIF(C6,TODAY(),"ym")</f>
        <v>3</v>
      </c>
      <c r="E6" s="114">
        <f t="shared" ref="E6:E15" ca="1" si="2">DATEDIF(B6,TODAY(),"y")</f>
        <v>43</v>
      </c>
      <c r="F6" s="5" t="str">
        <f t="shared" ca="1" si="0"/>
        <v>ADULT</v>
      </c>
    </row>
    <row r="7" spans="1:19">
      <c r="A7" s="8" t="s">
        <v>96</v>
      </c>
      <c r="B7" s="46">
        <v>37909</v>
      </c>
      <c r="C7" s="114">
        <f t="shared" ref="C7:C15" ca="1" si="3">DATEDIF(B7,TODAY(),"md")</f>
        <v>28</v>
      </c>
      <c r="D7" s="114">
        <f t="shared" ca="1" si="1"/>
        <v>3</v>
      </c>
      <c r="E7" s="114">
        <f t="shared" ca="1" si="2"/>
        <v>21</v>
      </c>
      <c r="F7" s="5" t="str">
        <f t="shared" ca="1" si="0"/>
        <v>ADULT</v>
      </c>
    </row>
    <row r="8" spans="1:19">
      <c r="A8" s="8" t="s">
        <v>17</v>
      </c>
      <c r="B8" s="46">
        <v>33018</v>
      </c>
      <c r="C8" s="114">
        <f t="shared" ca="1" si="3"/>
        <v>18</v>
      </c>
      <c r="D8" s="114">
        <f t="shared" ca="1" si="1"/>
        <v>3</v>
      </c>
      <c r="E8" s="114">
        <f t="shared" ca="1" si="2"/>
        <v>34</v>
      </c>
      <c r="F8" s="5" t="str">
        <f t="shared" ca="1" si="0"/>
        <v>ADULT</v>
      </c>
    </row>
    <row r="9" spans="1:19">
      <c r="A9" s="8" t="s">
        <v>12</v>
      </c>
      <c r="B9" s="46">
        <v>33840</v>
      </c>
      <c r="C9" s="114">
        <f t="shared" ca="1" si="3"/>
        <v>19</v>
      </c>
      <c r="D9" s="114">
        <f t="shared" ca="1" si="1"/>
        <v>3</v>
      </c>
      <c r="E9" s="114">
        <f t="shared" ca="1" si="2"/>
        <v>32</v>
      </c>
      <c r="F9" s="5" t="str">
        <f t="shared" ca="1" si="0"/>
        <v>ADULT</v>
      </c>
    </row>
    <row r="10" spans="1:19">
      <c r="A10" s="8" t="s">
        <v>13</v>
      </c>
      <c r="B10" s="46">
        <v>36030</v>
      </c>
      <c r="C10" s="114">
        <f t="shared" ca="1" si="3"/>
        <v>20</v>
      </c>
      <c r="D10" s="114">
        <f t="shared" ca="1" si="1"/>
        <v>3</v>
      </c>
      <c r="E10" s="114">
        <f t="shared" ca="1" si="2"/>
        <v>26</v>
      </c>
      <c r="F10" s="5" t="str">
        <f t="shared" ca="1" si="0"/>
        <v>ADULT</v>
      </c>
    </row>
    <row r="11" spans="1:19">
      <c r="A11" s="8" t="s">
        <v>120</v>
      </c>
      <c r="B11" s="46">
        <v>29353</v>
      </c>
      <c r="C11" s="114">
        <f t="shared" ca="1" si="3"/>
        <v>1</v>
      </c>
      <c r="D11" s="114">
        <f t="shared" ca="1" si="1"/>
        <v>4</v>
      </c>
      <c r="E11" s="114">
        <f t="shared" ca="1" si="2"/>
        <v>45</v>
      </c>
      <c r="F11" s="5" t="str">
        <f t="shared" ca="1" si="0"/>
        <v>ADULT</v>
      </c>
    </row>
    <row r="12" spans="1:19">
      <c r="A12" s="8" t="s">
        <v>121</v>
      </c>
      <c r="B12" s="46">
        <v>38429</v>
      </c>
      <c r="C12" s="114">
        <f t="shared" ca="1" si="3"/>
        <v>25</v>
      </c>
      <c r="D12" s="114">
        <f t="shared" ca="1" si="1"/>
        <v>3</v>
      </c>
      <c r="E12" s="114">
        <f t="shared" ca="1" si="2"/>
        <v>20</v>
      </c>
      <c r="F12" s="5" t="str">
        <f t="shared" ca="1" si="0"/>
        <v>CHILD</v>
      </c>
    </row>
    <row r="13" spans="1:19">
      <c r="A13" s="8" t="s">
        <v>122</v>
      </c>
      <c r="B13" s="46">
        <v>39309</v>
      </c>
      <c r="C13" s="114">
        <f t="shared" ca="1" si="3"/>
        <v>28</v>
      </c>
      <c r="D13" s="114">
        <f t="shared" ca="1" si="1"/>
        <v>3</v>
      </c>
      <c r="E13" s="114">
        <f t="shared" ca="1" si="2"/>
        <v>17</v>
      </c>
      <c r="F13" s="5" t="str">
        <f t="shared" ca="1" si="0"/>
        <v>CHILD</v>
      </c>
    </row>
    <row r="14" spans="1:19">
      <c r="A14" s="8" t="s">
        <v>123</v>
      </c>
      <c r="B14" s="46">
        <v>40323</v>
      </c>
      <c r="C14" s="114">
        <f t="shared" ca="1" si="3"/>
        <v>18</v>
      </c>
      <c r="D14" s="114">
        <f t="shared" ca="1" si="1"/>
        <v>3</v>
      </c>
      <c r="E14" s="114">
        <f t="shared" ca="1" si="2"/>
        <v>14</v>
      </c>
      <c r="F14" s="5" t="str">
        <f t="shared" ca="1" si="0"/>
        <v>CHILD</v>
      </c>
    </row>
    <row r="15" spans="1:19">
      <c r="A15" s="8" t="s">
        <v>124</v>
      </c>
      <c r="B15" s="46">
        <v>34206</v>
      </c>
      <c r="C15" s="114">
        <f t="shared" ca="1" si="3"/>
        <v>18</v>
      </c>
      <c r="D15" s="114">
        <f t="shared" ca="1" si="1"/>
        <v>3</v>
      </c>
      <c r="E15" s="114">
        <f t="shared" ca="1" si="2"/>
        <v>31</v>
      </c>
      <c r="F15" s="5" t="str">
        <f t="shared" ca="1" si="0"/>
        <v>ADULT</v>
      </c>
    </row>
    <row r="16" spans="1:19" ht="15" customHeight="1">
      <c r="M16" s="310"/>
      <c r="N16" s="311"/>
      <c r="O16" s="311"/>
      <c r="P16" s="311"/>
      <c r="Q16" s="311"/>
      <c r="R16" s="311"/>
      <c r="S16" s="311"/>
    </row>
    <row r="17" spans="1:21">
      <c r="A17" s="6" t="s">
        <v>140</v>
      </c>
      <c r="D17">
        <f>COUNTA(A5:A15)</f>
        <v>11</v>
      </c>
      <c r="M17" s="14"/>
      <c r="N17" s="14"/>
      <c r="O17" s="14"/>
    </row>
    <row r="18" spans="1:21">
      <c r="A18" s="6" t="s">
        <v>141</v>
      </c>
      <c r="F18">
        <f ca="1">SUMIF(A5:A15,"SURENDRA",E5:E15)</f>
        <v>14</v>
      </c>
    </row>
    <row r="19" spans="1:21">
      <c r="A19" s="6" t="s">
        <v>142</v>
      </c>
      <c r="G19">
        <f ca="1">COUNTIF(E4:E15,"&gt;20")</f>
        <v>8</v>
      </c>
      <c r="M19" s="286"/>
      <c r="N19" s="286"/>
      <c r="O19" s="286"/>
      <c r="P19" s="286"/>
      <c r="Q19" s="286"/>
      <c r="T19" s="44"/>
      <c r="U19" s="45"/>
    </row>
    <row r="20" spans="1:21">
      <c r="A20" s="6" t="s">
        <v>143</v>
      </c>
      <c r="G20" t="s">
        <v>32</v>
      </c>
      <c r="M20" s="287"/>
      <c r="N20" s="288"/>
      <c r="O20" s="286"/>
      <c r="P20" s="286"/>
      <c r="Q20" s="286"/>
      <c r="R20" s="5"/>
    </row>
    <row r="21" spans="1:21" ht="15.75" customHeight="1">
      <c r="A21" s="6" t="s">
        <v>144</v>
      </c>
      <c r="G21">
        <f ca="1">COUNTIF(E4:E15,"&gt;=25")</f>
        <v>7</v>
      </c>
      <c r="M21" s="287"/>
      <c r="N21" s="288"/>
      <c r="O21" s="286"/>
      <c r="P21" s="286"/>
      <c r="Q21" s="286"/>
      <c r="R21" s="5"/>
    </row>
    <row r="22" spans="1:21" ht="15.75" customHeight="1">
      <c r="M22" s="287"/>
      <c r="N22" s="288"/>
      <c r="O22" s="286"/>
      <c r="P22" s="286"/>
      <c r="Q22" s="286"/>
      <c r="R22" s="5"/>
    </row>
    <row r="23" spans="1:21" ht="15.75" customHeight="1">
      <c r="M23" s="287"/>
      <c r="N23" s="288"/>
      <c r="O23" s="286"/>
      <c r="P23" s="286"/>
      <c r="Q23" s="286"/>
      <c r="R23" s="5"/>
    </row>
    <row r="24" spans="1:21" ht="15.75" customHeight="1">
      <c r="M24" s="287"/>
      <c r="N24" s="288"/>
      <c r="O24" s="286"/>
      <c r="P24" s="286"/>
      <c r="Q24" s="286"/>
      <c r="R24" s="5"/>
    </row>
    <row r="25" spans="1:21" ht="15.75" customHeight="1">
      <c r="M25" s="287"/>
      <c r="N25" s="288"/>
      <c r="O25" s="286"/>
      <c r="P25" s="286"/>
      <c r="Q25" s="286"/>
      <c r="R25" s="5"/>
    </row>
    <row r="26" spans="1:21" ht="15.75" customHeight="1">
      <c r="M26" s="287"/>
      <c r="N26" s="288"/>
      <c r="O26" s="286"/>
      <c r="P26" s="286"/>
      <c r="Q26" s="286"/>
      <c r="R26" s="5"/>
    </row>
    <row r="27" spans="1:21" ht="15.75" customHeight="1">
      <c r="M27" s="287"/>
      <c r="N27" s="288"/>
      <c r="O27" s="286"/>
      <c r="P27" s="286"/>
      <c r="Q27" s="286"/>
      <c r="R27" s="5"/>
    </row>
    <row r="28" spans="1:21" ht="15.75" customHeight="1">
      <c r="M28" s="287"/>
      <c r="N28" s="288"/>
      <c r="O28" s="286"/>
      <c r="P28" s="286"/>
      <c r="Q28" s="286"/>
      <c r="R28" s="5"/>
    </row>
    <row r="29" spans="1:21" ht="15.75" customHeight="1">
      <c r="M29" s="287"/>
      <c r="N29" s="288"/>
      <c r="O29" s="286"/>
      <c r="P29" s="286"/>
      <c r="Q29" s="286"/>
      <c r="R29" s="5"/>
    </row>
    <row r="30" spans="1:21" ht="15.75" customHeight="1">
      <c r="M30" s="287"/>
      <c r="N30" s="288"/>
      <c r="O30" s="286"/>
      <c r="P30" s="286"/>
      <c r="Q30" s="286"/>
      <c r="R30" s="5"/>
    </row>
    <row r="31" spans="1:21" ht="15.75" customHeight="1"/>
    <row r="32" spans="1:21" ht="15.75" customHeight="1">
      <c r="M32" s="14"/>
      <c r="N32" s="14"/>
      <c r="O32" s="14"/>
      <c r="R32" s="49"/>
      <c r="T32" s="6"/>
      <c r="U32" s="6"/>
    </row>
    <row r="33" spans="13:21" ht="15.75" customHeight="1">
      <c r="M33" s="14"/>
      <c r="N33" s="14"/>
      <c r="O33" s="14"/>
      <c r="R33" s="49"/>
      <c r="T33" s="6"/>
    </row>
    <row r="34" spans="13:21" ht="15.75" customHeight="1">
      <c r="M34" s="14"/>
      <c r="N34" s="14"/>
      <c r="O34" s="14"/>
      <c r="S34" s="49"/>
      <c r="T34" s="6"/>
    </row>
    <row r="35" spans="13:21" ht="15.75" customHeight="1">
      <c r="M35" s="14"/>
      <c r="N35" s="14"/>
      <c r="O35" s="14"/>
      <c r="T35" s="49"/>
    </row>
    <row r="36" spans="13:21" ht="15.75" customHeight="1">
      <c r="M36" s="14"/>
      <c r="N36" s="14"/>
      <c r="O36" s="14"/>
      <c r="S36" s="49"/>
      <c r="U36" s="6"/>
    </row>
    <row r="37" spans="13:21" ht="15.75" customHeight="1"/>
    <row r="38" spans="13:21" ht="15.75" customHeight="1"/>
    <row r="39" spans="13:21" ht="15.75" customHeight="1"/>
    <row r="40" spans="13:21" ht="15.75" customHeight="1"/>
    <row r="41" spans="13:21" ht="15.75" customHeight="1"/>
    <row r="42" spans="13:21" ht="15.75" customHeight="1"/>
    <row r="43" spans="13:21" ht="15.75" customHeight="1"/>
    <row r="44" spans="13:21" ht="15.75" customHeight="1"/>
    <row r="45" spans="13:21" ht="15.75" customHeight="1"/>
    <row r="46" spans="13:21" ht="15.75" customHeight="1"/>
    <row r="47" spans="13:21" ht="15.75" customHeight="1"/>
    <row r="48" spans="13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M16:S16"/>
    <mergeCell ref="A1:K1"/>
    <mergeCell ref="A2:K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Assignment1</vt:lpstr>
      <vt:lpstr>Assignment2</vt:lpstr>
      <vt:lpstr>Assignment 3</vt:lpstr>
      <vt:lpstr>Assignment4</vt:lpstr>
      <vt:lpstr>Assignment5</vt:lpstr>
      <vt:lpstr>Assignment7</vt:lpstr>
      <vt:lpstr>Assignment6</vt:lpstr>
      <vt:lpstr>Assignment8</vt:lpstr>
      <vt:lpstr>Assignment9</vt:lpstr>
      <vt:lpstr>Assignment10</vt:lpstr>
      <vt:lpstr>Assignment11</vt:lpstr>
      <vt:lpstr>Assignment12</vt:lpstr>
      <vt:lpstr>Assignment13</vt:lpstr>
      <vt:lpstr>Assignment14</vt:lpstr>
      <vt:lpstr>Assignment15</vt:lpstr>
      <vt:lpstr>Assignment16</vt:lpstr>
      <vt:lpstr>Assignment17</vt:lpstr>
      <vt:lpstr>Assignment18</vt:lpstr>
      <vt:lpstr>Assignment19</vt:lpstr>
      <vt:lpstr>Assignment20</vt:lpstr>
      <vt:lpstr>Assignment21</vt:lpstr>
      <vt:lpstr>Assignment22</vt:lpstr>
      <vt:lpstr>Assignment23</vt:lpstr>
      <vt:lpstr>Assignment24</vt:lpstr>
      <vt:lpstr>Assignment25</vt:lpstr>
      <vt:lpstr>Assignment26</vt:lpstr>
      <vt:lpstr>Assignment27</vt:lpstr>
      <vt:lpstr>Assignment28</vt:lpstr>
      <vt:lpstr>Assignment29</vt:lpstr>
      <vt:lpstr>Assignment30</vt:lpstr>
      <vt:lpstr>Assignment31</vt:lpstr>
      <vt:lpstr>Assignment32</vt:lpstr>
      <vt:lpstr>MERGE</vt:lpstr>
      <vt:lpstr>Assignment34</vt:lpstr>
      <vt:lpstr>Assignment35</vt:lpstr>
      <vt:lpstr>Assignment36</vt:lpstr>
      <vt:lpstr>Assignment37</vt:lpstr>
      <vt:lpstr>Assignment38</vt:lpstr>
      <vt:lpstr>Assignment39</vt:lpstr>
      <vt:lpstr>Assignment40</vt:lpstr>
      <vt:lpstr>Assignment41</vt:lpstr>
      <vt:lpstr>Assignment42</vt:lpstr>
      <vt:lpstr>Assignment43</vt:lpstr>
      <vt:lpstr>Assignment44</vt:lpstr>
      <vt:lpstr>Assignment45</vt:lpstr>
      <vt:lpstr>Assignment46</vt:lpstr>
      <vt:lpstr>Assignment47</vt:lpstr>
      <vt:lpstr>Assignment48</vt:lpstr>
      <vt:lpstr>Assignment49</vt:lpstr>
      <vt:lpstr>Assignment50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Windows User</cp:lastModifiedBy>
  <cp:lastPrinted>2025-01-31T06:23:17Z</cp:lastPrinted>
  <dcterms:created xsi:type="dcterms:W3CDTF">2021-04-20T11:47:33Z</dcterms:created>
  <dcterms:modified xsi:type="dcterms:W3CDTF">2025-05-13T10:19:20Z</dcterms:modified>
</cp:coreProperties>
</file>