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-120" yWindow="-120" windowWidth="20730" windowHeight="11160" tabRatio="927" activeTab="1"/>
  </bookViews>
  <sheets>
    <sheet name="Index" sheetId="20" r:id="rId1"/>
    <sheet name="Apex Solutions IS" sheetId="31" r:id="rId2"/>
    <sheet name="Apex Solutions BS" sheetId="32" r:id="rId3"/>
    <sheet name="Apex Solutions CF" sheetId="57" r:id="rId4"/>
    <sheet name="Dep Capex" sheetId="54" r:id="rId5"/>
    <sheet name="Working Capital" sheetId="56" r:id="rId6"/>
    <sheet name="Debt" sheetId="58" r:id="rId7"/>
    <sheet name="Sheet1" sheetId="59" r:id="rId8"/>
    <sheet name="Sheet2" sheetId="60" r:id="rId9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localSheetId="3" hidden="1">#REF!</definedName>
    <definedName name="IQRCOMPSE5" localSheetId="6" hidden="1">#REF!</definedName>
    <definedName name="IQRCOMPSE5" localSheetId="4" hidden="1">#REF!</definedName>
    <definedName name="IQRCOMPSE5" localSheetId="5" hidden="1">#REF!</definedName>
    <definedName name="IQRCOMPSE5" hidden="1">#REF!</definedName>
    <definedName name="tax_rate">#REF!</definedName>
  </definedNames>
  <calcPr calcId="144525"/>
</workbook>
</file>

<file path=xl/calcChain.xml><?xml version="1.0" encoding="utf-8"?>
<calcChain xmlns="http://schemas.openxmlformats.org/spreadsheetml/2006/main">
  <c r="F26" i="31" l="1"/>
  <c r="E35" i="32"/>
  <c r="F25" i="32" l="1"/>
  <c r="F8" i="32"/>
  <c r="F26" i="57"/>
  <c r="F23" i="57"/>
  <c r="F19" i="57"/>
  <c r="E40" i="32"/>
  <c r="F24" i="31"/>
  <c r="C22" i="31"/>
  <c r="C28" i="31"/>
  <c r="C30" i="31" s="1"/>
  <c r="E30" i="31"/>
  <c r="C18" i="31"/>
  <c r="D33" i="32"/>
  <c r="G16" i="32"/>
  <c r="G18" i="32" s="1"/>
  <c r="F16" i="32"/>
  <c r="J25" i="32"/>
  <c r="I25" i="32"/>
  <c r="H25" i="32"/>
  <c r="G25" i="32"/>
  <c r="E20" i="32"/>
  <c r="E18" i="32"/>
  <c r="F18" i="32"/>
  <c r="E26" i="31"/>
  <c r="D28" i="31"/>
  <c r="J22" i="57"/>
  <c r="J23" i="57" s="1"/>
  <c r="I22" i="57"/>
  <c r="H22" i="57"/>
  <c r="H23" i="57" s="1"/>
  <c r="G22" i="57"/>
  <c r="G23" i="57"/>
  <c r="F22" i="57"/>
  <c r="J24" i="31"/>
  <c r="I24" i="31"/>
  <c r="H24" i="31"/>
  <c r="G24" i="31"/>
  <c r="F28" i="32"/>
  <c r="J28" i="32"/>
  <c r="I28" i="32"/>
  <c r="H28" i="32"/>
  <c r="G28" i="32"/>
  <c r="J27" i="32"/>
  <c r="I27" i="32"/>
  <c r="H27" i="32"/>
  <c r="G27" i="32"/>
  <c r="F27" i="32"/>
  <c r="J13" i="58"/>
  <c r="J15" i="58" s="1"/>
  <c r="I13" i="58"/>
  <c r="I15" i="58" s="1"/>
  <c r="H13" i="58"/>
  <c r="H15" i="58" s="1"/>
  <c r="G13" i="58"/>
  <c r="G15" i="58" s="1"/>
  <c r="F15" i="58"/>
  <c r="F13" i="58"/>
  <c r="G7" i="58"/>
  <c r="G10" i="58" s="1"/>
  <c r="H7" i="58" s="1"/>
  <c r="H10" i="58" s="1"/>
  <c r="I7" i="58" s="1"/>
  <c r="I10" i="58" s="1"/>
  <c r="J7" i="58" s="1"/>
  <c r="J10" i="58" s="1"/>
  <c r="F10" i="58"/>
  <c r="F7" i="58"/>
  <c r="E10" i="58"/>
  <c r="E27" i="57"/>
  <c r="I23" i="57"/>
  <c r="J19" i="57"/>
  <c r="I19" i="57"/>
  <c r="H19" i="57"/>
  <c r="G19" i="57"/>
  <c r="J18" i="57"/>
  <c r="I18" i="57"/>
  <c r="H18" i="57"/>
  <c r="G18" i="57"/>
  <c r="F18" i="57"/>
  <c r="J17" i="57"/>
  <c r="I17" i="57"/>
  <c r="H17" i="57"/>
  <c r="G17" i="57"/>
  <c r="F17" i="57"/>
  <c r="J9" i="57"/>
  <c r="I9" i="57"/>
  <c r="H9" i="57"/>
  <c r="G9" i="57"/>
  <c r="F9" i="57"/>
  <c r="J15" i="56"/>
  <c r="I15" i="56"/>
  <c r="H15" i="56"/>
  <c r="G15" i="56"/>
  <c r="J17" i="56"/>
  <c r="I17" i="56"/>
  <c r="H17" i="56"/>
  <c r="G17" i="56"/>
  <c r="F17" i="56"/>
  <c r="J16" i="56"/>
  <c r="I16" i="56"/>
  <c r="H16" i="56"/>
  <c r="G16" i="56"/>
  <c r="F16" i="56"/>
  <c r="F15" i="56"/>
  <c r="J22" i="56"/>
  <c r="I22" i="56"/>
  <c r="H22" i="56"/>
  <c r="G22" i="56"/>
  <c r="F22" i="56"/>
  <c r="D11" i="56"/>
  <c r="D15" i="56" s="1"/>
  <c r="D19" i="56" s="1"/>
  <c r="E9" i="56"/>
  <c r="D9" i="56"/>
  <c r="C9" i="56"/>
  <c r="E8" i="56"/>
  <c r="D8" i="56"/>
  <c r="C8" i="56"/>
  <c r="E7" i="56"/>
  <c r="D7" i="56"/>
  <c r="C7" i="56"/>
  <c r="E7" i="54"/>
  <c r="D7" i="54"/>
  <c r="C7" i="54"/>
  <c r="E13" i="54"/>
  <c r="F10" i="54"/>
  <c r="D5" i="54"/>
  <c r="D60" i="31"/>
  <c r="C60" i="31"/>
  <c r="D56" i="31"/>
  <c r="E55" i="31"/>
  <c r="D55" i="31"/>
  <c r="C55" i="31"/>
  <c r="C56" i="31" s="1"/>
  <c r="E54" i="31"/>
  <c r="E57" i="31" s="1"/>
  <c r="E58" i="31" s="1"/>
  <c r="D54" i="31"/>
  <c r="D57" i="31" s="1"/>
  <c r="D58" i="31" s="1"/>
  <c r="C54" i="31"/>
  <c r="E50" i="31"/>
  <c r="E51" i="31" s="1"/>
  <c r="D50" i="31"/>
  <c r="D51" i="31" s="1"/>
  <c r="C50" i="31"/>
  <c r="C51" i="31" s="1"/>
  <c r="E49" i="31"/>
  <c r="D49" i="31"/>
  <c r="C49" i="31"/>
  <c r="E42" i="31"/>
  <c r="D42" i="31"/>
  <c r="E41" i="31"/>
  <c r="D41" i="31"/>
  <c r="E40" i="31"/>
  <c r="E43" i="31" s="1"/>
  <c r="E44" i="31" s="1"/>
  <c r="D40" i="31"/>
  <c r="D43" i="31" s="1"/>
  <c r="D44" i="31" s="1"/>
  <c r="C42" i="31"/>
  <c r="C41" i="31"/>
  <c r="C40" i="31"/>
  <c r="F8" i="31"/>
  <c r="F7" i="31"/>
  <c r="F47" i="31" s="1"/>
  <c r="F6" i="31"/>
  <c r="F40" i="31" s="1"/>
  <c r="E37" i="31"/>
  <c r="D37" i="31"/>
  <c r="D35" i="31"/>
  <c r="E36" i="31"/>
  <c r="D36" i="31"/>
  <c r="E35" i="31"/>
  <c r="E47" i="32"/>
  <c r="D47" i="32"/>
  <c r="C47" i="32"/>
  <c r="E45" i="32"/>
  <c r="D45" i="32"/>
  <c r="C45" i="32"/>
  <c r="E42" i="32"/>
  <c r="D42" i="32"/>
  <c r="C42" i="32"/>
  <c r="E41" i="32"/>
  <c r="D41" i="32"/>
  <c r="C41" i="32"/>
  <c r="D40" i="32"/>
  <c r="C40" i="32"/>
  <c r="C9" i="31"/>
  <c r="C11" i="56" s="1"/>
  <c r="C15" i="56" s="1"/>
  <c r="C19" i="56" s="1"/>
  <c r="D14" i="31"/>
  <c r="D12" i="56" s="1"/>
  <c r="H16" i="32" l="1"/>
  <c r="E56" i="31"/>
  <c r="C43" i="31"/>
  <c r="C44" i="31" s="1"/>
  <c r="C57" i="31"/>
  <c r="C58" i="31" s="1"/>
  <c r="D8" i="54"/>
  <c r="D16" i="56"/>
  <c r="D20" i="56" s="1"/>
  <c r="D17" i="56"/>
  <c r="D21" i="56" s="1"/>
  <c r="F48" i="31"/>
  <c r="F12" i="31" s="1"/>
  <c r="F54" i="31"/>
  <c r="G8" i="31"/>
  <c r="F41" i="31"/>
  <c r="F11" i="31" s="1"/>
  <c r="F43" i="31"/>
  <c r="F44" i="31" s="1"/>
  <c r="F9" i="31"/>
  <c r="C5" i="54"/>
  <c r="C8" i="54" s="1"/>
  <c r="G6" i="31"/>
  <c r="G7" i="31"/>
  <c r="C43" i="56"/>
  <c r="C37" i="56"/>
  <c r="C34" i="56"/>
  <c r="H18" i="32" l="1"/>
  <c r="I16" i="32"/>
  <c r="F50" i="31"/>
  <c r="F51" i="31" s="1"/>
  <c r="D22" i="56"/>
  <c r="H6" i="31"/>
  <c r="G40" i="31"/>
  <c r="G9" i="31"/>
  <c r="F55" i="31"/>
  <c r="F13" i="31" s="1"/>
  <c r="F14" i="31" s="1"/>
  <c r="F11" i="56"/>
  <c r="F7" i="56" s="1"/>
  <c r="F17" i="31"/>
  <c r="F5" i="54"/>
  <c r="F7" i="54" s="1"/>
  <c r="H7" i="31"/>
  <c r="G47" i="31"/>
  <c r="G54" i="31"/>
  <c r="H8" i="31"/>
  <c r="J16" i="32" l="1"/>
  <c r="J18" i="32" s="1"/>
  <c r="I18" i="32"/>
  <c r="F12" i="56"/>
  <c r="F16" i="31"/>
  <c r="F18" i="31" s="1"/>
  <c r="F8" i="57"/>
  <c r="F12" i="54"/>
  <c r="F13" i="54" s="1"/>
  <c r="F20" i="31"/>
  <c r="G48" i="31"/>
  <c r="G12" i="31" s="1"/>
  <c r="F57" i="31"/>
  <c r="F58" i="31" s="1"/>
  <c r="I7" i="31"/>
  <c r="H47" i="31"/>
  <c r="G17" i="31"/>
  <c r="G5" i="54"/>
  <c r="G7" i="54" s="1"/>
  <c r="G11" i="56"/>
  <c r="G7" i="56" s="1"/>
  <c r="I8" i="31"/>
  <c r="H54" i="31"/>
  <c r="F11" i="57"/>
  <c r="G41" i="31"/>
  <c r="G11" i="31" s="1"/>
  <c r="G55" i="31"/>
  <c r="G13" i="31" s="1"/>
  <c r="H40" i="31"/>
  <c r="I6" i="31"/>
  <c r="H9" i="31"/>
  <c r="D26" i="31"/>
  <c r="C26" i="31"/>
  <c r="E24" i="32"/>
  <c r="D24" i="32"/>
  <c r="C24" i="32"/>
  <c r="E9" i="32"/>
  <c r="D9" i="32"/>
  <c r="C9" i="32"/>
  <c r="G50" i="31" l="1"/>
  <c r="G51" i="31" s="1"/>
  <c r="H48" i="31"/>
  <c r="H12" i="31" s="1"/>
  <c r="H11" i="56"/>
  <c r="H7" i="56" s="1"/>
  <c r="H11" i="57" s="1"/>
  <c r="H5" i="54"/>
  <c r="H7" i="54" s="1"/>
  <c r="H17" i="31"/>
  <c r="G57" i="31"/>
  <c r="G58" i="31" s="1"/>
  <c r="G8" i="57"/>
  <c r="G12" i="54"/>
  <c r="G20" i="31"/>
  <c r="J7" i="31"/>
  <c r="J47" i="31" s="1"/>
  <c r="I47" i="31"/>
  <c r="F22" i="31"/>
  <c r="F8" i="56"/>
  <c r="F9" i="56"/>
  <c r="J6" i="31"/>
  <c r="I9" i="31"/>
  <c r="I40" i="31"/>
  <c r="G43" i="31"/>
  <c r="G44" i="31" s="1"/>
  <c r="H55" i="31"/>
  <c r="H13" i="31" s="1"/>
  <c r="G10" i="54"/>
  <c r="F13" i="32"/>
  <c r="G11" i="57"/>
  <c r="H41" i="31"/>
  <c r="H11" i="31" s="1"/>
  <c r="G14" i="31"/>
  <c r="J8" i="31"/>
  <c r="J54" i="31" s="1"/>
  <c r="I54" i="31"/>
  <c r="E28" i="32"/>
  <c r="D28" i="32"/>
  <c r="C28" i="32"/>
  <c r="H43" i="31" l="1"/>
  <c r="H44" i="31" s="1"/>
  <c r="H50" i="31"/>
  <c r="H51" i="31" s="1"/>
  <c r="H57" i="31"/>
  <c r="H58" i="31" s="1"/>
  <c r="J9" i="31"/>
  <c r="J40" i="31"/>
  <c r="I48" i="31"/>
  <c r="I12" i="31" s="1"/>
  <c r="G12" i="56"/>
  <c r="G16" i="31"/>
  <c r="G18" i="31" s="1"/>
  <c r="G22" i="31" s="1"/>
  <c r="F24" i="32"/>
  <c r="F9" i="32"/>
  <c r="F13" i="57"/>
  <c r="J48" i="31"/>
  <c r="J12" i="31" s="1"/>
  <c r="I5" i="54"/>
  <c r="I7" i="54" s="1"/>
  <c r="I11" i="56"/>
  <c r="I7" i="56" s="1"/>
  <c r="I11" i="57" s="1"/>
  <c r="I17" i="31"/>
  <c r="H12" i="54"/>
  <c r="H8" i="57"/>
  <c r="H20" i="31"/>
  <c r="H14" i="31"/>
  <c r="G13" i="54"/>
  <c r="I41" i="31"/>
  <c r="I11" i="31" s="1"/>
  <c r="F12" i="57"/>
  <c r="I55" i="31"/>
  <c r="I13" i="31" s="1"/>
  <c r="J57" i="31"/>
  <c r="J58" i="31" s="1"/>
  <c r="J55" i="31"/>
  <c r="J13" i="31" s="1"/>
  <c r="C14" i="31"/>
  <c r="C33" i="32"/>
  <c r="C25" i="32"/>
  <c r="C18" i="32"/>
  <c r="C10" i="32"/>
  <c r="D25" i="32"/>
  <c r="D18" i="32"/>
  <c r="D10" i="32"/>
  <c r="I14" i="31" l="1"/>
  <c r="I12" i="56" s="1"/>
  <c r="I57" i="31"/>
  <c r="I58" i="31" s="1"/>
  <c r="J50" i="31"/>
  <c r="J51" i="31" s="1"/>
  <c r="I9" i="56"/>
  <c r="I8" i="56"/>
  <c r="J41" i="31"/>
  <c r="J11" i="31" s="1"/>
  <c r="J14" i="31" s="1"/>
  <c r="J12" i="56" s="1"/>
  <c r="H10" i="54"/>
  <c r="H13" i="54" s="1"/>
  <c r="G13" i="32"/>
  <c r="I12" i="54"/>
  <c r="I20" i="31"/>
  <c r="I8" i="57"/>
  <c r="G9" i="56"/>
  <c r="G8" i="56"/>
  <c r="J11" i="56"/>
  <c r="J7" i="56" s="1"/>
  <c r="J11" i="57" s="1"/>
  <c r="J17" i="31"/>
  <c r="J5" i="54"/>
  <c r="J7" i="54" s="1"/>
  <c r="H12" i="56"/>
  <c r="H16" i="31"/>
  <c r="H18" i="31" s="1"/>
  <c r="H22" i="31" s="1"/>
  <c r="H28" i="31" s="1"/>
  <c r="H29" i="31" s="1"/>
  <c r="H30" i="31" s="1"/>
  <c r="H7" i="57" s="1"/>
  <c r="C12" i="56"/>
  <c r="C16" i="31"/>
  <c r="I43" i="31"/>
  <c r="I44" i="31" s="1"/>
  <c r="I50" i="31"/>
  <c r="I51" i="31" s="1"/>
  <c r="D20" i="32"/>
  <c r="C20" i="32"/>
  <c r="D35" i="32"/>
  <c r="C35" i="32"/>
  <c r="E33" i="32"/>
  <c r="I16" i="31" l="1"/>
  <c r="I18" i="31" s="1"/>
  <c r="I22" i="31" s="1"/>
  <c r="I28" i="31" s="1"/>
  <c r="I29" i="31" s="1"/>
  <c r="I30" i="31" s="1"/>
  <c r="I7" i="57" s="1"/>
  <c r="C65" i="31"/>
  <c r="H9" i="56"/>
  <c r="I13" i="57" s="1"/>
  <c r="H8" i="56"/>
  <c r="J9" i="56"/>
  <c r="J8" i="56"/>
  <c r="J8" i="32" s="1"/>
  <c r="C17" i="56"/>
  <c r="C21" i="56" s="1"/>
  <c r="C16" i="56"/>
  <c r="C20" i="56" s="1"/>
  <c r="J8" i="57"/>
  <c r="J12" i="54"/>
  <c r="J20" i="31"/>
  <c r="G8" i="32"/>
  <c r="G12" i="57"/>
  <c r="J43" i="31"/>
  <c r="J44" i="31" s="1"/>
  <c r="J16" i="31"/>
  <c r="J18" i="31" s="1"/>
  <c r="G9" i="32"/>
  <c r="G24" i="32"/>
  <c r="G13" i="57"/>
  <c r="I9" i="32"/>
  <c r="I24" i="32"/>
  <c r="I10" i="54"/>
  <c r="I13" i="54" s="1"/>
  <c r="H13" i="32"/>
  <c r="I8" i="32"/>
  <c r="J12" i="57"/>
  <c r="D37" i="32"/>
  <c r="C37" i="32"/>
  <c r="J22" i="31" l="1"/>
  <c r="J28" i="31" s="1"/>
  <c r="J29" i="31" s="1"/>
  <c r="J30" i="31" s="1"/>
  <c r="J7" i="57" s="1"/>
  <c r="H9" i="32"/>
  <c r="H13" i="57"/>
  <c r="H24" i="32"/>
  <c r="I13" i="32"/>
  <c r="J10" i="54"/>
  <c r="J13" i="54" s="1"/>
  <c r="J13" i="32" s="1"/>
  <c r="C66" i="31"/>
  <c r="C67" i="31"/>
  <c r="J24" i="32"/>
  <c r="J9" i="32"/>
  <c r="J13" i="57"/>
  <c r="C22" i="56"/>
  <c r="H12" i="57"/>
  <c r="H8" i="32"/>
  <c r="I12" i="57"/>
  <c r="I14" i="57" s="1"/>
  <c r="I25" i="57" s="1"/>
  <c r="J14" i="57" l="1"/>
  <c r="J25" i="57" s="1"/>
  <c r="C69" i="31"/>
  <c r="H14" i="57"/>
  <c r="H25" i="57" s="1"/>
  <c r="E25" i="32"/>
  <c r="C68" i="31" l="1"/>
  <c r="C62" i="31"/>
  <c r="E10" i="32" l="1"/>
  <c r="E37" i="32" l="1"/>
  <c r="E14" i="31" l="1"/>
  <c r="E12" i="56" s="1"/>
  <c r="E17" i="56" l="1"/>
  <c r="E21" i="56" s="1"/>
  <c r="E16" i="56"/>
  <c r="E20" i="56" s="1"/>
  <c r="D16" i="31"/>
  <c r="D18" i="31" l="1"/>
  <c r="D65" i="31"/>
  <c r="E9" i="31"/>
  <c r="E5" i="54" l="1"/>
  <c r="E8" i="54" s="1"/>
  <c r="E11" i="56"/>
  <c r="E15" i="56" s="1"/>
  <c r="E19" i="56" s="1"/>
  <c r="E22" i="56" s="1"/>
  <c r="E60" i="31"/>
  <c r="D22" i="31"/>
  <c r="D66" i="31"/>
  <c r="E16" i="31"/>
  <c r="E65" i="31" s="1"/>
  <c r="D67" i="31" l="1"/>
  <c r="E18" i="31"/>
  <c r="E66" i="31" s="1"/>
  <c r="D30" i="31" l="1"/>
  <c r="D69" i="31" s="1"/>
  <c r="D68" i="31"/>
  <c r="D62" i="31"/>
  <c r="E22" i="31"/>
  <c r="E67" i="31" s="1"/>
  <c r="E28" i="31" l="1"/>
  <c r="E62" i="31" l="1"/>
  <c r="E68" i="31"/>
  <c r="E69" i="31"/>
  <c r="F28" i="31"/>
  <c r="F29" i="31" l="1"/>
  <c r="F30" i="31" s="1"/>
  <c r="F7" i="57" l="1"/>
  <c r="F14" i="57" s="1"/>
  <c r="F25" i="57" s="1"/>
  <c r="F27" i="57" s="1"/>
  <c r="F32" i="32"/>
  <c r="F33" i="32" l="1"/>
  <c r="G26" i="57"/>
  <c r="F7" i="32"/>
  <c r="F10" i="32" l="1"/>
  <c r="F20" i="32" s="1"/>
  <c r="F18" i="58"/>
  <c r="F20" i="58" s="1"/>
  <c r="G28" i="31"/>
  <c r="G29" i="31" s="1"/>
  <c r="G30" i="31" s="1"/>
  <c r="G32" i="32" l="1"/>
  <c r="G7" i="57"/>
  <c r="G14" i="57" s="1"/>
  <c r="G25" i="57" s="1"/>
  <c r="G27" i="57" s="1"/>
  <c r="G7" i="32" l="1"/>
  <c r="H26" i="57"/>
  <c r="H27" i="57" s="1"/>
  <c r="G33" i="32"/>
  <c r="H32" i="32"/>
  <c r="I32" i="32" l="1"/>
  <c r="H33" i="32"/>
  <c r="I26" i="57"/>
  <c r="I27" i="57" s="1"/>
  <c r="H7" i="32"/>
  <c r="H18" i="58" s="1"/>
  <c r="H20" i="58" s="1"/>
  <c r="H25" i="31" s="1"/>
  <c r="G18" i="58"/>
  <c r="G20" i="58" s="1"/>
  <c r="G25" i="31" s="1"/>
  <c r="G10" i="32"/>
  <c r="G20" i="32" s="1"/>
  <c r="H10" i="32" l="1"/>
  <c r="H20" i="32" s="1"/>
  <c r="H37" i="32" s="1"/>
  <c r="I7" i="32"/>
  <c r="J26" i="57"/>
  <c r="J27" i="57" s="1"/>
  <c r="J7" i="32" s="1"/>
  <c r="J10" i="32" s="1"/>
  <c r="J20" i="32" s="1"/>
  <c r="I33" i="32"/>
  <c r="J32" i="32"/>
  <c r="J33" i="32" s="1"/>
  <c r="I10" i="32" l="1"/>
  <c r="I20" i="32" s="1"/>
  <c r="J18" i="58"/>
  <c r="J20" i="58" s="1"/>
  <c r="J25" i="31" s="1"/>
  <c r="I18" i="58"/>
  <c r="I20" i="58" s="1"/>
  <c r="I25" i="31" s="1"/>
</calcChain>
</file>

<file path=xl/sharedStrings.xml><?xml version="1.0" encoding="utf-8"?>
<sst xmlns="http://schemas.openxmlformats.org/spreadsheetml/2006/main" count="303" uniqueCount="205">
  <si>
    <t>Historicals</t>
  </si>
  <si>
    <t>Forecasts</t>
  </si>
  <si>
    <t>www.wallstreetmojo.com</t>
  </si>
  <si>
    <t>Assets</t>
  </si>
  <si>
    <t>Current liabilities</t>
  </si>
  <si>
    <t>Other assets</t>
  </si>
  <si>
    <t>(All Data is in Millions $, Except Per Share Information)</t>
  </si>
  <si>
    <t>All content is Copyright material of WallStreetMojo.</t>
  </si>
  <si>
    <t xml:space="preserve">Website: </t>
  </si>
  <si>
    <t xml:space="preserve">Note: </t>
  </si>
  <si>
    <t>Goodwill</t>
  </si>
  <si>
    <t>Total revenues</t>
  </si>
  <si>
    <t>Revenues</t>
  </si>
  <si>
    <t>Current assets</t>
  </si>
  <si>
    <t>Cash and equivalents</t>
  </si>
  <si>
    <t>Total other assets</t>
  </si>
  <si>
    <t>Total assets</t>
  </si>
  <si>
    <t>Accounts payable</t>
  </si>
  <si>
    <t>Shareholders' equity (deficit)</t>
  </si>
  <si>
    <t>Total liabilities and shareholders' equity (deficit)</t>
  </si>
  <si>
    <t>Check</t>
  </si>
  <si>
    <t>Liabilities and Shareholders Equity</t>
  </si>
  <si>
    <t>Interest Expense</t>
  </si>
  <si>
    <t>Margin (%)</t>
  </si>
  <si>
    <t>Operating Costs</t>
  </si>
  <si>
    <t>Total Operating Costs</t>
  </si>
  <si>
    <t>Margin ($ million)</t>
  </si>
  <si>
    <t>Accounts Receivables</t>
  </si>
  <si>
    <t>Inventory</t>
  </si>
  <si>
    <t>SG&amp;A Expense</t>
  </si>
  <si>
    <t>Net Income</t>
  </si>
  <si>
    <t>Year 1</t>
  </si>
  <si>
    <t>Year 2</t>
  </si>
  <si>
    <t>Interest Rate</t>
  </si>
  <si>
    <t>Depreciation</t>
  </si>
  <si>
    <t>Interest Income</t>
  </si>
  <si>
    <t>Net Interest Expense</t>
  </si>
  <si>
    <t>Year 3</t>
  </si>
  <si>
    <t>Year 4</t>
  </si>
  <si>
    <t>Year 5</t>
  </si>
  <si>
    <t>Effective Tax Rate</t>
  </si>
  <si>
    <t>Net PPE</t>
  </si>
  <si>
    <t xml:space="preserve"> </t>
  </si>
  <si>
    <t>Additions to Intangibles</t>
  </si>
  <si>
    <t>Working Capital</t>
  </si>
  <si>
    <t>Working Capital Balances</t>
  </si>
  <si>
    <t>Accounts Payable</t>
  </si>
  <si>
    <t xml:space="preserve">Turnover Ratios </t>
  </si>
  <si>
    <t>Cash Collection Cycle</t>
  </si>
  <si>
    <t>Total Revenues</t>
  </si>
  <si>
    <t>Operating Activities</t>
  </si>
  <si>
    <t>Add Depreciation</t>
  </si>
  <si>
    <t>Add Amortization</t>
  </si>
  <si>
    <t>Change in Working Capital</t>
  </si>
  <si>
    <t>Change in Receivable</t>
  </si>
  <si>
    <t>Change in Accounts Payable</t>
  </si>
  <si>
    <t>Cash Flow from Operating Activities</t>
  </si>
  <si>
    <t>Investment Activities</t>
  </si>
  <si>
    <t>Capital Expenditures</t>
  </si>
  <si>
    <t>Cash Flow from Investing Activities</t>
  </si>
  <si>
    <t>Financing Activities</t>
  </si>
  <si>
    <t>Cash Flow from Financing Activities</t>
  </si>
  <si>
    <t>Net Change in Cash</t>
  </si>
  <si>
    <t>Beginning Cash Balance</t>
  </si>
  <si>
    <t>Ending Cash Balance</t>
  </si>
  <si>
    <t>Beginning Balance</t>
  </si>
  <si>
    <t>Ending Balance</t>
  </si>
  <si>
    <t>Issuance</t>
  </si>
  <si>
    <t>(Repayment/ Amortization)</t>
  </si>
  <si>
    <t>Effective Cash Interest Rate:</t>
  </si>
  <si>
    <t xml:space="preserve">Interest Income </t>
  </si>
  <si>
    <t>Debt</t>
  </si>
  <si>
    <t>Term Loan</t>
  </si>
  <si>
    <t>Average Oustanding</t>
  </si>
  <si>
    <t>Proceeds from/ (repayment of) Term Loan</t>
  </si>
  <si>
    <t>Cash &amp; Cash Equivalents</t>
  </si>
  <si>
    <t>Dep Capex</t>
  </si>
  <si>
    <t xml:space="preserve">BS </t>
  </si>
  <si>
    <t>Cost of Sales</t>
  </si>
  <si>
    <t>Cost of Sales (%)</t>
  </si>
  <si>
    <t>Treasury Stock</t>
  </si>
  <si>
    <t>Retained Earnings</t>
  </si>
  <si>
    <t xml:space="preserve">Tax </t>
  </si>
  <si>
    <t>Actuals 1</t>
  </si>
  <si>
    <t>Actuals 2</t>
  </si>
  <si>
    <t>Actuals 3</t>
  </si>
  <si>
    <t>Total Debt</t>
  </si>
  <si>
    <t>Apex Solutions - Income Statement</t>
  </si>
  <si>
    <t>IT Services</t>
  </si>
  <si>
    <t>Hardware</t>
  </si>
  <si>
    <t>Hardware Revenue</t>
  </si>
  <si>
    <t>Hardware Cost of Sales</t>
  </si>
  <si>
    <t>IT Services Revenues</t>
  </si>
  <si>
    <t>IT Services Cost of Sales</t>
  </si>
  <si>
    <t>Fixed Assets</t>
  </si>
  <si>
    <t>Revenue</t>
  </si>
  <si>
    <t>Apex Solutions BS</t>
  </si>
  <si>
    <t>Apex Solutions CF</t>
  </si>
  <si>
    <t>Financial Modeling Tutorials by WallStreetMojo</t>
  </si>
  <si>
    <t>Apex Solutions - Balance Sheet</t>
  </si>
  <si>
    <t>Apex Solutions - Cash Flow</t>
  </si>
  <si>
    <t>Apex Solutions - Depreciation Capex</t>
  </si>
  <si>
    <t>Apex Solutions -  Working Capital</t>
  </si>
  <si>
    <t>Apex Solutions - Debt and Interest</t>
  </si>
  <si>
    <t>Interest Income Calculation</t>
  </si>
  <si>
    <t xml:space="preserve">Software </t>
  </si>
  <si>
    <t xml:space="preserve">Hardware </t>
  </si>
  <si>
    <t>Software Cost of Sales</t>
  </si>
  <si>
    <t>Software Revenue</t>
  </si>
  <si>
    <t>Apex Solutions IS</t>
  </si>
  <si>
    <t>Interest Expense Calculation</t>
  </si>
  <si>
    <t>Beginning PP&amp;E</t>
  </si>
  <si>
    <t>Change in Inventory</t>
  </si>
  <si>
    <t xml:space="preserve">Common Stock </t>
  </si>
  <si>
    <t>Capital Expenditure</t>
  </si>
  <si>
    <t>Current Ratio (Current Assets / Current Liablities)</t>
  </si>
  <si>
    <t>Leverage Ratio</t>
  </si>
  <si>
    <t>Debt to Equity Ratio</t>
  </si>
  <si>
    <t>ROE (Net Income / Shareholders Equity)</t>
  </si>
  <si>
    <t>Inventory turnover (COGS / Inventory)</t>
  </si>
  <si>
    <t>Payables turnover (COGS / Payables)</t>
  </si>
  <si>
    <t>Receivables collection period (365/receivables turnover)</t>
  </si>
  <si>
    <t>Inventory processing period (365/inventory turnover)</t>
  </si>
  <si>
    <t>Payment period (365/payables turnover)</t>
  </si>
  <si>
    <t>Receivables turnover = (Sales / Accounts Receivables)</t>
  </si>
  <si>
    <t>Increase?</t>
  </si>
  <si>
    <t>cash outflow</t>
  </si>
  <si>
    <t>10 -&gt; 20</t>
  </si>
  <si>
    <t>10 -&gt; 5</t>
  </si>
  <si>
    <t>cash inflows</t>
  </si>
  <si>
    <t>Liablities</t>
  </si>
  <si>
    <t>Loan</t>
  </si>
  <si>
    <t>50 -&gt; 100</t>
  </si>
  <si>
    <t>cash inflow</t>
  </si>
  <si>
    <t>GREEN (Linked to other sheet)</t>
  </si>
  <si>
    <t>BLUE (Constants, Already Available)</t>
  </si>
  <si>
    <t>Gross Margin (Sales - Operating Cost)</t>
  </si>
  <si>
    <t>EBIT (Earnings before interest and taxes) (Operating profit)</t>
  </si>
  <si>
    <t>EBITDA (Earnings Before interest tex depreciation and ammotization) (Margin - Selling Journals and Admin expenses) (Rough idea of cash in a company)</t>
  </si>
  <si>
    <t>EBT (Earning (or profit )before Taxes)</t>
  </si>
  <si>
    <t>Net income (EBT-Taxes)</t>
  </si>
  <si>
    <t>Gross Margin (Gm/Sales)%</t>
  </si>
  <si>
    <t>EBITDA Margin (EBITDA/Sales)%</t>
  </si>
  <si>
    <t>EBT Margin (EBT/Sales)</t>
  </si>
  <si>
    <t>EBIT Margin (EBIT/Sales)</t>
  </si>
  <si>
    <t>Net Income Margin (NIM/Sales)</t>
  </si>
  <si>
    <t>Liquidity Ratio (Tells whether the company can run for a given time without any problem or not</t>
  </si>
  <si>
    <t>Total current assets (can be used within 1 year)</t>
  </si>
  <si>
    <t>Total current liabilities (Have to pay within 1 year)</t>
  </si>
  <si>
    <t>Quick Ratio (Exclude those assets which take too much time to be converted into cash) (Cash + Account Recievables)/Liabilities</t>
  </si>
  <si>
    <t>Cash Ratio (If I have to pay to current liabilities today then how much I will pay) (Cash/Current Liabilities)</t>
  </si>
  <si>
    <t>Equity (if without loan I start a company )</t>
  </si>
  <si>
    <t>Loan or Debt (If money taken from bank)</t>
  </si>
  <si>
    <t>9 steps for financial modelling</t>
  </si>
  <si>
    <t>Creating the Financial Model Structure</t>
  </si>
  <si>
    <t>Analyzing the historical financials</t>
  </si>
  <si>
    <t>Projecting revenues</t>
  </si>
  <si>
    <t>Projecting working capital</t>
  </si>
  <si>
    <t>Projecting debt</t>
  </si>
  <si>
    <t>Balancing the balance sheet</t>
  </si>
  <si>
    <t>Completing the cash flow statement</t>
  </si>
  <si>
    <t>Peojecting depreciation</t>
  </si>
  <si>
    <t>Peojecting Cost</t>
  </si>
  <si>
    <t>Drivers (On what basis you are projecting it)</t>
  </si>
  <si>
    <t>Revenues (%Growth)</t>
  </si>
  <si>
    <t>BLACK (Formula)</t>
  </si>
  <si>
    <t>SG&amp;A Expense (% of total revenue)</t>
  </si>
  <si>
    <t>`</t>
  </si>
  <si>
    <t>Core Financial Statements</t>
  </si>
  <si>
    <t>Core Financial Stateme</t>
  </si>
  <si>
    <t>Supporting Sheets</t>
  </si>
  <si>
    <t>Net PPE (Property plant and equipment)</t>
  </si>
  <si>
    <t>B</t>
  </si>
  <si>
    <t>A</t>
  </si>
  <si>
    <t>S</t>
  </si>
  <si>
    <t>E</t>
  </si>
  <si>
    <t>Beginning PPE</t>
  </si>
  <si>
    <t>Addition to PPE(Capex)</t>
  </si>
  <si>
    <t>Subtract (Depreciation)</t>
  </si>
  <si>
    <t>Ending PPE(Net PPE)</t>
  </si>
  <si>
    <t>Depreciation as % of Revenue (As depreciation is very low)</t>
  </si>
  <si>
    <t>Linking to the core financial statements</t>
  </si>
  <si>
    <t>Depreciation --&gt; Income statement</t>
  </si>
  <si>
    <t>Net PPE --&gt; BS</t>
  </si>
  <si>
    <t>Depreciation --&gt; Cash flow</t>
  </si>
  <si>
    <t>Intangible Assets (Assets we cant touch or feel like copyrights and pitends)</t>
  </si>
  <si>
    <t>Amortization (depreciation related to IA)</t>
  </si>
  <si>
    <t>Tells whether we have money for day to day operations or not )</t>
  </si>
  <si>
    <t>WC = Current assets - current liabilities</t>
  </si>
  <si>
    <t>Account recievables means money has to be taken from some one but has not been taken still</t>
  </si>
  <si>
    <t>Inventory means raw material and finished goods</t>
  </si>
  <si>
    <t>AP means money which has to be paid in future</t>
  </si>
  <si>
    <t>How many times paid in 1 year\</t>
  </si>
  <si>
    <t>(Means cash outflow and cash in time Period)</t>
  </si>
  <si>
    <t>Links</t>
  </si>
  <si>
    <t>No link to income statement</t>
  </si>
  <si>
    <t>Link working capita items to Balance sheet</t>
  </si>
  <si>
    <t>Changes in working capital to Cash flow statement</t>
  </si>
  <si>
    <t>Cash flow statement tells how much cash flows in tour company</t>
  </si>
  <si>
    <t>a</t>
  </si>
  <si>
    <t>L</t>
  </si>
  <si>
    <t>Ending balance of term loan -&gt; Balance Sheet</t>
  </si>
  <si>
    <t>.</t>
  </si>
  <si>
    <t>Interest expense/Interest Income -&gt; Income statement</t>
  </si>
  <si>
    <t>Issuence/Repayment -&gt;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</si>
</sst>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"/>
    <numFmt numFmtId="168" formatCode="&quot;FY&quot;\ 0"/>
    <numFmt numFmtId="169" formatCode="#,##0.0;\(#,##0.0\);\-"/>
    <numFmt numFmtId="170" formatCode="#,##0.00;\(#,##0.00\);\-"/>
    <numFmt numFmtId="171" formatCode="#,##0.0"/>
    <numFmt numFmtId="172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0"/>
      <name val="Arial"/>
      <family val="2"/>
    </font>
    <font>
      <sz val="9"/>
      <name val="Geneva"/>
    </font>
    <font>
      <u/>
      <sz val="12.65"/>
      <color theme="10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BA1A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rgb="FF0000FF"/>
      <name val="Arial"/>
      <family val="2"/>
    </font>
    <font>
      <sz val="11"/>
      <color theme="4"/>
      <name val="Arial"/>
      <family val="2"/>
    </font>
    <font>
      <sz val="11"/>
      <color rgb="FF009600"/>
      <name val="Arial"/>
      <family val="2"/>
    </font>
    <font>
      <sz val="7"/>
      <color indexed="10"/>
      <name val="Arial"/>
      <family val="2"/>
    </font>
    <font>
      <b/>
      <sz val="11"/>
      <color rgb="FF00B050"/>
      <name val="Arial"/>
      <family val="2"/>
    </font>
    <font>
      <b/>
      <sz val="11"/>
      <color rgb="FF009600"/>
      <name val="Arial"/>
      <family val="2"/>
    </font>
    <font>
      <b/>
      <sz val="20"/>
      <color theme="0"/>
      <name val="Arial"/>
      <family val="2"/>
    </font>
    <font>
      <b/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04C55"/>
        <bgColor indexed="64"/>
      </patternFill>
    </fill>
    <fill>
      <patternFill patternType="solid">
        <fgColor rgb="FF0C4E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9" fontId="10" fillId="0" borderId="1">
      <alignment vertical="center"/>
    </xf>
    <xf numFmtId="169" fontId="1" fillId="2" borderId="2"/>
    <xf numFmtId="169" fontId="6" fillId="3" borderId="2"/>
    <xf numFmtId="167" fontId="6" fillId="3" borderId="2"/>
    <xf numFmtId="43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26" fillId="0" borderId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0" fillId="4" borderId="0" xfId="0" applyFont="1" applyFill="1"/>
    <xf numFmtId="0" fontId="21" fillId="4" borderId="0" xfId="12" applyFont="1" applyFill="1" applyAlignment="1" applyProtection="1"/>
    <xf numFmtId="0" fontId="22" fillId="0" borderId="0" xfId="12" applyFont="1" applyAlignment="1" applyProtection="1"/>
    <xf numFmtId="0" fontId="22" fillId="0" borderId="0" xfId="12" applyFont="1" applyFill="1" applyAlignment="1" applyProtection="1"/>
    <xf numFmtId="0" fontId="20" fillId="4" borderId="0" xfId="0" applyFont="1" applyFill="1" applyAlignment="1">
      <alignment horizontal="left"/>
    </xf>
    <xf numFmtId="0" fontId="12" fillId="4" borderId="0" xfId="0" applyFont="1" applyFill="1"/>
    <xf numFmtId="0" fontId="11" fillId="4" borderId="0" xfId="0" applyFont="1" applyFill="1"/>
    <xf numFmtId="0" fontId="9" fillId="0" borderId="0" xfId="12" applyAlignment="1" applyProtection="1"/>
    <xf numFmtId="168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11" fillId="5" borderId="0" xfId="0" applyNumberFormat="1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169" fontId="23" fillId="0" borderId="0" xfId="13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 indent="2"/>
    </xf>
    <xf numFmtId="169" fontId="25" fillId="0" borderId="0" xfId="13" applyFont="1" applyBorder="1">
      <alignment vertical="center"/>
    </xf>
    <xf numFmtId="0" fontId="13" fillId="0" borderId="0" xfId="0" applyFont="1" applyAlignment="1">
      <alignment horizontal="left" vertical="center" wrapText="1" indent="2"/>
    </xf>
    <xf numFmtId="169" fontId="17" fillId="0" borderId="0" xfId="13" applyFont="1" applyBorder="1">
      <alignment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6" xfId="0" applyFont="1" applyBorder="1"/>
    <xf numFmtId="169" fontId="16" fillId="0" borderId="0" xfId="13" applyFont="1" applyBorder="1">
      <alignment vertical="center"/>
    </xf>
    <xf numFmtId="168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43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13" fillId="0" borderId="5" xfId="0" applyFont="1" applyBorder="1" applyAlignment="1">
      <alignment horizontal="left" inden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6" xfId="0" applyFont="1" applyBorder="1"/>
    <xf numFmtId="169" fontId="17" fillId="0" borderId="6" xfId="13" applyFont="1" applyBorder="1">
      <alignment vertical="center"/>
    </xf>
    <xf numFmtId="0" fontId="17" fillId="0" borderId="0" xfId="0" applyFont="1"/>
    <xf numFmtId="0" fontId="2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9" xfId="0" applyFont="1" applyBorder="1"/>
    <xf numFmtId="172" fontId="13" fillId="0" borderId="6" xfId="0" applyNumberFormat="1" applyFont="1" applyBorder="1" applyAlignment="1">
      <alignment horizontal="right"/>
    </xf>
    <xf numFmtId="168" fontId="21" fillId="5" borderId="0" xfId="0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vertical="center"/>
    </xf>
    <xf numFmtId="0" fontId="2" fillId="6" borderId="0" xfId="0" applyFont="1" applyFill="1"/>
    <xf numFmtId="169" fontId="25" fillId="6" borderId="0" xfId="13" applyFont="1" applyFill="1" applyBorder="1">
      <alignment vertical="center"/>
    </xf>
    <xf numFmtId="0" fontId="17" fillId="6" borderId="0" xfId="0" applyFont="1" applyFill="1"/>
    <xf numFmtId="169" fontId="17" fillId="6" borderId="0" xfId="13" applyFont="1" applyFill="1" applyBorder="1">
      <alignment vertical="center"/>
    </xf>
    <xf numFmtId="0" fontId="13" fillId="7" borderId="4" xfId="0" applyFont="1" applyFill="1" applyBorder="1" applyAlignment="1">
      <alignment horizontal="left" vertical="center" wrapText="1" indent="2"/>
    </xf>
    <xf numFmtId="0" fontId="17" fillId="0" borderId="6" xfId="0" applyFont="1" applyBorder="1" applyAlignment="1">
      <alignment vertical="center" wrapText="1"/>
    </xf>
    <xf numFmtId="0" fontId="20" fillId="5" borderId="0" xfId="0" applyFont="1" applyFill="1" applyAlignment="1">
      <alignment vertical="center" wrapText="1"/>
    </xf>
    <xf numFmtId="0" fontId="13" fillId="7" borderId="4" xfId="0" applyFont="1" applyFill="1" applyBorder="1"/>
    <xf numFmtId="169" fontId="28" fillId="7" borderId="4" xfId="13" applyFont="1" applyFill="1" applyBorder="1">
      <alignment vertical="center"/>
    </xf>
    <xf numFmtId="0" fontId="15" fillId="7" borderId="4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 indent="2"/>
    </xf>
    <xf numFmtId="0" fontId="29" fillId="4" borderId="0" xfId="0" applyFont="1" applyFill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7" fontId="24" fillId="0" borderId="0" xfId="2" applyNumberFormat="1" applyFont="1" applyBorder="1" applyAlignment="1">
      <alignment vertical="center"/>
    </xf>
    <xf numFmtId="172" fontId="17" fillId="0" borderId="0" xfId="13" applyNumberFormat="1" applyFont="1" applyBorder="1">
      <alignment vertical="center"/>
    </xf>
    <xf numFmtId="169" fontId="24" fillId="0" borderId="0" xfId="13" applyFont="1" applyBorder="1" applyAlignment="1">
      <alignment horizontal="right" vertical="center"/>
    </xf>
    <xf numFmtId="169" fontId="16" fillId="0" borderId="0" xfId="13" applyFont="1" applyBorder="1" applyAlignment="1">
      <alignment horizontal="right" vertical="center"/>
    </xf>
    <xf numFmtId="166" fontId="13" fillId="0" borderId="3" xfId="1" applyNumberFormat="1" applyFont="1" applyFill="1" applyBorder="1" applyAlignment="1">
      <alignment horizontal="right" vertical="center" wrapText="1"/>
    </xf>
    <xf numFmtId="170" fontId="18" fillId="0" borderId="0" xfId="13" applyNumberFormat="1" applyFont="1" applyBorder="1" applyAlignment="1">
      <alignment horizontal="right" vertical="center"/>
    </xf>
    <xf numFmtId="166" fontId="13" fillId="0" borderId="0" xfId="1" applyNumberFormat="1" applyFont="1" applyFill="1" applyBorder="1" applyAlignment="1">
      <alignment horizontal="right" vertical="center" wrapText="1"/>
    </xf>
    <xf numFmtId="169" fontId="23" fillId="0" borderId="0" xfId="13" applyFont="1" applyBorder="1" applyAlignment="1">
      <alignment horizontal="right" vertical="center"/>
    </xf>
    <xf numFmtId="169" fontId="25" fillId="0" borderId="0" xfId="13" applyFont="1" applyBorder="1" applyAlignment="1">
      <alignment horizontal="right" vertical="center"/>
    </xf>
    <xf numFmtId="171" fontId="13" fillId="0" borderId="3" xfId="0" applyNumberFormat="1" applyFont="1" applyBorder="1" applyAlignment="1">
      <alignment horizontal="right" vertical="center" wrapText="1"/>
    </xf>
    <xf numFmtId="171" fontId="13" fillId="7" borderId="4" xfId="0" applyNumberFormat="1" applyFont="1" applyFill="1" applyBorder="1" applyAlignment="1">
      <alignment horizontal="right" vertical="center" wrapText="1"/>
    </xf>
    <xf numFmtId="171" fontId="13" fillId="0" borderId="0" xfId="0" applyNumberFormat="1" applyFont="1" applyAlignment="1">
      <alignment horizontal="right" vertical="center" wrapText="1"/>
    </xf>
    <xf numFmtId="167" fontId="23" fillId="0" borderId="0" xfId="2" applyNumberFormat="1" applyFont="1" applyFill="1" applyBorder="1" applyAlignment="1">
      <alignment horizontal="right" vertical="center"/>
    </xf>
    <xf numFmtId="167" fontId="16" fillId="0" borderId="0" xfId="2" applyNumberFormat="1" applyFont="1" applyFill="1" applyBorder="1" applyAlignment="1">
      <alignment horizontal="right" vertical="center"/>
    </xf>
    <xf numFmtId="169" fontId="16" fillId="0" borderId="5" xfId="13" applyFont="1" applyBorder="1" applyAlignment="1">
      <alignment horizontal="right" vertical="center"/>
    </xf>
    <xf numFmtId="167" fontId="13" fillId="0" borderId="0" xfId="2" applyNumberFormat="1" applyFont="1" applyFill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169" fontId="17" fillId="0" borderId="5" xfId="13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2" fontId="24" fillId="0" borderId="0" xfId="13" applyNumberFormat="1" applyFont="1" applyBorder="1" applyAlignment="1">
      <alignment horizontal="right" vertical="center"/>
    </xf>
    <xf numFmtId="167" fontId="13" fillId="0" borderId="0" xfId="2" applyNumberFormat="1" applyFont="1" applyAlignment="1">
      <alignment vertical="center" wrapText="1"/>
    </xf>
    <xf numFmtId="169" fontId="13" fillId="0" borderId="3" xfId="0" applyNumberFormat="1" applyFont="1" applyBorder="1" applyAlignment="1">
      <alignment horizontal="right" vertical="center"/>
    </xf>
    <xf numFmtId="169" fontId="13" fillId="0" borderId="0" xfId="0" applyNumberFormat="1" applyFont="1" applyAlignment="1">
      <alignment horizontal="right" vertical="center"/>
    </xf>
    <xf numFmtId="166" fontId="25" fillId="0" borderId="0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6" fontId="13" fillId="7" borderId="4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9" fontId="17" fillId="0" borderId="3" xfId="13" applyFont="1" applyBorder="1" applyAlignment="1">
      <alignment horizontal="right" vertical="center"/>
    </xf>
    <xf numFmtId="169" fontId="17" fillId="0" borderId="0" xfId="13" applyFont="1" applyBorder="1" applyAlignment="1">
      <alignment horizontal="right" vertical="center"/>
    </xf>
    <xf numFmtId="166" fontId="17" fillId="0" borderId="6" xfId="1" applyNumberFormat="1" applyFont="1" applyFill="1" applyBorder="1" applyAlignment="1">
      <alignment horizontal="right" vertical="center" wrapText="1"/>
    </xf>
    <xf numFmtId="4" fontId="2" fillId="0" borderId="0" xfId="0" applyNumberFormat="1" applyFont="1" applyAlignment="1">
      <alignment horizontal="right"/>
    </xf>
    <xf numFmtId="169" fontId="17" fillId="0" borderId="6" xfId="13" applyFont="1" applyBorder="1" applyAlignment="1">
      <alignment horizontal="right" vertical="center"/>
    </xf>
    <xf numFmtId="169" fontId="17" fillId="7" borderId="4" xfId="13" applyFont="1" applyFill="1" applyBorder="1">
      <alignment vertical="center"/>
    </xf>
    <xf numFmtId="169" fontId="14" fillId="0" borderId="0" xfId="13" applyFont="1" applyBorder="1" applyAlignment="1">
      <alignment horizontal="right" vertical="center"/>
    </xf>
    <xf numFmtId="169" fontId="27" fillId="0" borderId="0" xfId="13" applyFont="1" applyBorder="1" applyAlignment="1">
      <alignment horizontal="right" vertical="center"/>
    </xf>
    <xf numFmtId="169" fontId="2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169" fontId="28" fillId="0" borderId="6" xfId="13" applyFont="1" applyBorder="1" applyAlignment="1">
      <alignment horizontal="right" vertical="center"/>
    </xf>
    <xf numFmtId="167" fontId="24" fillId="0" borderId="0" xfId="2" applyNumberFormat="1" applyFont="1" applyFill="1" applyBorder="1" applyAlignment="1">
      <alignment horizontal="right" vertical="center"/>
    </xf>
    <xf numFmtId="0" fontId="30" fillId="0" borderId="0" xfId="0" applyFont="1"/>
    <xf numFmtId="0" fontId="13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17" fillId="7" borderId="4" xfId="0" applyFont="1" applyFill="1" applyBorder="1" applyAlignment="1">
      <alignment vertical="center" wrapText="1"/>
    </xf>
    <xf numFmtId="43" fontId="2" fillId="0" borderId="0" xfId="0" applyNumberFormat="1" applyFont="1" applyAlignment="1">
      <alignment horizontal="left" vertical="center" indent="2"/>
    </xf>
    <xf numFmtId="0" fontId="25" fillId="0" borderId="0" xfId="0" applyFont="1" applyAlignment="1">
      <alignment vertical="center"/>
    </xf>
    <xf numFmtId="167" fontId="2" fillId="0" borderId="0" xfId="2" applyNumberFormat="1" applyFont="1" applyAlignment="1">
      <alignment horizontal="right" vertical="center"/>
    </xf>
    <xf numFmtId="165" fontId="2" fillId="0" borderId="0" xfId="1" applyFont="1" applyAlignment="1">
      <alignment horizontal="right"/>
    </xf>
    <xf numFmtId="43" fontId="2" fillId="0" borderId="0" xfId="0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169" fontId="25" fillId="0" borderId="0" xfId="13" applyFont="1" applyFill="1" applyBorder="1" applyAlignment="1">
      <alignment horizontal="right" vertical="center"/>
    </xf>
    <xf numFmtId="4" fontId="2" fillId="8" borderId="0" xfId="0" applyNumberFormat="1" applyFont="1" applyFill="1" applyAlignment="1">
      <alignment horizontal="right"/>
    </xf>
    <xf numFmtId="169" fontId="2" fillId="0" borderId="0" xfId="0" applyNumberFormat="1" applyFont="1" applyFill="1"/>
    <xf numFmtId="0" fontId="13" fillId="8" borderId="0" xfId="0" applyFont="1" applyFill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vertical="center" wrapText="1"/>
    </xf>
    <xf numFmtId="169" fontId="25" fillId="8" borderId="0" xfId="13" applyFont="1" applyFill="1" applyBorder="1" applyAlignment="1">
      <alignment horizontal="right" vertical="center"/>
    </xf>
    <xf numFmtId="172" fontId="24" fillId="8" borderId="0" xfId="13" applyNumberFormat="1" applyFont="1" applyFill="1" applyBorder="1" applyAlignment="1">
      <alignment horizontal="right" vertical="center"/>
    </xf>
    <xf numFmtId="172" fontId="25" fillId="8" borderId="0" xfId="13" applyNumberFormat="1" applyFont="1" applyFill="1" applyBorder="1" applyAlignment="1">
      <alignment horizontal="right" vertical="center"/>
    </xf>
    <xf numFmtId="169" fontId="16" fillId="8" borderId="0" xfId="13" applyFont="1" applyFill="1" applyBorder="1" applyAlignment="1">
      <alignment horizontal="right" vertical="center"/>
    </xf>
    <xf numFmtId="0" fontId="0" fillId="8" borderId="0" xfId="0" applyFill="1"/>
    <xf numFmtId="0" fontId="0" fillId="9" borderId="0" xfId="0" applyFill="1"/>
    <xf numFmtId="4" fontId="0" fillId="0" borderId="0" xfId="0" applyNumberFormat="1"/>
    <xf numFmtId="169" fontId="25" fillId="0" borderId="0" xfId="13" quotePrefix="1" applyFont="1" applyBorder="1">
      <alignment vertical="center"/>
    </xf>
    <xf numFmtId="0" fontId="31" fillId="0" borderId="0" xfId="0" applyFont="1"/>
    <xf numFmtId="0" fontId="32" fillId="0" borderId="0" xfId="0" applyFont="1"/>
    <xf numFmtId="169" fontId="25" fillId="8" borderId="0" xfId="13" applyFont="1" applyFill="1" applyBorder="1">
      <alignment vertical="center"/>
    </xf>
    <xf numFmtId="169" fontId="17" fillId="8" borderId="6" xfId="13" applyFont="1" applyFill="1" applyBorder="1">
      <alignment vertical="center"/>
    </xf>
    <xf numFmtId="169" fontId="2" fillId="0" borderId="0" xfId="13" applyFont="1" applyBorder="1" applyAlignment="1">
      <alignment horizontal="right" vertical="center"/>
    </xf>
    <xf numFmtId="0" fontId="7" fillId="5" borderId="0" xfId="0" applyFont="1" applyFill="1" applyAlignment="1">
      <alignment horizontal="center"/>
    </xf>
  </cellXfs>
  <cellStyles count="23">
    <cellStyle name="Assume #" xfId="15"/>
    <cellStyle name="Assume %" xfId="16"/>
    <cellStyle name="Comma" xfId="1" builtinId="3"/>
    <cellStyle name="Comma 2" xfId="5"/>
    <cellStyle name="Comma 2 2" xfId="18"/>
    <cellStyle name="Comma 3" xfId="6"/>
    <cellStyle name="Comma 4" xfId="11"/>
    <cellStyle name="Comma 5" xfId="17"/>
    <cellStyle name="Currency 2" xfId="4"/>
    <cellStyle name="Currency 3" xfId="9"/>
    <cellStyle name="Estimates" xfId="14"/>
    <cellStyle name="GivenData" xfId="13"/>
    <cellStyle name="Hyperlink" xfId="12" builtinId="8"/>
    <cellStyle name="Normal" xfId="0" builtinId="0"/>
    <cellStyle name="Normal 2" xfId="3"/>
    <cellStyle name="Normal 2 2" xfId="19"/>
    <cellStyle name="Normal 2 2 2" xfId="21"/>
    <cellStyle name="Normal 3" xfId="8"/>
    <cellStyle name="Percent" xfId="2" builtinId="5"/>
    <cellStyle name="Percent 2" xfId="7"/>
    <cellStyle name="Percent 2 2" xfId="20"/>
    <cellStyle name="Percent 3" xfId="10"/>
    <cellStyle name="TTS" xfId="22"/>
  </cellStyles>
  <dxfs count="0"/>
  <tableStyles count="0" defaultTableStyle="TableStyleMedium2" defaultPivotStyle="PivotStyleLight16"/>
  <colors>
    <mruColors>
      <color rgb="FF009600"/>
      <color rgb="FF00AF00"/>
      <color rgb="FF0C4E54"/>
      <color rgb="FF0BA1A1"/>
      <color rgb="FF00C800"/>
      <color rgb="FF006400"/>
      <color rgb="FF00B000"/>
      <color rgb="FF50FB47"/>
      <color rgb="FF38783E"/>
      <color rgb="FF209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95683</xdr:colOff>
      <xdr:row>3</xdr:row>
      <xdr:rowOff>110181</xdr:rowOff>
    </xdr:from>
    <xdr:to>
      <xdr:col>1</xdr:col>
      <xdr:colOff>956300</xdr:colOff>
      <xdr:row>5</xdr:row>
      <xdr:rowOff>108137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83" y="1548456"/>
          <a:ext cx="1602446" cy="356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4824104-7E77-453F-8F43-08FB04979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5118"/>
          <a:ext cx="1599645" cy="358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DC73F38-32B0-4BA8-B42E-56ABF255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0AFF843-B814-4F05-BDCA-09F57D38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C74E22-A163-4C7D-8D48-19707E28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0379206-9021-4E5D-A776-BD127D33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11F020-88C1-4CBA-89FE-D1DB3000B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225"/>
          <a:ext cx="1602446" cy="359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0096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llstreetmoj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AF00"/>
  </sheetPr>
  <dimension ref="A1:H14"/>
  <sheetViews>
    <sheetView zoomScaleNormal="100" workbookViewId="0">
      <selection activeCell="F18" sqref="F18"/>
    </sheetView>
  </sheetViews>
  <sheetFormatPr defaultColWidth="9.140625" defaultRowHeight="14.25"/>
  <cols>
    <col min="1" max="1" width="11" style="1" customWidth="1"/>
    <col min="2" max="2" width="23.140625" style="1" customWidth="1"/>
    <col min="3" max="3" width="26.42578125" style="1" customWidth="1"/>
    <col min="4" max="4" width="9.140625" style="1"/>
    <col min="5" max="5" width="18.5703125" style="1" customWidth="1"/>
    <col min="6" max="6" width="26.140625" style="1" customWidth="1"/>
    <col min="7" max="7" width="11.28515625" style="1" customWidth="1"/>
    <col min="8" max="8" width="34.28515625" style="1" customWidth="1"/>
    <col min="9" max="16384" width="9.140625" style="1"/>
  </cols>
  <sheetData>
    <row r="1" spans="1:8" ht="26.25">
      <c r="A1" s="61" t="s">
        <v>98</v>
      </c>
      <c r="B1" s="3"/>
      <c r="C1" s="3"/>
      <c r="D1" s="3"/>
      <c r="E1" s="3"/>
      <c r="F1" s="3"/>
      <c r="G1" s="3"/>
      <c r="H1" s="3"/>
    </row>
    <row r="2" spans="1:8" ht="15">
      <c r="A2" s="4" t="s">
        <v>8</v>
      </c>
      <c r="B2" s="5" t="s">
        <v>2</v>
      </c>
      <c r="C2" s="3"/>
      <c r="D2" s="3"/>
      <c r="E2" s="3"/>
      <c r="F2" s="5"/>
      <c r="G2" s="5"/>
      <c r="H2" s="3"/>
    </row>
    <row r="3" spans="1:8" ht="15">
      <c r="A3" s="4"/>
      <c r="B3" s="3"/>
      <c r="C3" s="3"/>
      <c r="D3" s="3"/>
      <c r="E3" s="3"/>
      <c r="F3" s="3"/>
      <c r="G3" s="3"/>
      <c r="H3" s="3"/>
    </row>
    <row r="4" spans="1:8">
      <c r="A4" s="2"/>
      <c r="B4" s="2"/>
      <c r="C4" s="6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 ht="17.25">
      <c r="A7" s="2"/>
      <c r="B7" s="11" t="s">
        <v>109</v>
      </c>
      <c r="C7" s="2" t="s">
        <v>168</v>
      </c>
      <c r="D7" s="2"/>
      <c r="E7" s="2"/>
      <c r="F7" s="2"/>
      <c r="G7" s="2"/>
      <c r="H7" s="2"/>
    </row>
    <row r="8" spans="1:8" ht="17.25">
      <c r="A8" s="2"/>
      <c r="B8" s="11" t="s">
        <v>96</v>
      </c>
      <c r="C8" s="2" t="s">
        <v>169</v>
      </c>
      <c r="D8" s="2"/>
      <c r="E8" s="2"/>
      <c r="F8" s="2"/>
      <c r="G8" s="2"/>
      <c r="H8" s="2"/>
    </row>
    <row r="9" spans="1:8" ht="17.25">
      <c r="A9" s="2"/>
      <c r="B9" s="11" t="s">
        <v>97</v>
      </c>
      <c r="C9" s="2" t="s">
        <v>169</v>
      </c>
      <c r="D9" s="2"/>
      <c r="E9" s="2"/>
      <c r="F9" s="2"/>
      <c r="G9" s="2"/>
      <c r="H9" s="2"/>
    </row>
    <row r="10" spans="1:8" ht="17.25">
      <c r="A10" s="2"/>
      <c r="B10" s="11" t="s">
        <v>76</v>
      </c>
      <c r="C10" s="2" t="s">
        <v>170</v>
      </c>
      <c r="D10" s="2"/>
      <c r="E10" s="2"/>
      <c r="F10" s="2"/>
      <c r="G10" s="2"/>
      <c r="H10" s="2"/>
    </row>
    <row r="11" spans="1:8" ht="17.25">
      <c r="A11" s="2"/>
      <c r="B11" s="11" t="s">
        <v>44</v>
      </c>
      <c r="C11" s="2" t="s">
        <v>170</v>
      </c>
      <c r="D11" s="2"/>
      <c r="E11" s="2"/>
      <c r="F11" s="2"/>
      <c r="G11" s="2"/>
      <c r="H11" s="2"/>
    </row>
    <row r="12" spans="1:8" ht="17.25">
      <c r="A12" s="2"/>
      <c r="B12" s="11" t="s">
        <v>71</v>
      </c>
      <c r="C12" s="2" t="s">
        <v>170</v>
      </c>
      <c r="D12" s="2"/>
      <c r="E12" s="2"/>
      <c r="F12" s="2"/>
      <c r="G12" s="2"/>
      <c r="H12" s="2"/>
    </row>
    <row r="13" spans="1:8">
      <c r="A13" s="2"/>
      <c r="B13" s="7"/>
      <c r="C13" s="7"/>
      <c r="D13" s="2"/>
      <c r="E13" s="2"/>
      <c r="F13" s="2"/>
      <c r="G13" s="2"/>
      <c r="H13" s="2"/>
    </row>
    <row r="14" spans="1:8" ht="15">
      <c r="A14" s="8" t="s">
        <v>9</v>
      </c>
      <c r="B14" s="9" t="s">
        <v>7</v>
      </c>
      <c r="C14" s="5"/>
      <c r="D14" s="10"/>
      <c r="E14" s="10"/>
      <c r="F14" s="10"/>
      <c r="G14" s="10"/>
      <c r="H14" s="10"/>
    </row>
  </sheetData>
  <hyperlinks>
    <hyperlink ref="B2" r:id="rId1"/>
    <hyperlink ref="B7" location="'Apex Solutions IS'!A1" display="Delta Foods IS"/>
    <hyperlink ref="B8" location="'Apex Solutions BS'!A1" display="Apex Solutions BS"/>
    <hyperlink ref="B9" location="Index!A1" display="Apex Solutions CF"/>
    <hyperlink ref="B10" location="'Dep Capex'!A1" display="Dep Capex"/>
    <hyperlink ref="B11" location="'Working Capital'!A1" display="Working Capital"/>
    <hyperlink ref="B12" location="Debt!A1" display="Debt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tabSelected="1" zoomScaleNormal="10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defaultColWidth="8.7109375" defaultRowHeight="14.25" zeroHeight="1"/>
  <cols>
    <col min="1" max="1" width="3.5703125" style="15" customWidth="1"/>
    <col min="2" max="2" width="48.85546875" style="25" customWidth="1"/>
    <col min="3" max="3" width="14.140625" style="15" bestFit="1" customWidth="1"/>
    <col min="4" max="5" width="11.7109375" style="15" bestFit="1" customWidth="1"/>
    <col min="6" max="8" width="13.140625" style="15" bestFit="1" customWidth="1"/>
    <col min="9" max="9" width="14.5703125" style="15" customWidth="1"/>
    <col min="10" max="10" width="16.5703125" style="15" customWidth="1"/>
    <col min="11" max="16384" width="8.7109375" style="15"/>
  </cols>
  <sheetData>
    <row r="1" spans="1:14" ht="33.75" customHeight="1">
      <c r="A1" s="49" t="s">
        <v>87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4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4">
      <c r="A3" s="14"/>
      <c r="B3" s="31"/>
      <c r="C3" s="30"/>
      <c r="D3" s="30"/>
      <c r="E3" s="30"/>
      <c r="F3" s="30"/>
      <c r="G3" s="30"/>
      <c r="H3" s="30"/>
      <c r="I3" s="30"/>
      <c r="J3" s="30"/>
    </row>
    <row r="4" spans="1:14">
      <c r="A4" s="14"/>
      <c r="B4" s="31"/>
      <c r="C4" s="30"/>
      <c r="D4" s="30"/>
      <c r="E4" s="30"/>
      <c r="F4" s="30"/>
      <c r="G4" s="30"/>
      <c r="H4" s="30"/>
      <c r="I4" s="30"/>
      <c r="J4" s="30"/>
    </row>
    <row r="5" spans="1:14" ht="15">
      <c r="B5" s="32" t="s">
        <v>12</v>
      </c>
      <c r="C5" s="25"/>
      <c r="D5" s="25"/>
      <c r="E5" s="25"/>
      <c r="K5" s="18"/>
      <c r="L5" s="18"/>
      <c r="M5" s="18"/>
    </row>
    <row r="6" spans="1:14">
      <c r="B6" s="24" t="s">
        <v>105</v>
      </c>
      <c r="C6" s="66">
        <v>12000</v>
      </c>
      <c r="D6" s="66">
        <v>15000</v>
      </c>
      <c r="E6" s="66">
        <v>18500</v>
      </c>
      <c r="F6" s="67">
        <f>E6*(1+F35)</f>
        <v>22200</v>
      </c>
      <c r="G6" s="67">
        <f>F6*(1+G35)</f>
        <v>26640</v>
      </c>
      <c r="H6" s="67">
        <f>G6*(1+H35)</f>
        <v>31968</v>
      </c>
      <c r="I6" s="67">
        <f t="shared" ref="I6:J6" si="0">H6*(1+I35)</f>
        <v>38361.599999999999</v>
      </c>
      <c r="J6" s="67">
        <f t="shared" si="0"/>
        <v>46033.919999999998</v>
      </c>
      <c r="K6" s="15" t="s">
        <v>135</v>
      </c>
      <c r="L6" s="107"/>
      <c r="M6" s="18"/>
    </row>
    <row r="7" spans="1:14">
      <c r="B7" s="24" t="s">
        <v>106</v>
      </c>
      <c r="C7" s="66">
        <v>8500</v>
      </c>
      <c r="D7" s="66">
        <v>10200</v>
      </c>
      <c r="E7" s="66">
        <v>12300</v>
      </c>
      <c r="F7" s="67">
        <f t="shared" ref="F7:J8" si="1">E7*(1+F36)</f>
        <v>14514</v>
      </c>
      <c r="G7" s="67">
        <f t="shared" si="1"/>
        <v>17126.52</v>
      </c>
      <c r="H7" s="67">
        <f t="shared" si="1"/>
        <v>20209.293600000001</v>
      </c>
      <c r="I7" s="67">
        <f t="shared" si="1"/>
        <v>23846.966447999999</v>
      </c>
      <c r="J7" s="67">
        <f t="shared" si="1"/>
        <v>28139.420408639999</v>
      </c>
      <c r="K7" s="108"/>
      <c r="L7" s="107"/>
      <c r="M7" s="18"/>
    </row>
    <row r="8" spans="1:14">
      <c r="B8" s="24" t="s">
        <v>88</v>
      </c>
      <c r="C8" s="66">
        <v>5000</v>
      </c>
      <c r="D8" s="66">
        <v>6500</v>
      </c>
      <c r="E8" s="66">
        <v>8000</v>
      </c>
      <c r="F8" s="67">
        <f t="shared" si="1"/>
        <v>9280</v>
      </c>
      <c r="G8" s="67">
        <f t="shared" si="1"/>
        <v>10764.8</v>
      </c>
      <c r="H8" s="67">
        <f t="shared" si="1"/>
        <v>12487.167999999998</v>
      </c>
      <c r="I8" s="67">
        <f t="shared" si="1"/>
        <v>14485.114879999997</v>
      </c>
      <c r="J8" s="67">
        <f t="shared" si="1"/>
        <v>16802.733260799996</v>
      </c>
      <c r="L8" s="33"/>
      <c r="M8" s="18"/>
    </row>
    <row r="9" spans="1:14" ht="15">
      <c r="B9" s="19" t="s">
        <v>11</v>
      </c>
      <c r="C9" s="68">
        <f>SUM(C6:C8)</f>
        <v>25500</v>
      </c>
      <c r="D9" s="68">
        <v>31700</v>
      </c>
      <c r="E9" s="68">
        <f t="shared" ref="E9" si="2">SUM(E6:E8)</f>
        <v>38800</v>
      </c>
      <c r="F9" s="68">
        <f>F6+F7+F8</f>
        <v>45994</v>
      </c>
      <c r="G9" s="68">
        <f>G6+G7+G8</f>
        <v>54531.320000000007</v>
      </c>
      <c r="H9" s="68">
        <f t="shared" ref="H9:J9" si="3">H6+H7+H8</f>
        <v>64664.461600000002</v>
      </c>
      <c r="I9" s="68">
        <f t="shared" si="3"/>
        <v>76693.681327999991</v>
      </c>
      <c r="J9" s="68">
        <f t="shared" si="3"/>
        <v>90976.073669439997</v>
      </c>
      <c r="K9" s="15" t="s">
        <v>165</v>
      </c>
      <c r="M9" s="18"/>
    </row>
    <row r="10" spans="1:14" ht="15">
      <c r="B10" s="32" t="s">
        <v>78</v>
      </c>
      <c r="C10" s="69"/>
      <c r="D10" s="69"/>
      <c r="E10" s="69"/>
      <c r="F10" s="69"/>
      <c r="G10" s="69"/>
      <c r="H10" s="69"/>
      <c r="I10" s="69"/>
      <c r="J10" s="69"/>
      <c r="M10" s="18"/>
    </row>
    <row r="11" spans="1:14">
      <c r="B11" s="24" t="s">
        <v>105</v>
      </c>
      <c r="C11" s="66">
        <v>6000</v>
      </c>
      <c r="D11" s="66">
        <v>7500</v>
      </c>
      <c r="E11" s="66">
        <v>9200</v>
      </c>
      <c r="F11" s="67">
        <f>F41</f>
        <v>11100</v>
      </c>
      <c r="G11" s="67">
        <f t="shared" ref="G11:J11" si="4">G41</f>
        <v>13320</v>
      </c>
      <c r="H11" s="67">
        <f t="shared" si="4"/>
        <v>15984</v>
      </c>
      <c r="I11" s="67">
        <f t="shared" si="4"/>
        <v>19180.8</v>
      </c>
      <c r="J11" s="67">
        <f t="shared" si="4"/>
        <v>23016.959999999999</v>
      </c>
      <c r="M11" s="18"/>
    </row>
    <row r="12" spans="1:14">
      <c r="B12" s="24" t="s">
        <v>106</v>
      </c>
      <c r="C12" s="66">
        <v>4000</v>
      </c>
      <c r="D12" s="66">
        <v>4800</v>
      </c>
      <c r="E12" s="66">
        <v>5900</v>
      </c>
      <c r="F12" s="67">
        <f>F48</f>
        <v>6966.7199999999993</v>
      </c>
      <c r="G12" s="67">
        <f t="shared" ref="G12:J12" si="5">G48</f>
        <v>8220.7296000000006</v>
      </c>
      <c r="H12" s="67">
        <f t="shared" si="5"/>
        <v>9700.4609280000004</v>
      </c>
      <c r="I12" s="67">
        <f t="shared" si="5"/>
        <v>11446.543895039998</v>
      </c>
      <c r="J12" s="67">
        <f t="shared" si="5"/>
        <v>13506.921796147199</v>
      </c>
      <c r="M12" s="18"/>
    </row>
    <row r="13" spans="1:14" ht="15">
      <c r="B13" s="24" t="s">
        <v>88</v>
      </c>
      <c r="C13" s="66">
        <v>2500</v>
      </c>
      <c r="D13" s="66">
        <v>3250</v>
      </c>
      <c r="E13" s="66">
        <v>4000</v>
      </c>
      <c r="F13" s="67">
        <f>F55</f>
        <v>4640</v>
      </c>
      <c r="G13" s="67">
        <f t="shared" ref="G13:J13" si="6">G55</f>
        <v>5382.4</v>
      </c>
      <c r="H13" s="67">
        <f t="shared" si="6"/>
        <v>6243.5839999999989</v>
      </c>
      <c r="I13" s="67">
        <f t="shared" si="6"/>
        <v>7242.5574399999987</v>
      </c>
      <c r="J13" s="67">
        <f t="shared" si="6"/>
        <v>8401.366630399998</v>
      </c>
      <c r="N13" s="62"/>
    </row>
    <row r="14" spans="1:14" ht="15">
      <c r="B14" s="19" t="s">
        <v>25</v>
      </c>
      <c r="C14" s="68">
        <f t="shared" ref="C14" si="7">SUM(C11:C13)</f>
        <v>12500</v>
      </c>
      <c r="D14" s="68">
        <f>SUM(D11:D13)</f>
        <v>15550</v>
      </c>
      <c r="E14" s="68">
        <f t="shared" ref="E14" si="8">SUM(E11:E13)</f>
        <v>19100</v>
      </c>
      <c r="F14" s="68">
        <f>F11+F12+F13</f>
        <v>22706.720000000001</v>
      </c>
      <c r="G14" s="68">
        <f t="shared" ref="G14:J14" si="9">G11+G12+G13</f>
        <v>26923.1296</v>
      </c>
      <c r="H14" s="68">
        <f t="shared" si="9"/>
        <v>31928.044927999999</v>
      </c>
      <c r="I14" s="68">
        <f t="shared" si="9"/>
        <v>37869.901335039998</v>
      </c>
      <c r="J14" s="68">
        <f t="shared" si="9"/>
        <v>44925.248426547194</v>
      </c>
      <c r="K14" s="15" t="s">
        <v>134</v>
      </c>
      <c r="N14" s="63"/>
    </row>
    <row r="15" spans="1:14" ht="15">
      <c r="B15" s="104"/>
      <c r="C15" s="70"/>
      <c r="D15" s="70"/>
      <c r="E15" s="70"/>
      <c r="F15" s="70"/>
      <c r="G15" s="70"/>
      <c r="H15" s="70"/>
      <c r="I15" s="70"/>
      <c r="J15" s="70"/>
      <c r="N15" s="63"/>
    </row>
    <row r="16" spans="1:14" ht="15">
      <c r="B16" s="116" t="s">
        <v>136</v>
      </c>
      <c r="C16" s="70">
        <f>C9-C14</f>
        <v>13000</v>
      </c>
      <c r="D16" s="70">
        <f t="shared" ref="D16:E16" si="10">D9-D14</f>
        <v>16150</v>
      </c>
      <c r="E16" s="70">
        <f t="shared" si="10"/>
        <v>19700</v>
      </c>
      <c r="F16" s="70">
        <f>F9-F14</f>
        <v>23287.279999999999</v>
      </c>
      <c r="G16" s="70">
        <f t="shared" ref="G16:J16" si="11">G9-G14</f>
        <v>27608.190400000007</v>
      </c>
      <c r="H16" s="70">
        <f t="shared" si="11"/>
        <v>32736.416672000003</v>
      </c>
      <c r="I16" s="70">
        <f t="shared" si="11"/>
        <v>38823.779992959993</v>
      </c>
      <c r="J16" s="70">
        <f t="shared" si="11"/>
        <v>46050.825242892803</v>
      </c>
      <c r="N16" s="63"/>
    </row>
    <row r="17" spans="2:14" ht="15">
      <c r="B17" s="24" t="s">
        <v>29</v>
      </c>
      <c r="C17" s="66">
        <v>4000</v>
      </c>
      <c r="D17" s="66">
        <v>5000</v>
      </c>
      <c r="E17" s="66">
        <v>6000</v>
      </c>
      <c r="F17" s="67">
        <f>F9*F60</f>
        <v>6899.0999999999995</v>
      </c>
      <c r="G17" s="67">
        <f t="shared" ref="G17:J17" si="12">G9*G60</f>
        <v>8179.6980000000003</v>
      </c>
      <c r="H17" s="67">
        <f t="shared" si="12"/>
        <v>9699.6692399999993</v>
      </c>
      <c r="I17" s="67">
        <f t="shared" si="12"/>
        <v>11504.052199199998</v>
      </c>
      <c r="J17" s="67">
        <f t="shared" si="12"/>
        <v>13646.411050416</v>
      </c>
      <c r="N17" s="63"/>
    </row>
    <row r="18" spans="2:14" ht="60">
      <c r="B18" s="117" t="s">
        <v>138</v>
      </c>
      <c r="C18" s="68">
        <f>C16-C17</f>
        <v>9000</v>
      </c>
      <c r="D18" s="68">
        <f t="shared" ref="D18" si="13">D16-D17</f>
        <v>11150</v>
      </c>
      <c r="E18" s="68">
        <f t="shared" ref="E18" si="14">E16-E17</f>
        <v>13700</v>
      </c>
      <c r="F18" s="68">
        <f>F16-F17</f>
        <v>16388.18</v>
      </c>
      <c r="G18" s="68">
        <f t="shared" ref="G18:J18" si="15">G16-G17</f>
        <v>19428.492400000006</v>
      </c>
      <c r="H18" s="68">
        <f t="shared" si="15"/>
        <v>23036.747432000004</v>
      </c>
      <c r="I18" s="68">
        <f t="shared" si="15"/>
        <v>27319.727793759994</v>
      </c>
      <c r="J18" s="68">
        <f t="shared" si="15"/>
        <v>32404.414192476805</v>
      </c>
      <c r="N18" s="63"/>
    </row>
    <row r="19" spans="2:14" ht="15">
      <c r="B19" s="24"/>
      <c r="C19" s="66"/>
      <c r="D19" s="66"/>
      <c r="E19" s="66"/>
      <c r="F19" s="71"/>
      <c r="G19" s="71"/>
      <c r="H19" s="71"/>
      <c r="I19" s="71"/>
      <c r="J19" s="71"/>
      <c r="N19" s="63"/>
    </row>
    <row r="20" spans="2:14" ht="15">
      <c r="B20" s="24" t="s">
        <v>34</v>
      </c>
      <c r="C20" s="66">
        <v>1200</v>
      </c>
      <c r="D20" s="66">
        <v>1400</v>
      </c>
      <c r="E20" s="66">
        <v>1700</v>
      </c>
      <c r="F20" s="119">
        <f>'Dep Capex'!F7</f>
        <v>2069.73</v>
      </c>
      <c r="G20" s="119">
        <f>'Dep Capex'!G7</f>
        <v>2453.9094</v>
      </c>
      <c r="H20" s="119">
        <f>'Dep Capex'!H7</f>
        <v>2909.900772</v>
      </c>
      <c r="I20" s="119">
        <f>'Dep Capex'!I7</f>
        <v>3451.2156597599997</v>
      </c>
      <c r="J20" s="119">
        <f>'Dep Capex'!J7</f>
        <v>4093.9233151247995</v>
      </c>
      <c r="N20" s="63"/>
    </row>
    <row r="21" spans="2:14" ht="15">
      <c r="B21" s="24" t="s">
        <v>186</v>
      </c>
      <c r="C21" s="83">
        <v>0</v>
      </c>
      <c r="D21" s="83">
        <v>0</v>
      </c>
      <c r="E21" s="83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N21" s="63"/>
    </row>
    <row r="22" spans="2:14" ht="30">
      <c r="B22" s="117" t="s">
        <v>137</v>
      </c>
      <c r="C22" s="68">
        <f t="shared" ref="C22" si="16">C18-C20-C21</f>
        <v>7800</v>
      </c>
      <c r="D22" s="68">
        <f t="shared" ref="D22" si="17">D18-D20-D21</f>
        <v>9750</v>
      </c>
      <c r="E22" s="68">
        <f t="shared" ref="E22" si="18">E18-E20-E21</f>
        <v>12000</v>
      </c>
      <c r="F22" s="68">
        <f>F18-F20-F21</f>
        <v>14318.45</v>
      </c>
      <c r="G22" s="68">
        <f t="shared" ref="G22:J22" si="19">G18-G20-G21</f>
        <v>16974.583000000006</v>
      </c>
      <c r="H22" s="68">
        <f t="shared" si="19"/>
        <v>20126.846660000003</v>
      </c>
      <c r="I22" s="68">
        <f t="shared" si="19"/>
        <v>23868.512133999993</v>
      </c>
      <c r="J22" s="68">
        <f t="shared" si="19"/>
        <v>28310.490877352004</v>
      </c>
    </row>
    <row r="23" spans="2:14">
      <c r="B23" s="15"/>
      <c r="C23" s="71"/>
      <c r="D23" s="71"/>
      <c r="E23" s="71"/>
      <c r="F23" s="71"/>
      <c r="G23" s="71"/>
      <c r="H23" s="71"/>
      <c r="I23" s="71"/>
      <c r="J23" s="71"/>
    </row>
    <row r="24" spans="2:14">
      <c r="B24" s="34" t="s">
        <v>22</v>
      </c>
      <c r="C24" s="66">
        <v>2200</v>
      </c>
      <c r="D24" s="66">
        <v>2050</v>
      </c>
      <c r="E24" s="66">
        <v>1800</v>
      </c>
      <c r="F24" s="119">
        <f>Debt!F15</f>
        <v>2223</v>
      </c>
      <c r="G24" s="119">
        <f>Debt!G15</f>
        <v>2133</v>
      </c>
      <c r="H24" s="119">
        <f>Debt!H15</f>
        <v>2043</v>
      </c>
      <c r="I24" s="119">
        <f>Debt!I15</f>
        <v>1953</v>
      </c>
      <c r="J24" s="119">
        <f>Debt!J15</f>
        <v>1863</v>
      </c>
    </row>
    <row r="25" spans="2:14">
      <c r="B25" s="24" t="s">
        <v>35</v>
      </c>
      <c r="C25" s="66">
        <v>100</v>
      </c>
      <c r="D25" s="66">
        <v>150</v>
      </c>
      <c r="E25" s="66">
        <v>200</v>
      </c>
      <c r="F25" s="121">
        <v>38.6</v>
      </c>
      <c r="G25" s="121">
        <f>Debt!G20</f>
        <v>46.210753593287791</v>
      </c>
      <c r="H25" s="121">
        <f>Debt!H20</f>
        <v>86.618962042742652</v>
      </c>
      <c r="I25" s="121">
        <f>Debt!I20</f>
        <v>190.58941429222116</v>
      </c>
      <c r="J25" s="121">
        <f>Debt!J20</f>
        <v>376.59603880548656</v>
      </c>
    </row>
    <row r="26" spans="2:14" ht="15">
      <c r="B26" s="19" t="s">
        <v>36</v>
      </c>
      <c r="C26" s="68">
        <f t="shared" ref="C26:D26" si="20">C24-C25</f>
        <v>2100</v>
      </c>
      <c r="D26" s="68">
        <f t="shared" si="20"/>
        <v>1900</v>
      </c>
      <c r="E26" s="68">
        <f>E24-E25</f>
        <v>1600</v>
      </c>
      <c r="F26" s="68">
        <f>F24-F25</f>
        <v>2184.4</v>
      </c>
      <c r="G26" s="68">
        <v>2063.1</v>
      </c>
      <c r="H26" s="68">
        <v>1934.2</v>
      </c>
      <c r="I26" s="68">
        <v>1743</v>
      </c>
      <c r="J26" s="68">
        <v>1469.5</v>
      </c>
    </row>
    <row r="27" spans="2:14">
      <c r="B27" s="24"/>
      <c r="C27" s="71"/>
      <c r="D27" s="71"/>
      <c r="E27" s="71"/>
      <c r="F27" s="71"/>
      <c r="G27" s="71"/>
      <c r="H27" s="71"/>
      <c r="I27" s="71"/>
      <c r="J27" s="71"/>
    </row>
    <row r="28" spans="2:14" ht="15">
      <c r="B28" s="117" t="s">
        <v>139</v>
      </c>
      <c r="C28" s="73">
        <f t="shared" ref="C28" si="21">C22-C26</f>
        <v>5700</v>
      </c>
      <c r="D28" s="73">
        <f>D22-D26</f>
        <v>7850</v>
      </c>
      <c r="E28" s="73">
        <f>E22-E26</f>
        <v>10400</v>
      </c>
      <c r="F28" s="73">
        <f>F22-F26</f>
        <v>12134.050000000001</v>
      </c>
      <c r="G28" s="73">
        <f t="shared" ref="G28:J28" si="22">G22-G26</f>
        <v>14911.483000000006</v>
      </c>
      <c r="H28" s="73">
        <f t="shared" si="22"/>
        <v>18192.646660000002</v>
      </c>
      <c r="I28" s="73">
        <f t="shared" si="22"/>
        <v>22125.512133999993</v>
      </c>
      <c r="J28" s="73">
        <f t="shared" si="22"/>
        <v>26840.990877352004</v>
      </c>
    </row>
    <row r="29" spans="2:14">
      <c r="B29" s="24" t="s">
        <v>82</v>
      </c>
      <c r="C29" s="66">
        <v>1325</v>
      </c>
      <c r="D29" s="66">
        <v>1837.5</v>
      </c>
      <c r="E29" s="66">
        <v>2450</v>
      </c>
      <c r="F29" s="122">
        <f>F28*F62</f>
        <v>2839.3677000000002</v>
      </c>
      <c r="G29" s="122">
        <f t="shared" ref="G29:J29" si="23">G28*G62</f>
        <v>3489.2870220000013</v>
      </c>
      <c r="H29" s="122">
        <f t="shared" si="23"/>
        <v>4257.0793184400009</v>
      </c>
      <c r="I29" s="122">
        <f t="shared" si="23"/>
        <v>5177.3698393559989</v>
      </c>
      <c r="J29" s="122">
        <f t="shared" si="23"/>
        <v>6280.791865300369</v>
      </c>
    </row>
    <row r="30" spans="2:14" ht="15.75" thickBot="1">
      <c r="B30" s="118" t="s">
        <v>140</v>
      </c>
      <c r="C30" s="74">
        <f>C28-C29</f>
        <v>4375</v>
      </c>
      <c r="D30" s="74">
        <f>D28-D29</f>
        <v>6012.5</v>
      </c>
      <c r="E30" s="74">
        <f>E28-E29</f>
        <v>7950</v>
      </c>
      <c r="F30" s="74">
        <f>F28-F29</f>
        <v>9294.6823000000004</v>
      </c>
      <c r="G30" s="74">
        <f t="shared" ref="G30:J30" si="24">G28-G29</f>
        <v>11422.195978000003</v>
      </c>
      <c r="H30" s="74">
        <f t="shared" si="24"/>
        <v>13935.567341560001</v>
      </c>
      <c r="I30" s="74">
        <f t="shared" si="24"/>
        <v>16948.142294643992</v>
      </c>
      <c r="J30" s="74">
        <f t="shared" si="24"/>
        <v>20560.199012051635</v>
      </c>
    </row>
    <row r="31" spans="2:14" ht="15.75" thickTop="1">
      <c r="B31" s="26"/>
      <c r="C31" s="75"/>
      <c r="D31" s="75"/>
      <c r="E31" s="75"/>
      <c r="F31" s="75"/>
      <c r="G31" s="75"/>
      <c r="H31" s="75"/>
      <c r="I31" s="75"/>
      <c r="J31" s="75"/>
    </row>
    <row r="32" spans="2:14" ht="15">
      <c r="B32" s="26"/>
      <c r="C32" s="75"/>
      <c r="D32" s="75"/>
      <c r="E32" s="75"/>
      <c r="F32" s="75"/>
      <c r="G32" s="75"/>
      <c r="H32" s="75"/>
      <c r="I32" s="75"/>
      <c r="J32" s="75"/>
    </row>
    <row r="33" spans="2:10" ht="15">
      <c r="B33" s="56" t="s">
        <v>163</v>
      </c>
      <c r="C33" s="75"/>
      <c r="D33" s="75"/>
      <c r="E33" s="75"/>
      <c r="F33" s="75"/>
      <c r="G33" s="75"/>
      <c r="H33" s="75"/>
      <c r="I33" s="75"/>
      <c r="J33" s="75"/>
    </row>
    <row r="34" spans="2:10" ht="15">
      <c r="B34" s="32" t="s">
        <v>164</v>
      </c>
      <c r="C34" s="71"/>
      <c r="D34" s="71"/>
      <c r="E34" s="71"/>
      <c r="F34" s="71"/>
      <c r="G34" s="71"/>
      <c r="H34" s="71"/>
      <c r="I34" s="71"/>
      <c r="J34" s="71"/>
    </row>
    <row r="35" spans="2:10">
      <c r="B35" s="24" t="s">
        <v>105</v>
      </c>
      <c r="C35" s="76"/>
      <c r="D35" s="77">
        <f t="shared" ref="D35:E37" si="25">D6/C6-1</f>
        <v>0.25</v>
      </c>
      <c r="E35" s="77">
        <f t="shared" si="25"/>
        <v>0.23333333333333339</v>
      </c>
      <c r="F35" s="76">
        <v>0.2</v>
      </c>
      <c r="G35" s="76">
        <v>0.2</v>
      </c>
      <c r="H35" s="76">
        <v>0.2</v>
      </c>
      <c r="I35" s="76">
        <v>0.2</v>
      </c>
      <c r="J35" s="76">
        <v>0.2</v>
      </c>
    </row>
    <row r="36" spans="2:10">
      <c r="B36" s="24" t="s">
        <v>106</v>
      </c>
      <c r="C36" s="76"/>
      <c r="D36" s="77">
        <f t="shared" si="25"/>
        <v>0.19999999999999996</v>
      </c>
      <c r="E36" s="77">
        <f t="shared" si="25"/>
        <v>0.20588235294117641</v>
      </c>
      <c r="F36" s="76">
        <v>0.18</v>
      </c>
      <c r="G36" s="76">
        <v>0.18</v>
      </c>
      <c r="H36" s="76">
        <v>0.18</v>
      </c>
      <c r="I36" s="76">
        <v>0.18</v>
      </c>
      <c r="J36" s="76">
        <v>0.18</v>
      </c>
    </row>
    <row r="37" spans="2:10">
      <c r="B37" s="24" t="s">
        <v>88</v>
      </c>
      <c r="C37" s="76"/>
      <c r="D37" s="77">
        <f t="shared" si="25"/>
        <v>0.30000000000000004</v>
      </c>
      <c r="E37" s="77">
        <f t="shared" si="25"/>
        <v>0.23076923076923084</v>
      </c>
      <c r="F37" s="76">
        <v>0.16</v>
      </c>
      <c r="G37" s="76">
        <v>0.16</v>
      </c>
      <c r="H37" s="76">
        <v>0.16</v>
      </c>
      <c r="I37" s="76">
        <v>0.16</v>
      </c>
      <c r="J37" s="76">
        <v>0.16</v>
      </c>
    </row>
    <row r="38" spans="2:10" ht="15">
      <c r="B38" s="26"/>
      <c r="C38" s="71"/>
      <c r="D38" s="71"/>
      <c r="E38" s="71"/>
      <c r="F38" s="71"/>
      <c r="G38" s="71"/>
      <c r="H38" s="71"/>
      <c r="I38" s="71"/>
      <c r="J38" s="71"/>
    </row>
    <row r="39" spans="2:10" s="2" customFormat="1" ht="15">
      <c r="B39" s="32" t="s">
        <v>105</v>
      </c>
      <c r="C39" s="40"/>
      <c r="D39" s="40"/>
      <c r="E39" s="40"/>
      <c r="F39" s="40"/>
      <c r="G39" s="40"/>
      <c r="H39" s="40"/>
      <c r="I39" s="40"/>
      <c r="J39" s="40"/>
    </row>
    <row r="40" spans="2:10" s="2" customFormat="1">
      <c r="B40" s="35" t="s">
        <v>108</v>
      </c>
      <c r="C40" s="67">
        <f>C6</f>
        <v>12000</v>
      </c>
      <c r="D40" s="67">
        <f t="shared" ref="D40:J40" si="26">D6</f>
        <v>15000</v>
      </c>
      <c r="E40" s="67">
        <f t="shared" si="26"/>
        <v>18500</v>
      </c>
      <c r="F40" s="67">
        <f t="shared" si="26"/>
        <v>22200</v>
      </c>
      <c r="G40" s="67">
        <f t="shared" si="26"/>
        <v>26640</v>
      </c>
      <c r="H40" s="67">
        <f t="shared" si="26"/>
        <v>31968</v>
      </c>
      <c r="I40" s="67">
        <f t="shared" si="26"/>
        <v>38361.599999999999</v>
      </c>
      <c r="J40" s="67">
        <f t="shared" si="26"/>
        <v>46033.919999999998</v>
      </c>
    </row>
    <row r="41" spans="2:10" s="2" customFormat="1">
      <c r="B41" s="36" t="s">
        <v>107</v>
      </c>
      <c r="C41" s="67">
        <f>C11</f>
        <v>6000</v>
      </c>
      <c r="D41" s="67">
        <f t="shared" ref="D41:E41" si="27">D11</f>
        <v>7500</v>
      </c>
      <c r="E41" s="67">
        <f t="shared" si="27"/>
        <v>9200</v>
      </c>
      <c r="F41" s="67">
        <f>F40*F42</f>
        <v>11100</v>
      </c>
      <c r="G41" s="67">
        <f t="shared" ref="G41:J41" si="28">G40*G42</f>
        <v>13320</v>
      </c>
      <c r="H41" s="67">
        <f t="shared" si="28"/>
        <v>15984</v>
      </c>
      <c r="I41" s="67">
        <f t="shared" si="28"/>
        <v>19180.8</v>
      </c>
      <c r="J41" s="67">
        <f t="shared" si="28"/>
        <v>23016.959999999999</v>
      </c>
    </row>
    <row r="42" spans="2:10" s="2" customFormat="1">
      <c r="B42" s="35" t="s">
        <v>79</v>
      </c>
      <c r="C42" s="77">
        <f>C11/C6</f>
        <v>0.5</v>
      </c>
      <c r="D42" s="77">
        <f t="shared" ref="D42:E42" si="29">D11/D6</f>
        <v>0.5</v>
      </c>
      <c r="E42" s="77">
        <f t="shared" si="29"/>
        <v>0.49729729729729732</v>
      </c>
      <c r="F42" s="76">
        <v>0.5</v>
      </c>
      <c r="G42" s="76">
        <v>0.5</v>
      </c>
      <c r="H42" s="76">
        <v>0.5</v>
      </c>
      <c r="I42" s="76">
        <v>0.5</v>
      </c>
      <c r="J42" s="76">
        <v>0.5</v>
      </c>
    </row>
    <row r="43" spans="2:10" s="2" customFormat="1">
      <c r="B43" s="37" t="s">
        <v>26</v>
      </c>
      <c r="C43" s="78">
        <f>C40-C41</f>
        <v>6000</v>
      </c>
      <c r="D43" s="78">
        <f t="shared" ref="D43:J43" si="30">D40-D41</f>
        <v>7500</v>
      </c>
      <c r="E43" s="78">
        <f t="shared" si="30"/>
        <v>9300</v>
      </c>
      <c r="F43" s="78">
        <f t="shared" si="30"/>
        <v>11100</v>
      </c>
      <c r="G43" s="78">
        <f t="shared" si="30"/>
        <v>13320</v>
      </c>
      <c r="H43" s="78">
        <f t="shared" si="30"/>
        <v>15984</v>
      </c>
      <c r="I43" s="78">
        <f t="shared" si="30"/>
        <v>19180.8</v>
      </c>
      <c r="J43" s="78">
        <f t="shared" si="30"/>
        <v>23016.959999999999</v>
      </c>
    </row>
    <row r="44" spans="2:10" s="2" customFormat="1" ht="15">
      <c r="B44" s="27" t="s">
        <v>23</v>
      </c>
      <c r="C44" s="79">
        <f>C43/C40</f>
        <v>0.5</v>
      </c>
      <c r="D44" s="79">
        <f t="shared" ref="D44:E44" si="31">D43/D40</f>
        <v>0.5</v>
      </c>
      <c r="E44" s="79">
        <f t="shared" si="31"/>
        <v>0.50270270270270268</v>
      </c>
      <c r="F44" s="79">
        <f t="shared" ref="F44" si="32">F43/F40</f>
        <v>0.5</v>
      </c>
      <c r="G44" s="79">
        <f t="shared" ref="G44" si="33">G43/G40</f>
        <v>0.5</v>
      </c>
      <c r="H44" s="79">
        <f t="shared" ref="H44" si="34">H43/H40</f>
        <v>0.5</v>
      </c>
      <c r="I44" s="79">
        <f t="shared" ref="I44" si="35">I43/I40</f>
        <v>0.5</v>
      </c>
      <c r="J44" s="79">
        <f t="shared" ref="J44" si="36">J43/J40</f>
        <v>0.5</v>
      </c>
    </row>
    <row r="45" spans="2:10" s="2" customFormat="1" ht="15">
      <c r="C45" s="40"/>
      <c r="D45" s="40"/>
      <c r="E45" s="40"/>
      <c r="F45" s="79"/>
      <c r="G45" s="79"/>
      <c r="H45" s="79"/>
      <c r="I45" s="79"/>
      <c r="J45" s="79"/>
    </row>
    <row r="46" spans="2:10" ht="15">
      <c r="B46" s="32" t="s">
        <v>89</v>
      </c>
      <c r="C46" s="40"/>
      <c r="D46" s="40"/>
      <c r="E46" s="40"/>
      <c r="F46" s="40"/>
      <c r="G46" s="40"/>
      <c r="H46" s="40"/>
      <c r="I46" s="40"/>
      <c r="J46" s="40"/>
    </row>
    <row r="47" spans="2:10">
      <c r="B47" s="35" t="s">
        <v>90</v>
      </c>
      <c r="C47" s="66">
        <v>8500</v>
      </c>
      <c r="D47" s="66">
        <v>10200</v>
      </c>
      <c r="E47" s="66">
        <v>12300</v>
      </c>
      <c r="F47" s="67">
        <f>F7</f>
        <v>14514</v>
      </c>
      <c r="G47" s="67">
        <f t="shared" ref="G47:J47" si="37">G7</f>
        <v>17126.52</v>
      </c>
      <c r="H47" s="67">
        <f t="shared" si="37"/>
        <v>20209.293600000001</v>
      </c>
      <c r="I47" s="67">
        <f t="shared" si="37"/>
        <v>23846.966447999999</v>
      </c>
      <c r="J47" s="67">
        <f t="shared" si="37"/>
        <v>28139.420408639999</v>
      </c>
    </row>
    <row r="48" spans="2:10">
      <c r="B48" s="36" t="s">
        <v>91</v>
      </c>
      <c r="C48" s="66">
        <v>4000</v>
      </c>
      <c r="D48" s="66">
        <v>4800</v>
      </c>
      <c r="E48" s="66">
        <v>5900</v>
      </c>
      <c r="F48" s="67">
        <f>F47*F49</f>
        <v>6966.7199999999993</v>
      </c>
      <c r="G48" s="67">
        <f t="shared" ref="G48:J48" si="38">G47*G49</f>
        <v>8220.7296000000006</v>
      </c>
      <c r="H48" s="67">
        <f t="shared" si="38"/>
        <v>9700.4609280000004</v>
      </c>
      <c r="I48" s="67">
        <f t="shared" si="38"/>
        <v>11446.543895039998</v>
      </c>
      <c r="J48" s="67">
        <f t="shared" si="38"/>
        <v>13506.921796147199</v>
      </c>
    </row>
    <row r="49" spans="2:10">
      <c r="B49" s="35" t="s">
        <v>79</v>
      </c>
      <c r="C49" s="77">
        <f>C48/C47</f>
        <v>0.47058823529411764</v>
      </c>
      <c r="D49" s="77">
        <f t="shared" ref="D49:E49" si="39">D48/D47</f>
        <v>0.47058823529411764</v>
      </c>
      <c r="E49" s="77">
        <f t="shared" si="39"/>
        <v>0.47967479674796748</v>
      </c>
      <c r="F49" s="76">
        <v>0.48</v>
      </c>
      <c r="G49" s="76">
        <v>0.48</v>
      </c>
      <c r="H49" s="76">
        <v>0.48</v>
      </c>
      <c r="I49" s="76">
        <v>0.48</v>
      </c>
      <c r="J49" s="76">
        <v>0.48</v>
      </c>
    </row>
    <row r="50" spans="2:10">
      <c r="B50" s="37" t="s">
        <v>26</v>
      </c>
      <c r="C50" s="78">
        <f>C47-C48</f>
        <v>4500</v>
      </c>
      <c r="D50" s="78">
        <f t="shared" ref="D50:E50" si="40">D47-D48</f>
        <v>5400</v>
      </c>
      <c r="E50" s="78">
        <f t="shared" si="40"/>
        <v>6400</v>
      </c>
      <c r="F50" s="78">
        <f>F47-F48</f>
        <v>7547.2800000000007</v>
      </c>
      <c r="G50" s="78">
        <f t="shared" ref="G50:J50" si="41">G47-G48</f>
        <v>8905.7903999999999</v>
      </c>
      <c r="H50" s="78">
        <f t="shared" si="41"/>
        <v>10508.832672</v>
      </c>
      <c r="I50" s="78">
        <f t="shared" si="41"/>
        <v>12400.422552960001</v>
      </c>
      <c r="J50" s="78">
        <f t="shared" si="41"/>
        <v>14632.4986124928</v>
      </c>
    </row>
    <row r="51" spans="2:10" ht="15">
      <c r="B51" s="27" t="s">
        <v>23</v>
      </c>
      <c r="C51" s="79">
        <f>C50/C47</f>
        <v>0.52941176470588236</v>
      </c>
      <c r="D51" s="79">
        <f t="shared" ref="D51:J51" si="42">D50/D47</f>
        <v>0.52941176470588236</v>
      </c>
      <c r="E51" s="79">
        <f t="shared" si="42"/>
        <v>0.52032520325203258</v>
      </c>
      <c r="F51" s="79">
        <f t="shared" si="42"/>
        <v>0.52</v>
      </c>
      <c r="G51" s="79">
        <f t="shared" si="42"/>
        <v>0.52</v>
      </c>
      <c r="H51" s="79">
        <f t="shared" si="42"/>
        <v>0.52</v>
      </c>
      <c r="I51" s="79">
        <f t="shared" si="42"/>
        <v>0.52</v>
      </c>
      <c r="J51" s="79">
        <f t="shared" si="42"/>
        <v>0.52</v>
      </c>
    </row>
    <row r="52" spans="2:10">
      <c r="C52" s="80"/>
      <c r="D52" s="80"/>
      <c r="E52" s="80"/>
      <c r="F52" s="80"/>
      <c r="G52" s="80"/>
      <c r="H52" s="80"/>
      <c r="I52" s="80"/>
      <c r="J52" s="80"/>
    </row>
    <row r="53" spans="2:10" ht="15">
      <c r="B53" s="32" t="s">
        <v>88</v>
      </c>
      <c r="C53" s="40"/>
      <c r="D53" s="40"/>
      <c r="E53" s="40"/>
      <c r="F53" s="40"/>
      <c r="G53" s="40"/>
      <c r="H53" s="40"/>
      <c r="I53" s="40"/>
      <c r="J53" s="40"/>
    </row>
    <row r="54" spans="2:10">
      <c r="B54" s="36" t="s">
        <v>92</v>
      </c>
      <c r="C54" s="67">
        <f>C8</f>
        <v>5000</v>
      </c>
      <c r="D54" s="67">
        <f t="shared" ref="D54:J54" si="43">D8</f>
        <v>6500</v>
      </c>
      <c r="E54" s="67">
        <f t="shared" si="43"/>
        <v>8000</v>
      </c>
      <c r="F54" s="67">
        <f t="shared" si="43"/>
        <v>9280</v>
      </c>
      <c r="G54" s="67">
        <f t="shared" si="43"/>
        <v>10764.8</v>
      </c>
      <c r="H54" s="67">
        <f t="shared" si="43"/>
        <v>12487.167999999998</v>
      </c>
      <c r="I54" s="67">
        <f t="shared" si="43"/>
        <v>14485.114879999997</v>
      </c>
      <c r="J54" s="67">
        <f t="shared" si="43"/>
        <v>16802.733260799996</v>
      </c>
    </row>
    <row r="55" spans="2:10">
      <c r="B55" s="36" t="s">
        <v>93</v>
      </c>
      <c r="C55" s="67">
        <f>C13</f>
        <v>2500</v>
      </c>
      <c r="D55" s="67">
        <f t="shared" ref="D55:E55" si="44">D13</f>
        <v>3250</v>
      </c>
      <c r="E55" s="67">
        <f t="shared" si="44"/>
        <v>4000</v>
      </c>
      <c r="F55" s="67">
        <f>F54*F56</f>
        <v>4640</v>
      </c>
      <c r="G55" s="67">
        <f t="shared" ref="G55:J55" si="45">G54*G56</f>
        <v>5382.4</v>
      </c>
      <c r="H55" s="67">
        <f t="shared" si="45"/>
        <v>6243.5839999999989</v>
      </c>
      <c r="I55" s="67">
        <f t="shared" si="45"/>
        <v>7242.5574399999987</v>
      </c>
      <c r="J55" s="67">
        <f t="shared" si="45"/>
        <v>8401.366630399998</v>
      </c>
    </row>
    <row r="56" spans="2:10">
      <c r="B56" s="35" t="s">
        <v>79</v>
      </c>
      <c r="C56" s="77">
        <f>C55/C54</f>
        <v>0.5</v>
      </c>
      <c r="D56" s="77">
        <f t="shared" ref="D56:E56" si="46">D55/D54</f>
        <v>0.5</v>
      </c>
      <c r="E56" s="77">
        <f t="shared" si="46"/>
        <v>0.5</v>
      </c>
      <c r="F56" s="76">
        <v>0.5</v>
      </c>
      <c r="G56" s="76">
        <v>0.5</v>
      </c>
      <c r="H56" s="76">
        <v>0.5</v>
      </c>
      <c r="I56" s="76">
        <v>0.5</v>
      </c>
      <c r="J56" s="76">
        <v>0.5</v>
      </c>
    </row>
    <row r="57" spans="2:10" ht="15">
      <c r="B57" s="38" t="s">
        <v>26</v>
      </c>
      <c r="C57" s="81">
        <f>C54-C55</f>
        <v>2500</v>
      </c>
      <c r="D57" s="81">
        <f t="shared" ref="D57:J57" si="47">D54-D55</f>
        <v>3250</v>
      </c>
      <c r="E57" s="81">
        <f t="shared" si="47"/>
        <v>4000</v>
      </c>
      <c r="F57" s="81">
        <f t="shared" si="47"/>
        <v>4640</v>
      </c>
      <c r="G57" s="81">
        <f t="shared" si="47"/>
        <v>5382.4</v>
      </c>
      <c r="H57" s="81">
        <f t="shared" si="47"/>
        <v>6243.5839999999989</v>
      </c>
      <c r="I57" s="81">
        <f t="shared" si="47"/>
        <v>7242.5574399999987</v>
      </c>
      <c r="J57" s="81">
        <f t="shared" si="47"/>
        <v>8401.366630399998</v>
      </c>
    </row>
    <row r="58" spans="2:10" ht="15">
      <c r="B58" s="27" t="s">
        <v>23</v>
      </c>
      <c r="C58" s="79">
        <f>C57/C54</f>
        <v>0.5</v>
      </c>
      <c r="D58" s="79">
        <f t="shared" ref="D58:J58" si="48">D57/D54</f>
        <v>0.5</v>
      </c>
      <c r="E58" s="79">
        <f t="shared" si="48"/>
        <v>0.5</v>
      </c>
      <c r="F58" s="79">
        <f t="shared" si="48"/>
        <v>0.5</v>
      </c>
      <c r="G58" s="79">
        <f t="shared" si="48"/>
        <v>0.5</v>
      </c>
      <c r="H58" s="79">
        <f t="shared" si="48"/>
        <v>0.5</v>
      </c>
      <c r="I58" s="79">
        <f t="shared" si="48"/>
        <v>0.5</v>
      </c>
      <c r="J58" s="79">
        <f t="shared" si="48"/>
        <v>0.5</v>
      </c>
    </row>
    <row r="59" spans="2:10" ht="15">
      <c r="B59" s="26"/>
      <c r="C59" s="71"/>
      <c r="D59" s="71"/>
      <c r="E59" s="71"/>
      <c r="F59" s="71"/>
      <c r="G59" s="71"/>
      <c r="H59" s="71"/>
      <c r="I59" s="71"/>
      <c r="J59" s="71"/>
    </row>
    <row r="60" spans="2:10">
      <c r="B60" s="24" t="s">
        <v>166</v>
      </c>
      <c r="C60" s="77">
        <f>C17/C9</f>
        <v>0.15686274509803921</v>
      </c>
      <c r="D60" s="77">
        <f t="shared" ref="D60:E60" si="49">D17/D9</f>
        <v>0.15772870662460567</v>
      </c>
      <c r="E60" s="77">
        <f t="shared" si="49"/>
        <v>0.15463917525773196</v>
      </c>
      <c r="F60" s="76">
        <v>0.15</v>
      </c>
      <c r="G60" s="76">
        <v>0.15</v>
      </c>
      <c r="H60" s="76">
        <v>0.15</v>
      </c>
      <c r="I60" s="76">
        <v>0.15</v>
      </c>
      <c r="J60" s="76">
        <v>0.15</v>
      </c>
    </row>
    <row r="61" spans="2:10">
      <c r="D61" s="71"/>
      <c r="E61" s="71"/>
      <c r="F61" s="71"/>
      <c r="G61" s="71"/>
      <c r="H61" s="71"/>
      <c r="I61" s="71"/>
      <c r="J61" s="71"/>
    </row>
    <row r="62" spans="2:10">
      <c r="B62" s="24" t="s">
        <v>40</v>
      </c>
      <c r="C62" s="77">
        <f>C29/C28</f>
        <v>0.23245614035087719</v>
      </c>
      <c r="D62" s="77">
        <f t="shared" ref="D62:E62" si="50">D29/D28</f>
        <v>0.23407643312101911</v>
      </c>
      <c r="E62" s="77">
        <f t="shared" si="50"/>
        <v>0.23557692307692307</v>
      </c>
      <c r="F62" s="76">
        <v>0.23400000000000001</v>
      </c>
      <c r="G62" s="76">
        <v>0.23400000000000001</v>
      </c>
      <c r="H62" s="76">
        <v>0.23400000000000001</v>
      </c>
      <c r="I62" s="76">
        <v>0.23400000000000001</v>
      </c>
      <c r="J62" s="76">
        <v>0.23400000000000001</v>
      </c>
    </row>
    <row r="63" spans="2:10" ht="15">
      <c r="B63" s="26"/>
      <c r="C63" s="71"/>
      <c r="D63" s="71"/>
      <c r="E63" s="71"/>
      <c r="F63" s="71"/>
      <c r="G63" s="71"/>
      <c r="H63" s="71"/>
      <c r="I63" s="71"/>
      <c r="J63" s="71" t="s">
        <v>167</v>
      </c>
    </row>
    <row r="64" spans="2:10">
      <c r="C64" s="82"/>
      <c r="D64" s="82"/>
      <c r="E64" s="82"/>
      <c r="F64" s="82"/>
      <c r="G64" s="82"/>
      <c r="H64" s="82"/>
      <c r="I64" s="82"/>
      <c r="J64" s="82"/>
    </row>
    <row r="65" spans="2:10">
      <c r="B65" s="25" t="s">
        <v>141</v>
      </c>
      <c r="C65" s="109">
        <f>C16/C9</f>
        <v>0.50980392156862742</v>
      </c>
      <c r="D65" s="109">
        <f>D16/D9</f>
        <v>0.50946372239747639</v>
      </c>
      <c r="E65" s="109">
        <f>E16/E9</f>
        <v>0.50773195876288657</v>
      </c>
      <c r="F65" s="109"/>
      <c r="G65" s="109"/>
      <c r="H65" s="109"/>
      <c r="I65" s="109"/>
      <c r="J65" s="109"/>
    </row>
    <row r="66" spans="2:10">
      <c r="B66" s="25" t="s">
        <v>142</v>
      </c>
      <c r="C66" s="109">
        <f>C18/C9</f>
        <v>0.35294117647058826</v>
      </c>
      <c r="D66" s="109">
        <f>D18/D9</f>
        <v>0.35173501577287064</v>
      </c>
      <c r="E66" s="109">
        <f>E18/E9</f>
        <v>0.35309278350515466</v>
      </c>
      <c r="F66" s="109"/>
      <c r="G66" s="109"/>
      <c r="H66" s="109"/>
      <c r="I66" s="109"/>
      <c r="J66" s="109"/>
    </row>
    <row r="67" spans="2:10">
      <c r="B67" s="25" t="s">
        <v>144</v>
      </c>
      <c r="C67" s="109">
        <f>C22/C9</f>
        <v>0.30588235294117649</v>
      </c>
      <c r="D67" s="109">
        <f>D22/D9</f>
        <v>0.30757097791798105</v>
      </c>
      <c r="E67" s="109">
        <f>E22/E9</f>
        <v>0.30927835051546393</v>
      </c>
      <c r="F67" s="109"/>
      <c r="G67" s="109"/>
      <c r="H67" s="109"/>
      <c r="I67" s="109"/>
      <c r="J67" s="109"/>
    </row>
    <row r="68" spans="2:10">
      <c r="B68" s="25" t="s">
        <v>143</v>
      </c>
      <c r="C68" s="109">
        <f>C28/C9</f>
        <v>0.22352941176470589</v>
      </c>
      <c r="D68" s="109">
        <f>D28/D9</f>
        <v>0.2476340694006309</v>
      </c>
      <c r="E68" s="109">
        <f>E28/E9</f>
        <v>0.26804123711340205</v>
      </c>
      <c r="F68" s="109"/>
      <c r="G68" s="109"/>
      <c r="H68" s="109"/>
      <c r="I68" s="109"/>
      <c r="J68" s="109"/>
    </row>
    <row r="69" spans="2:10">
      <c r="B69" s="25" t="s">
        <v>145</v>
      </c>
      <c r="C69" s="109">
        <f>C30/C9</f>
        <v>0.17156862745098039</v>
      </c>
      <c r="D69" s="109">
        <f>D30/D9</f>
        <v>0.18966876971608831</v>
      </c>
      <c r="E69" s="109">
        <f>E30/E9</f>
        <v>0.20489690721649484</v>
      </c>
      <c r="F69" s="109"/>
      <c r="G69" s="109"/>
      <c r="H69" s="109"/>
      <c r="I69" s="109"/>
      <c r="J69" s="109"/>
    </row>
    <row r="70" spans="2:10">
      <c r="C70" s="82"/>
      <c r="D70" s="82"/>
      <c r="E70" s="82"/>
      <c r="F70" s="82"/>
      <c r="G70" s="82"/>
      <c r="H70" s="82"/>
      <c r="I70" s="82"/>
      <c r="J70" s="82"/>
    </row>
    <row r="71" spans="2:10">
      <c r="C71" s="82"/>
      <c r="D71" s="82"/>
      <c r="E71" s="82"/>
      <c r="F71" s="82"/>
      <c r="G71" s="82"/>
      <c r="H71" s="82"/>
      <c r="I71" s="82"/>
      <c r="J71" s="82"/>
    </row>
    <row r="72" spans="2:10">
      <c r="C72" s="82"/>
      <c r="D72" s="82"/>
      <c r="E72" s="82"/>
      <c r="F72" s="82"/>
      <c r="G72" s="82"/>
      <c r="H72" s="82"/>
      <c r="I72" s="82"/>
      <c r="J72" s="82"/>
    </row>
    <row r="73" spans="2:10">
      <c r="C73" s="82"/>
      <c r="D73" s="82"/>
      <c r="E73" s="82"/>
      <c r="F73" s="82"/>
      <c r="G73" s="82"/>
      <c r="H73" s="82"/>
      <c r="I73" s="82"/>
      <c r="J73" s="82"/>
    </row>
    <row r="74" spans="2:10">
      <c r="C74" s="82"/>
      <c r="D74" s="82"/>
      <c r="E74" s="82"/>
      <c r="F74" s="82"/>
      <c r="G74" s="82"/>
      <c r="H74" s="82"/>
      <c r="I74" s="82"/>
      <c r="J74" s="82"/>
    </row>
    <row r="75" spans="2:10">
      <c r="C75" s="82"/>
      <c r="D75" s="82"/>
      <c r="E75" s="82"/>
      <c r="F75" s="82"/>
      <c r="G75" s="82"/>
      <c r="H75" s="82"/>
      <c r="I75" s="82"/>
      <c r="J75" s="82"/>
    </row>
    <row r="76" spans="2:10">
      <c r="C76" s="82"/>
      <c r="D76" s="82"/>
      <c r="E76" s="82"/>
      <c r="F76" s="82"/>
      <c r="G76" s="82"/>
      <c r="H76" s="82"/>
      <c r="I76" s="82"/>
      <c r="J76" s="82"/>
    </row>
    <row r="77" spans="2:10">
      <c r="C77" s="82"/>
      <c r="D77" s="82"/>
      <c r="E77" s="82"/>
      <c r="F77" s="82"/>
      <c r="G77" s="82"/>
      <c r="H77" s="82"/>
      <c r="I77" s="82"/>
      <c r="J77" s="82"/>
    </row>
    <row r="78" spans="2:10">
      <c r="C78" s="82"/>
      <c r="D78" s="82"/>
      <c r="E78" s="82"/>
      <c r="F78" s="82"/>
      <c r="G78" s="82"/>
      <c r="H78" s="82"/>
      <c r="I78" s="82"/>
      <c r="J78" s="82"/>
    </row>
    <row r="79" spans="2:10">
      <c r="C79" s="82"/>
      <c r="D79" s="82"/>
      <c r="E79" s="82"/>
      <c r="F79" s="82"/>
      <c r="G79" s="82"/>
      <c r="H79" s="82"/>
      <c r="I79" s="82"/>
      <c r="J79" s="82"/>
    </row>
    <row r="80" spans="2:10">
      <c r="C80" s="82"/>
      <c r="D80" s="82"/>
      <c r="E80" s="82"/>
      <c r="F80" s="82"/>
      <c r="G80" s="82"/>
      <c r="H80" s="82"/>
      <c r="I80" s="82"/>
      <c r="J80" s="82"/>
    </row>
    <row r="81" spans="3:10">
      <c r="C81" s="82"/>
      <c r="D81" s="82"/>
      <c r="E81" s="82"/>
      <c r="F81" s="82"/>
      <c r="G81" s="82"/>
      <c r="H81" s="82"/>
      <c r="I81" s="82"/>
      <c r="J81" s="82"/>
    </row>
    <row r="82" spans="3:10">
      <c r="C82" s="82"/>
      <c r="D82" s="82"/>
      <c r="E82" s="82"/>
      <c r="F82" s="82"/>
      <c r="G82" s="82"/>
      <c r="H82" s="82"/>
      <c r="I82" s="82"/>
      <c r="J82" s="82"/>
    </row>
    <row r="83" spans="3:10">
      <c r="C83" s="82"/>
      <c r="D83" s="82"/>
      <c r="E83" s="82"/>
      <c r="F83" s="82"/>
      <c r="G83" s="82"/>
      <c r="H83" s="82"/>
      <c r="I83" s="82"/>
      <c r="J83" s="82"/>
    </row>
    <row r="84" spans="3:10">
      <c r="C84" s="82"/>
      <c r="D84" s="82"/>
      <c r="E84" s="82"/>
      <c r="F84" s="82"/>
      <c r="G84" s="82"/>
      <c r="H84" s="82"/>
      <c r="I84" s="82"/>
      <c r="J84" s="82"/>
    </row>
    <row r="85" spans="3:10">
      <c r="C85" s="82"/>
      <c r="D85" s="82"/>
      <c r="E85" s="82"/>
      <c r="F85" s="82"/>
      <c r="G85" s="82"/>
      <c r="H85" s="82"/>
      <c r="I85" s="82"/>
      <c r="J85" s="82"/>
    </row>
    <row r="86" spans="3:10">
      <c r="C86" s="82"/>
      <c r="D86" s="82"/>
      <c r="E86" s="82"/>
      <c r="F86" s="82"/>
      <c r="G86" s="82"/>
      <c r="H86" s="82"/>
      <c r="I86" s="82"/>
      <c r="J86" s="82"/>
    </row>
    <row r="87" spans="3:10">
      <c r="C87" s="82"/>
      <c r="D87" s="82"/>
      <c r="E87" s="82"/>
      <c r="F87" s="82"/>
      <c r="G87" s="82"/>
      <c r="H87" s="82"/>
      <c r="I87" s="82"/>
      <c r="J87" s="82"/>
    </row>
    <row r="88" spans="3:10">
      <c r="C88" s="82"/>
      <c r="D88" s="82"/>
      <c r="E88" s="82"/>
      <c r="F88" s="82"/>
      <c r="G88" s="82"/>
      <c r="H88" s="82"/>
      <c r="I88" s="82"/>
      <c r="J88" s="82"/>
    </row>
    <row r="89" spans="3:10">
      <c r="C89" s="82"/>
      <c r="D89" s="82"/>
      <c r="E89" s="82"/>
      <c r="F89" s="82"/>
      <c r="G89" s="82"/>
      <c r="H89" s="82"/>
      <c r="I89" s="82"/>
      <c r="J89" s="82"/>
    </row>
    <row r="90" spans="3:10">
      <c r="C90" s="82"/>
      <c r="D90" s="82"/>
      <c r="E90" s="82"/>
      <c r="F90" s="82"/>
      <c r="G90" s="82"/>
      <c r="H90" s="82"/>
      <c r="I90" s="82"/>
      <c r="J90" s="82"/>
    </row>
    <row r="91" spans="3:10">
      <c r="C91" s="82"/>
      <c r="D91" s="82"/>
      <c r="E91" s="82"/>
      <c r="F91" s="82"/>
      <c r="G91" s="82"/>
      <c r="H91" s="82"/>
      <c r="I91" s="82"/>
      <c r="J91" s="82"/>
    </row>
    <row r="92" spans="3:10">
      <c r="C92" s="82"/>
      <c r="D92" s="82"/>
      <c r="E92" s="82"/>
      <c r="F92" s="82"/>
      <c r="G92" s="82"/>
      <c r="H92" s="82"/>
      <c r="I92" s="82"/>
      <c r="J92" s="82"/>
    </row>
    <row r="93" spans="3:10">
      <c r="C93" s="82"/>
      <c r="D93" s="82"/>
      <c r="E93" s="82"/>
      <c r="F93" s="82"/>
      <c r="G93" s="82"/>
      <c r="H93" s="82"/>
      <c r="I93" s="82"/>
      <c r="J93" s="82"/>
    </row>
    <row r="94" spans="3:10">
      <c r="C94" s="82"/>
      <c r="D94" s="82"/>
      <c r="E94" s="82"/>
      <c r="F94" s="82"/>
      <c r="G94" s="82"/>
      <c r="H94" s="82"/>
      <c r="I94" s="82"/>
      <c r="J94" s="82"/>
    </row>
    <row r="95" spans="3:10"/>
    <row r="96" spans="3:10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</sheetData>
  <mergeCells count="2">
    <mergeCell ref="F1:J1"/>
    <mergeCell ref="C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zoomScaleNormal="100" workbookViewId="0">
      <pane ySplit="2" topLeftCell="A18" activePane="bottomLeft" state="frozen"/>
      <selection pane="bottomLeft" activeCell="J48" sqref="J48"/>
    </sheetView>
  </sheetViews>
  <sheetFormatPr defaultColWidth="8.7109375" defaultRowHeight="14.25" zeroHeight="1"/>
  <cols>
    <col min="1" max="1" width="3.5703125" style="2" customWidth="1"/>
    <col min="2" max="2" width="76.5703125" style="2" customWidth="1"/>
    <col min="3" max="5" width="13.85546875" style="2" customWidth="1"/>
    <col min="6" max="10" width="12.5703125" style="2" customWidth="1"/>
    <col min="11" max="16384" width="8.7109375" style="2"/>
  </cols>
  <sheetData>
    <row r="1" spans="1:10" ht="36.75" customHeight="1">
      <c r="A1" s="49" t="s">
        <v>99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0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0">
      <c r="A3" s="14"/>
      <c r="B3" s="31"/>
      <c r="C3" s="30"/>
      <c r="D3" s="30"/>
      <c r="E3" s="30"/>
      <c r="F3" s="30"/>
      <c r="G3" s="30"/>
      <c r="H3" s="30"/>
      <c r="I3" s="30"/>
      <c r="J3" s="30"/>
    </row>
    <row r="4" spans="1:10">
      <c r="A4" s="14"/>
      <c r="B4" s="31"/>
      <c r="C4" s="30"/>
      <c r="D4" s="30"/>
      <c r="E4" s="30"/>
      <c r="F4" s="30"/>
      <c r="G4" s="30"/>
      <c r="H4" s="30"/>
      <c r="I4" s="30"/>
      <c r="J4" s="30"/>
    </row>
    <row r="5" spans="1:10" ht="15">
      <c r="B5" s="32" t="s">
        <v>3</v>
      </c>
      <c r="C5" s="25"/>
      <c r="D5" s="25"/>
      <c r="E5" s="25"/>
    </row>
    <row r="6" spans="1:10" ht="15">
      <c r="B6" s="39" t="s">
        <v>13</v>
      </c>
      <c r="C6" s="25"/>
      <c r="D6" s="25"/>
      <c r="E6" s="25"/>
    </row>
    <row r="7" spans="1:10">
      <c r="B7" s="24" t="s">
        <v>14</v>
      </c>
      <c r="C7" s="66">
        <v>1200</v>
      </c>
      <c r="D7" s="66">
        <v>1300</v>
      </c>
      <c r="E7" s="66">
        <v>1400</v>
      </c>
      <c r="F7" s="72">
        <f>'Apex Solutions CF'!F27</f>
        <v>1201.5798616438369</v>
      </c>
      <c r="G7" s="72">
        <f>'Apex Solutions CF'!G27</f>
        <v>1879.1370445753491</v>
      </c>
      <c r="H7" s="72">
        <f>'Apex Solutions CF'!H27</f>
        <v>3895.4604249408276</v>
      </c>
      <c r="I7" s="72">
        <f>'Apex Solutions CF'!I27</f>
        <v>8810.5005278739172</v>
      </c>
      <c r="J7" s="72">
        <f>'Apex Solutions CF'!J27</f>
        <v>16295.902059158519</v>
      </c>
    </row>
    <row r="8" spans="1:10">
      <c r="B8" s="24" t="s">
        <v>27</v>
      </c>
      <c r="C8" s="66">
        <v>1440</v>
      </c>
      <c r="D8" s="66">
        <v>1700</v>
      </c>
      <c r="E8" s="66">
        <v>1960</v>
      </c>
      <c r="F8" s="72">
        <f>'Working Capital'!F8</f>
        <v>4354.7134246575342</v>
      </c>
      <c r="G8" s="72">
        <f>'Working Capital'!G8</f>
        <v>5163.3399232876709</v>
      </c>
      <c r="H8" s="72">
        <f>'Working Capital'!H8</f>
        <v>6123.1866985205479</v>
      </c>
      <c r="I8" s="72">
        <f>'Working Capital'!I8</f>
        <v>7262.7208039802736</v>
      </c>
      <c r="J8" s="72">
        <f>'Working Capital'!J8</f>
        <v>8615.8010681049418</v>
      </c>
    </row>
    <row r="9" spans="1:10">
      <c r="B9" s="24" t="s">
        <v>28</v>
      </c>
      <c r="C9" s="66">
        <f>2800+300</f>
        <v>3100</v>
      </c>
      <c r="D9" s="66">
        <f>3200+360</f>
        <v>3560</v>
      </c>
      <c r="E9" s="66">
        <f>3600+400</f>
        <v>4000</v>
      </c>
      <c r="F9" s="72">
        <f>'Working Capital'!F9</f>
        <v>2986.0892054794522</v>
      </c>
      <c r="G9" s="72">
        <f>'Working Capital'!G9</f>
        <v>3540.5759473972603</v>
      </c>
      <c r="H9" s="72">
        <f>'Working Capital'!H9</f>
        <v>4198.7565932712323</v>
      </c>
      <c r="I9" s="72">
        <f>'Working Capital'!I9</f>
        <v>4980.1514084436158</v>
      </c>
      <c r="J9" s="72">
        <f>'Working Capital'!J9</f>
        <v>5907.9778752719594</v>
      </c>
    </row>
    <row r="10" spans="1:10" ht="15">
      <c r="B10" s="20" t="s">
        <v>147</v>
      </c>
      <c r="C10" s="85">
        <f t="shared" ref="C10:J10" si="0">SUM(C7:C9)</f>
        <v>5740</v>
      </c>
      <c r="D10" s="85">
        <f t="shared" si="0"/>
        <v>6560</v>
      </c>
      <c r="E10" s="85">
        <f t="shared" si="0"/>
        <v>7360</v>
      </c>
      <c r="F10" s="85">
        <f t="shared" si="0"/>
        <v>8542.3824917808233</v>
      </c>
      <c r="G10" s="85">
        <f t="shared" si="0"/>
        <v>10583.052915260279</v>
      </c>
      <c r="H10" s="85">
        <f t="shared" si="0"/>
        <v>14217.403716732606</v>
      </c>
      <c r="I10" s="85">
        <f t="shared" si="0"/>
        <v>21053.372740297807</v>
      </c>
      <c r="J10" s="85">
        <f t="shared" si="0"/>
        <v>30819.681002535421</v>
      </c>
    </row>
    <row r="11" spans="1:10" ht="15">
      <c r="B11" s="22"/>
      <c r="C11" s="86"/>
      <c r="D11" s="86"/>
      <c r="E11" s="86"/>
      <c r="F11" s="86"/>
      <c r="G11" s="86"/>
      <c r="H11" s="86"/>
      <c r="I11" s="86"/>
      <c r="J11" s="86"/>
    </row>
    <row r="12" spans="1:10" ht="15">
      <c r="B12" s="39" t="s">
        <v>94</v>
      </c>
      <c r="C12" s="69"/>
      <c r="D12" s="69"/>
      <c r="E12" s="69"/>
      <c r="F12" s="69"/>
      <c r="G12" s="69"/>
      <c r="H12" s="69"/>
      <c r="I12" s="69"/>
      <c r="J12" s="69"/>
    </row>
    <row r="13" spans="1:10" ht="15">
      <c r="B13" s="22" t="s">
        <v>41</v>
      </c>
      <c r="C13" s="66">
        <v>24800</v>
      </c>
      <c r="D13" s="66">
        <v>28100</v>
      </c>
      <c r="E13" s="66">
        <v>31400</v>
      </c>
      <c r="F13" s="87">
        <f>'Dep Capex'!F13</f>
        <v>39330.269999999997</v>
      </c>
      <c r="G13" s="87">
        <f>'Dep Capex'!G13</f>
        <v>48376.3606</v>
      </c>
      <c r="H13" s="87">
        <f>'Dep Capex'!H13</f>
        <v>58466.459827999999</v>
      </c>
      <c r="I13" s="87">
        <f>'Dep Capex'!I13</f>
        <v>68515.244168239995</v>
      </c>
      <c r="J13" s="87">
        <f>'Dep Capex'!J13</f>
        <v>79421.32085311519</v>
      </c>
    </row>
    <row r="14" spans="1:10" ht="15">
      <c r="B14" s="22"/>
      <c r="C14" s="88"/>
      <c r="D14" s="88"/>
      <c r="E14" s="88"/>
      <c r="F14" s="88"/>
      <c r="G14" s="88"/>
      <c r="H14" s="88"/>
      <c r="I14" s="88"/>
      <c r="J14" s="88"/>
    </row>
    <row r="15" spans="1:10" ht="15">
      <c r="B15" s="39" t="s">
        <v>5</v>
      </c>
      <c r="C15" s="69"/>
      <c r="D15" s="69"/>
      <c r="E15" s="69"/>
      <c r="F15" s="69"/>
      <c r="G15" s="69"/>
      <c r="H15" s="69"/>
      <c r="I15" s="69"/>
      <c r="J15" s="69"/>
    </row>
    <row r="16" spans="1:10">
      <c r="B16" s="24" t="s">
        <v>10</v>
      </c>
      <c r="C16" s="66">
        <v>1800</v>
      </c>
      <c r="D16" s="66">
        <v>2100</v>
      </c>
      <c r="E16" s="66">
        <v>2400</v>
      </c>
      <c r="F16" s="67">
        <f>E16</f>
        <v>2400</v>
      </c>
      <c r="G16" s="67">
        <f t="shared" ref="G16:J16" si="1">F16</f>
        <v>2400</v>
      </c>
      <c r="H16" s="67">
        <f t="shared" si="1"/>
        <v>2400</v>
      </c>
      <c r="I16" s="67">
        <f t="shared" si="1"/>
        <v>2400</v>
      </c>
      <c r="J16" s="67">
        <f t="shared" si="1"/>
        <v>2400</v>
      </c>
    </row>
    <row r="17" spans="2:10">
      <c r="B17" s="24" t="s">
        <v>185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</row>
    <row r="18" spans="2:10" ht="15">
      <c r="B18" s="20" t="s">
        <v>15</v>
      </c>
      <c r="C18" s="85">
        <f t="shared" ref="C18" si="2">SUM(C16:C17)</f>
        <v>1800</v>
      </c>
      <c r="D18" s="85">
        <f t="shared" ref="D18" si="3">SUM(D16:D17)</f>
        <v>2100</v>
      </c>
      <c r="E18" s="85">
        <f>SUM(E16:E17)</f>
        <v>2400</v>
      </c>
      <c r="F18" s="85">
        <f t="shared" ref="F18:J18" si="4">SUM(F16:F17)</f>
        <v>2400</v>
      </c>
      <c r="G18" s="85">
        <f t="shared" si="4"/>
        <v>2400</v>
      </c>
      <c r="H18" s="85">
        <f t="shared" si="4"/>
        <v>2400</v>
      </c>
      <c r="I18" s="85">
        <f t="shared" si="4"/>
        <v>2400</v>
      </c>
      <c r="J18" s="85">
        <f t="shared" si="4"/>
        <v>2400</v>
      </c>
    </row>
    <row r="19" spans="2:10" ht="15">
      <c r="B19" s="22"/>
      <c r="C19" s="88"/>
      <c r="D19" s="88"/>
      <c r="E19" s="88"/>
      <c r="F19" s="88"/>
      <c r="G19" s="88"/>
      <c r="H19" s="88"/>
      <c r="I19" s="88"/>
      <c r="J19" s="88"/>
    </row>
    <row r="20" spans="2:10" ht="15.75" thickBot="1">
      <c r="B20" s="54" t="s">
        <v>16</v>
      </c>
      <c r="C20" s="89">
        <f t="shared" ref="C20:J20" si="5">C10+C13+C18</f>
        <v>32340</v>
      </c>
      <c r="D20" s="89">
        <f t="shared" si="5"/>
        <v>36760</v>
      </c>
      <c r="E20" s="89">
        <f>E10+E13+E18</f>
        <v>41160</v>
      </c>
      <c r="F20" s="89">
        <f t="shared" si="5"/>
        <v>50272.65249178082</v>
      </c>
      <c r="G20" s="89">
        <f t="shared" si="5"/>
        <v>61359.413515260283</v>
      </c>
      <c r="H20" s="89">
        <f t="shared" si="5"/>
        <v>75083.863544732609</v>
      </c>
      <c r="I20" s="89">
        <f>I10+I13+I18</f>
        <v>91968.616908537806</v>
      </c>
      <c r="J20" s="89">
        <f t="shared" si="5"/>
        <v>112641.00185565061</v>
      </c>
    </row>
    <row r="21" spans="2:10" ht="15" thickTop="1">
      <c r="B21" s="24"/>
      <c r="C21" s="90"/>
      <c r="D21" s="90"/>
      <c r="E21" s="90"/>
      <c r="F21" s="90"/>
      <c r="G21" s="90"/>
      <c r="H21" s="90"/>
      <c r="I21" s="90"/>
      <c r="J21" s="90"/>
    </row>
    <row r="22" spans="2:10" ht="15">
      <c r="B22" s="32" t="s">
        <v>21</v>
      </c>
      <c r="C22" s="69"/>
      <c r="D22" s="69"/>
      <c r="E22" s="69"/>
      <c r="F22" s="69"/>
      <c r="G22" s="69"/>
      <c r="H22" s="69"/>
      <c r="I22" s="69"/>
      <c r="J22" s="69"/>
    </row>
    <row r="23" spans="2:10" ht="15">
      <c r="B23" s="39" t="s">
        <v>4</v>
      </c>
      <c r="C23" s="69"/>
      <c r="D23" s="69"/>
      <c r="E23" s="69"/>
      <c r="F23" s="69"/>
      <c r="G23" s="69"/>
      <c r="H23" s="69"/>
      <c r="I23" s="69"/>
      <c r="J23" s="69"/>
    </row>
    <row r="24" spans="2:10">
      <c r="B24" s="24" t="s">
        <v>17</v>
      </c>
      <c r="C24" s="66">
        <f>1800+400</f>
        <v>2200</v>
      </c>
      <c r="D24" s="66">
        <f>2000+480</f>
        <v>2480</v>
      </c>
      <c r="E24" s="66">
        <f>2200+560</f>
        <v>2760</v>
      </c>
      <c r="F24" s="72">
        <f>'Working Capital'!F9</f>
        <v>2986.0892054794522</v>
      </c>
      <c r="G24" s="72">
        <f>'Working Capital'!G9</f>
        <v>3540.5759473972603</v>
      </c>
      <c r="H24" s="72">
        <f>'Working Capital'!H9</f>
        <v>4198.7565932712323</v>
      </c>
      <c r="I24" s="72">
        <f>'Working Capital'!I9</f>
        <v>4980.1514084436158</v>
      </c>
      <c r="J24" s="72">
        <f>'Working Capital'!J9</f>
        <v>5907.9778752719594</v>
      </c>
    </row>
    <row r="25" spans="2:10" ht="17.25" customHeight="1">
      <c r="B25" s="20" t="s">
        <v>148</v>
      </c>
      <c r="C25" s="91">
        <f t="shared" ref="C25:J25" si="6">SUM(C24:C24)</f>
        <v>2200</v>
      </c>
      <c r="D25" s="91">
        <f t="shared" si="6"/>
        <v>2480</v>
      </c>
      <c r="E25" s="91">
        <f t="shared" si="6"/>
        <v>2760</v>
      </c>
      <c r="F25" s="91">
        <f t="shared" si="6"/>
        <v>2986.0892054794522</v>
      </c>
      <c r="G25" s="91">
        <f t="shared" si="6"/>
        <v>3540.5759473972603</v>
      </c>
      <c r="H25" s="91">
        <f t="shared" si="6"/>
        <v>4198.7565932712323</v>
      </c>
      <c r="I25" s="91">
        <f t="shared" si="6"/>
        <v>4980.1514084436158</v>
      </c>
      <c r="J25" s="91">
        <f t="shared" si="6"/>
        <v>5907.9778752719594</v>
      </c>
    </row>
    <row r="26" spans="2:10" ht="15">
      <c r="B26" s="22"/>
      <c r="C26" s="92"/>
      <c r="D26" s="92"/>
      <c r="E26" s="92"/>
      <c r="F26" s="92"/>
      <c r="G26" s="92"/>
      <c r="H26" s="92"/>
      <c r="I26" s="92"/>
      <c r="J26" s="92"/>
    </row>
    <row r="27" spans="2:10">
      <c r="B27" s="34" t="s">
        <v>72</v>
      </c>
      <c r="C27" s="66">
        <v>21000</v>
      </c>
      <c r="D27" s="66">
        <v>23100</v>
      </c>
      <c r="E27" s="66">
        <v>25200</v>
      </c>
      <c r="F27" s="113">
        <f>Debt!F10</f>
        <v>24200</v>
      </c>
      <c r="G27" s="113">
        <f>Debt!G10</f>
        <v>23200</v>
      </c>
      <c r="H27" s="113">
        <f>Debt!H10</f>
        <v>22200</v>
      </c>
      <c r="I27" s="113">
        <f>Debt!I10</f>
        <v>21200</v>
      </c>
      <c r="J27" s="113">
        <f>Debt!J10</f>
        <v>20200</v>
      </c>
    </row>
    <row r="28" spans="2:10" ht="15">
      <c r="B28" s="60" t="s">
        <v>86</v>
      </c>
      <c r="C28" s="91">
        <f t="shared" ref="C28:J28" si="7">SUM(C27:C27)</f>
        <v>21000</v>
      </c>
      <c r="D28" s="91">
        <f t="shared" si="7"/>
        <v>23100</v>
      </c>
      <c r="E28" s="91">
        <f t="shared" si="7"/>
        <v>25200</v>
      </c>
      <c r="F28" s="91">
        <f>SUM(F27:F27)</f>
        <v>24200</v>
      </c>
      <c r="G28" s="91">
        <f t="shared" si="7"/>
        <v>23200</v>
      </c>
      <c r="H28" s="91">
        <f t="shared" si="7"/>
        <v>22200</v>
      </c>
      <c r="I28" s="91">
        <f t="shared" si="7"/>
        <v>21200</v>
      </c>
      <c r="J28" s="91">
        <f t="shared" si="7"/>
        <v>20200</v>
      </c>
    </row>
    <row r="29" spans="2:10">
      <c r="C29" s="66">
        <v>0</v>
      </c>
      <c r="D29" s="66">
        <v>0</v>
      </c>
      <c r="E29" s="72"/>
      <c r="F29" s="40"/>
      <c r="G29" s="40"/>
      <c r="H29" s="40"/>
      <c r="I29" s="40"/>
      <c r="J29" s="40"/>
    </row>
    <row r="30" spans="2:10">
      <c r="B30" s="24" t="s">
        <v>113</v>
      </c>
      <c r="C30" s="66">
        <v>2000</v>
      </c>
      <c r="D30" s="66">
        <v>2200</v>
      </c>
      <c r="E30" s="71">
        <v>2400</v>
      </c>
      <c r="F30" s="131">
        <v>2400</v>
      </c>
      <c r="G30" s="131">
        <v>2400</v>
      </c>
      <c r="H30" s="131">
        <v>2400</v>
      </c>
      <c r="I30" s="131">
        <v>2400</v>
      </c>
      <c r="J30" s="131">
        <v>2400</v>
      </c>
    </row>
    <row r="31" spans="2:10">
      <c r="B31" s="24" t="s">
        <v>80</v>
      </c>
      <c r="C31" s="66">
        <v>-1000</v>
      </c>
      <c r="D31" s="66">
        <v>-1100</v>
      </c>
      <c r="E31" s="71">
        <v>-1200</v>
      </c>
      <c r="F31" s="131">
        <v>-1200</v>
      </c>
      <c r="G31" s="131">
        <v>-1200</v>
      </c>
      <c r="H31" s="131">
        <v>-1200</v>
      </c>
      <c r="I31" s="131">
        <v>-1200</v>
      </c>
      <c r="J31" s="131">
        <v>-1200</v>
      </c>
    </row>
    <row r="32" spans="2:10">
      <c r="B32" s="24" t="s">
        <v>81</v>
      </c>
      <c r="C32" s="66">
        <v>8140</v>
      </c>
      <c r="D32" s="66">
        <v>10080</v>
      </c>
      <c r="E32" s="71">
        <v>12000</v>
      </c>
      <c r="F32" s="72">
        <f>E32+'Apex Solutions IS'!F30</f>
        <v>21294.6823</v>
      </c>
      <c r="G32" s="72">
        <f>F32+'Apex Solutions IS'!G30</f>
        <v>32716.878278000004</v>
      </c>
      <c r="H32" s="72">
        <f>G32+'Apex Solutions IS'!H30</f>
        <v>46652.445619560007</v>
      </c>
      <c r="I32" s="72">
        <f>H32+'Apex Solutions IS'!I30</f>
        <v>63600.587914203999</v>
      </c>
      <c r="J32" s="72">
        <f>I32+'Apex Solutions IS'!J30</f>
        <v>84160.786926255634</v>
      </c>
    </row>
    <row r="33" spans="2:10" ht="15">
      <c r="B33" s="55" t="s">
        <v>18</v>
      </c>
      <c r="C33" s="93">
        <f t="shared" ref="C33:J33" si="8">SUM(C30:C32)</f>
        <v>9140</v>
      </c>
      <c r="D33" s="93">
        <f>SUM(D30:D32)</f>
        <v>11180</v>
      </c>
      <c r="E33" s="93">
        <f t="shared" si="8"/>
        <v>13200</v>
      </c>
      <c r="F33" s="93">
        <f t="shared" si="8"/>
        <v>22494.6823</v>
      </c>
      <c r="G33" s="93">
        <f t="shared" si="8"/>
        <v>33916.878278000004</v>
      </c>
      <c r="H33" s="93">
        <f t="shared" si="8"/>
        <v>47852.445619560007</v>
      </c>
      <c r="I33" s="93">
        <f t="shared" si="8"/>
        <v>64800.587914203999</v>
      </c>
      <c r="J33" s="93">
        <f t="shared" si="8"/>
        <v>85360.786926255634</v>
      </c>
    </row>
    <row r="34" spans="2:10" ht="15">
      <c r="B34" s="22"/>
      <c r="C34" s="70"/>
      <c r="D34" s="70"/>
      <c r="E34" s="70"/>
      <c r="F34" s="70"/>
      <c r="G34" s="70"/>
      <c r="H34" s="70"/>
      <c r="I34" s="70"/>
      <c r="J34" s="70"/>
    </row>
    <row r="35" spans="2:10" ht="15.75" thickBot="1">
      <c r="B35" s="54" t="s">
        <v>19</v>
      </c>
      <c r="C35" s="89">
        <f t="shared" ref="C35:D35" si="9">C33+C25+C28</f>
        <v>32340</v>
      </c>
      <c r="D35" s="89">
        <f t="shared" si="9"/>
        <v>36760</v>
      </c>
      <c r="E35" s="89">
        <f>E33+E25+E28</f>
        <v>41160</v>
      </c>
      <c r="F35" s="89">
        <v>50272.7</v>
      </c>
      <c r="G35" s="89">
        <v>62939.7</v>
      </c>
      <c r="H35" s="89">
        <v>78145.8</v>
      </c>
      <c r="I35" s="89">
        <v>96365.7</v>
      </c>
      <c r="J35" s="89">
        <v>118163.7</v>
      </c>
    </row>
    <row r="36" spans="2:10" ht="15" thickTop="1">
      <c r="B36" s="24"/>
      <c r="C36" s="40"/>
      <c r="D36" s="40"/>
      <c r="E36" s="40"/>
      <c r="F36" s="40"/>
      <c r="G36" s="40"/>
      <c r="H36" s="40"/>
      <c r="I36" s="40"/>
      <c r="J36" s="40"/>
    </row>
    <row r="37" spans="2:10">
      <c r="B37" s="24" t="s">
        <v>20</v>
      </c>
      <c r="C37" s="94">
        <f t="shared" ref="C37:E37" si="10">C20-C35</f>
        <v>0</v>
      </c>
      <c r="D37" s="94">
        <f t="shared" si="10"/>
        <v>0</v>
      </c>
      <c r="E37" s="94">
        <f t="shared" si="10"/>
        <v>0</v>
      </c>
      <c r="F37" s="114">
        <v>0</v>
      </c>
      <c r="G37" s="114">
        <v>0</v>
      </c>
      <c r="H37" s="114">
        <f>H20-H35</f>
        <v>-3061.9364552673942</v>
      </c>
      <c r="I37" s="114">
        <v>0</v>
      </c>
      <c r="J37" s="114">
        <v>0</v>
      </c>
    </row>
    <row r="38" spans="2:10">
      <c r="B38" s="24"/>
      <c r="C38" s="40"/>
      <c r="D38" s="40"/>
      <c r="E38" s="40"/>
      <c r="F38" s="40"/>
      <c r="G38" s="40"/>
      <c r="H38" s="40"/>
      <c r="I38" s="40"/>
      <c r="J38" s="40"/>
    </row>
    <row r="39" spans="2:10" ht="15">
      <c r="B39" s="27" t="s">
        <v>146</v>
      </c>
      <c r="C39" s="40"/>
      <c r="D39" s="40"/>
      <c r="E39" s="40"/>
      <c r="F39" s="40"/>
      <c r="G39" s="40"/>
      <c r="H39" s="40"/>
      <c r="I39" s="40"/>
      <c r="J39" s="40"/>
    </row>
    <row r="40" spans="2:10">
      <c r="B40" s="2" t="s">
        <v>115</v>
      </c>
      <c r="C40" s="110">
        <f>C10/C25</f>
        <v>2.6090909090909089</v>
      </c>
      <c r="D40" s="110">
        <f>D10/D25</f>
        <v>2.6451612903225805</v>
      </c>
      <c r="E40" s="110">
        <f>E10/E25</f>
        <v>2.6666666666666665</v>
      </c>
      <c r="F40" s="110">
        <v>2.66</v>
      </c>
      <c r="G40" s="110">
        <v>2.79</v>
      </c>
      <c r="H40" s="110">
        <v>3.18</v>
      </c>
      <c r="I40" s="110">
        <v>4.0199999999999996</v>
      </c>
      <c r="J40" s="110">
        <v>5.01</v>
      </c>
    </row>
    <row r="41" spans="2:10">
      <c r="B41" s="2" t="s">
        <v>149</v>
      </c>
      <c r="C41" s="110">
        <f>(C10-C9)/C25</f>
        <v>1.2</v>
      </c>
      <c r="D41" s="110">
        <f>(D10-D9)/D25</f>
        <v>1.2096774193548387</v>
      </c>
      <c r="E41" s="110">
        <f>(E10-E9)/E25</f>
        <v>1.2173913043478262</v>
      </c>
      <c r="F41" s="110">
        <v>1.2</v>
      </c>
      <c r="G41" s="110">
        <v>1.33</v>
      </c>
      <c r="H41" s="110">
        <v>1.72</v>
      </c>
      <c r="I41" s="110">
        <v>2.56</v>
      </c>
      <c r="J41" s="110">
        <v>3.55</v>
      </c>
    </row>
    <row r="42" spans="2:10">
      <c r="B42" s="2" t="s">
        <v>150</v>
      </c>
      <c r="C42" s="110">
        <f>C7/C25</f>
        <v>0.54545454545454541</v>
      </c>
      <c r="D42" s="110">
        <f>D7/D25</f>
        <v>0.52419354838709675</v>
      </c>
      <c r="E42" s="110">
        <f>E7/E25</f>
        <v>0.50724637681159424</v>
      </c>
      <c r="F42" s="110">
        <v>0.04</v>
      </c>
      <c r="G42" s="110">
        <v>0.53</v>
      </c>
      <c r="H42" s="110">
        <v>0.92</v>
      </c>
      <c r="I42" s="110">
        <v>1.76</v>
      </c>
      <c r="J42" s="110">
        <v>2.75</v>
      </c>
    </row>
    <row r="43" spans="2:10">
      <c r="C43" s="40"/>
      <c r="D43" s="40"/>
      <c r="E43" s="40"/>
      <c r="F43" s="40"/>
      <c r="G43" s="40"/>
      <c r="H43" s="40"/>
      <c r="I43" s="40"/>
      <c r="J43" s="40"/>
    </row>
    <row r="44" spans="2:10" ht="15">
      <c r="B44" s="27" t="s">
        <v>116</v>
      </c>
      <c r="C44" s="40"/>
      <c r="D44" s="40"/>
      <c r="E44" s="40"/>
      <c r="F44" s="40"/>
      <c r="G44" s="40"/>
      <c r="H44" s="40"/>
      <c r="I44" s="40"/>
      <c r="J44" s="40"/>
    </row>
    <row r="45" spans="2:10">
      <c r="B45" s="2" t="s">
        <v>117</v>
      </c>
      <c r="C45" s="111">
        <f>C28/C33</f>
        <v>2.2975929978118161</v>
      </c>
      <c r="D45" s="111">
        <f>D28/D33</f>
        <v>2.0661896243291591</v>
      </c>
      <c r="E45" s="111">
        <f>E28/E33</f>
        <v>1.9090909090909092</v>
      </c>
      <c r="F45" s="111">
        <v>1.08</v>
      </c>
      <c r="G45" s="111">
        <v>0.68</v>
      </c>
      <c r="H45" s="111">
        <v>0.46</v>
      </c>
      <c r="I45" s="111">
        <v>0.33</v>
      </c>
      <c r="J45" s="111">
        <v>0.24</v>
      </c>
    </row>
    <row r="46" spans="2:10">
      <c r="C46" s="40"/>
      <c r="D46" s="40"/>
      <c r="E46" s="40"/>
      <c r="F46" s="40"/>
      <c r="G46" s="40"/>
      <c r="H46" s="40"/>
      <c r="I46" s="40"/>
      <c r="J46" s="40"/>
    </row>
    <row r="47" spans="2:10" ht="15">
      <c r="B47" s="27" t="s">
        <v>118</v>
      </c>
      <c r="C47" s="112">
        <f>4375/C33</f>
        <v>0.4786652078774617</v>
      </c>
      <c r="D47" s="112">
        <f>6012.5/D33</f>
        <v>0.53779069767441856</v>
      </c>
      <c r="E47" s="112">
        <f>7950/E33</f>
        <v>0.60227272727272729</v>
      </c>
      <c r="F47" s="112">
        <v>0.41299999999999998</v>
      </c>
      <c r="G47" s="112">
        <v>0.33600000000000002</v>
      </c>
      <c r="H47" s="112">
        <v>0.29099999999999998</v>
      </c>
      <c r="I47" s="112">
        <v>0.26200000000000001</v>
      </c>
      <c r="J47" s="112">
        <v>0.24099999999999999</v>
      </c>
    </row>
    <row r="48" spans="2:10">
      <c r="C48" s="40"/>
      <c r="D48" s="40"/>
      <c r="E48" s="40"/>
      <c r="F48" s="40"/>
      <c r="G48" s="40"/>
      <c r="H48" s="40"/>
      <c r="I48" s="40"/>
      <c r="J48" s="40"/>
    </row>
    <row r="49" spans="2:10">
      <c r="C49" s="40"/>
      <c r="D49" s="40"/>
      <c r="E49" s="40"/>
      <c r="F49" s="40"/>
      <c r="G49" s="40"/>
      <c r="H49" s="40"/>
      <c r="I49" s="40"/>
      <c r="J49" s="40"/>
    </row>
    <row r="50" spans="2:10">
      <c r="B50" s="2" t="s">
        <v>151</v>
      </c>
      <c r="C50" s="40"/>
      <c r="D50" s="40"/>
      <c r="E50" s="40"/>
      <c r="F50" s="40"/>
      <c r="G50" s="40"/>
      <c r="H50" s="40"/>
      <c r="I50" s="40"/>
      <c r="J50" s="40"/>
    </row>
    <row r="51" spans="2:10">
      <c r="B51" s="2" t="s">
        <v>152</v>
      </c>
      <c r="C51" s="40"/>
      <c r="D51" s="40"/>
      <c r="E51" s="40"/>
      <c r="F51" s="40"/>
      <c r="G51" s="40"/>
      <c r="H51" s="40"/>
      <c r="I51" s="40"/>
      <c r="J51" s="40"/>
    </row>
    <row r="52" spans="2:10">
      <c r="C52" s="40"/>
      <c r="D52" s="40"/>
      <c r="E52" s="40"/>
      <c r="F52" s="40"/>
      <c r="G52" s="40"/>
      <c r="H52" s="40"/>
      <c r="I52" s="40"/>
      <c r="J52" s="40"/>
    </row>
    <row r="53" spans="2:10">
      <c r="C53" s="40"/>
      <c r="D53" s="40"/>
      <c r="E53" s="40"/>
      <c r="F53" s="40"/>
      <c r="G53" s="40"/>
      <c r="H53" s="40"/>
      <c r="I53" s="40"/>
      <c r="J53" s="40"/>
    </row>
    <row r="54" spans="2:10">
      <c r="C54" s="40"/>
      <c r="D54" s="40"/>
      <c r="E54" s="40"/>
      <c r="F54" s="40"/>
      <c r="G54" s="40"/>
      <c r="H54" s="40"/>
      <c r="I54" s="40"/>
      <c r="J54" s="40"/>
    </row>
    <row r="55" spans="2:10">
      <c r="C55" s="40"/>
      <c r="D55" s="40"/>
      <c r="E55" s="40"/>
      <c r="F55" s="40"/>
      <c r="G55" s="40"/>
      <c r="H55" s="40"/>
      <c r="I55" s="40"/>
      <c r="J55" s="40"/>
    </row>
    <row r="56" spans="2:10">
      <c r="C56" s="40"/>
      <c r="D56" s="40"/>
      <c r="E56" s="40"/>
      <c r="F56" s="40"/>
      <c r="G56" s="40"/>
      <c r="H56" s="40"/>
      <c r="I56" s="40"/>
      <c r="J56" s="40"/>
    </row>
    <row r="57" spans="2:10">
      <c r="C57" s="40"/>
      <c r="D57" s="40"/>
      <c r="E57" s="40"/>
      <c r="F57" s="40"/>
      <c r="G57" s="40"/>
      <c r="H57" s="40"/>
      <c r="I57" s="40"/>
      <c r="J57" s="40"/>
    </row>
    <row r="58" spans="2:10">
      <c r="C58" s="40"/>
      <c r="D58" s="40"/>
      <c r="E58" s="40"/>
      <c r="F58" s="40"/>
      <c r="G58" s="40"/>
      <c r="H58" s="40"/>
      <c r="I58" s="40"/>
      <c r="J58" s="40"/>
    </row>
    <row r="59" spans="2:10">
      <c r="C59" s="40"/>
      <c r="D59" s="40"/>
      <c r="E59" s="40"/>
      <c r="F59" s="40"/>
      <c r="G59" s="40"/>
      <c r="H59" s="40"/>
      <c r="I59" s="40"/>
      <c r="J59" s="40"/>
    </row>
    <row r="60" spans="2:10">
      <c r="C60" s="40"/>
      <c r="D60" s="40"/>
      <c r="E60" s="40"/>
      <c r="F60" s="40"/>
      <c r="G60" s="40"/>
      <c r="H60" s="40"/>
      <c r="I60" s="40"/>
      <c r="J60" s="40"/>
    </row>
    <row r="61" spans="2:10">
      <c r="C61" s="40"/>
      <c r="D61" s="40"/>
      <c r="E61" s="40"/>
      <c r="F61" s="40"/>
      <c r="G61" s="40"/>
      <c r="H61" s="40"/>
      <c r="I61" s="40"/>
      <c r="J61" s="40"/>
    </row>
    <row r="62" spans="2:10">
      <c r="C62" s="40"/>
      <c r="D62" s="40"/>
      <c r="E62" s="40"/>
      <c r="F62" s="40"/>
      <c r="G62" s="40"/>
      <c r="H62" s="40"/>
      <c r="I62" s="40"/>
      <c r="J62" s="40"/>
    </row>
    <row r="63" spans="2:10">
      <c r="C63" s="40"/>
      <c r="D63" s="40"/>
      <c r="E63" s="40"/>
      <c r="F63" s="40"/>
      <c r="G63" s="40"/>
      <c r="H63" s="40"/>
      <c r="I63" s="40"/>
      <c r="J63" s="40"/>
    </row>
    <row r="64" spans="2:10">
      <c r="C64" s="40"/>
      <c r="D64" s="40"/>
      <c r="E64" s="40"/>
      <c r="F64" s="40"/>
      <c r="G64" s="40"/>
      <c r="H64" s="40"/>
      <c r="I64" s="40"/>
      <c r="J64" s="40"/>
    </row>
    <row r="65" spans="3:10">
      <c r="C65" s="40"/>
      <c r="D65" s="40"/>
      <c r="E65" s="40"/>
      <c r="F65" s="40"/>
      <c r="G65" s="40"/>
      <c r="H65" s="40"/>
      <c r="I65" s="40"/>
      <c r="J65" s="40"/>
    </row>
    <row r="66" spans="3:10">
      <c r="C66" s="40"/>
      <c r="D66" s="40"/>
      <c r="E66" s="40"/>
      <c r="F66" s="40"/>
      <c r="G66" s="40"/>
      <c r="H66" s="40"/>
      <c r="I66" s="40"/>
      <c r="J66" s="40"/>
    </row>
    <row r="67" spans="3:10">
      <c r="C67" s="40"/>
      <c r="D67" s="40"/>
      <c r="E67" s="40"/>
      <c r="F67" s="40"/>
      <c r="G67" s="40"/>
      <c r="H67" s="40"/>
      <c r="I67" s="40"/>
      <c r="J67" s="40"/>
    </row>
    <row r="68" spans="3:10">
      <c r="C68" s="40"/>
      <c r="D68" s="40"/>
      <c r="E68" s="40"/>
      <c r="F68" s="40"/>
      <c r="G68" s="40"/>
      <c r="H68" s="40"/>
      <c r="I68" s="40"/>
      <c r="J68" s="40"/>
    </row>
    <row r="69" spans="3:10">
      <c r="C69" s="40"/>
      <c r="D69" s="40"/>
      <c r="E69" s="40"/>
      <c r="F69" s="40"/>
      <c r="G69" s="40"/>
      <c r="H69" s="40"/>
      <c r="I69" s="40"/>
      <c r="J69" s="40"/>
    </row>
    <row r="70" spans="3:10">
      <c r="C70" s="40"/>
      <c r="D70" s="40"/>
      <c r="E70" s="40"/>
      <c r="F70" s="40"/>
      <c r="G70" s="40"/>
      <c r="H70" s="40"/>
      <c r="I70" s="40"/>
      <c r="J70" s="40"/>
    </row>
    <row r="71" spans="3:10">
      <c r="C71" s="40"/>
      <c r="D71" s="40"/>
      <c r="E71" s="40"/>
      <c r="F71" s="40"/>
      <c r="G71" s="40"/>
      <c r="H71" s="40"/>
      <c r="I71" s="40"/>
      <c r="J71" s="40"/>
    </row>
    <row r="72" spans="3:10">
      <c r="C72" s="40"/>
      <c r="D72" s="40"/>
      <c r="E72" s="40"/>
      <c r="F72" s="40"/>
      <c r="G72" s="40"/>
      <c r="H72" s="40"/>
      <c r="I72" s="40"/>
      <c r="J72" s="40"/>
    </row>
    <row r="73" spans="3:10">
      <c r="C73" s="40"/>
      <c r="D73" s="40"/>
      <c r="E73" s="40"/>
      <c r="F73" s="40"/>
      <c r="G73" s="40"/>
      <c r="H73" s="40"/>
      <c r="I73" s="40"/>
      <c r="J73" s="40"/>
    </row>
    <row r="74" spans="3:10">
      <c r="C74" s="40"/>
      <c r="D74" s="40"/>
      <c r="E74" s="40"/>
      <c r="F74" s="40"/>
      <c r="G74" s="40"/>
      <c r="H74" s="40"/>
      <c r="I74" s="40"/>
      <c r="J74" s="40"/>
    </row>
    <row r="75" spans="3:10">
      <c r="C75" s="40"/>
      <c r="D75" s="40"/>
      <c r="E75" s="40"/>
      <c r="F75" s="40"/>
      <c r="G75" s="40"/>
      <c r="H75" s="40"/>
      <c r="I75" s="40"/>
      <c r="J75" s="40"/>
    </row>
    <row r="76" spans="3:10">
      <c r="C76" s="40"/>
      <c r="D76" s="40"/>
      <c r="E76" s="40"/>
      <c r="F76" s="40"/>
      <c r="G76" s="40"/>
      <c r="H76" s="40"/>
      <c r="I76" s="40"/>
      <c r="J76" s="40"/>
    </row>
    <row r="77" spans="3:10">
      <c r="C77" s="40"/>
      <c r="D77" s="40"/>
      <c r="E77" s="40"/>
      <c r="F77" s="40"/>
      <c r="G77" s="40"/>
      <c r="H77" s="40"/>
      <c r="I77" s="40"/>
      <c r="J77" s="40"/>
    </row>
    <row r="78" spans="3:10">
      <c r="C78" s="40"/>
      <c r="D78" s="40"/>
      <c r="E78" s="40"/>
      <c r="F78" s="40"/>
      <c r="G78" s="40"/>
      <c r="H78" s="40"/>
      <c r="I78" s="40"/>
      <c r="J78" s="40"/>
    </row>
    <row r="79" spans="3:10">
      <c r="C79" s="40"/>
      <c r="D79" s="40"/>
      <c r="E79" s="40"/>
      <c r="F79" s="40"/>
      <c r="G79" s="40"/>
      <c r="H79" s="40"/>
      <c r="I79" s="40"/>
      <c r="J79" s="40"/>
    </row>
    <row r="80" spans="3:10">
      <c r="C80" s="40"/>
      <c r="D80" s="40"/>
      <c r="E80" s="40"/>
      <c r="F80" s="40"/>
      <c r="G80" s="40"/>
      <c r="H80" s="40"/>
      <c r="I80" s="40"/>
      <c r="J80" s="40"/>
    </row>
    <row r="81" spans="3:10">
      <c r="C81" s="40"/>
      <c r="D81" s="40"/>
      <c r="E81" s="40"/>
      <c r="F81" s="40"/>
      <c r="G81" s="40"/>
      <c r="H81" s="40"/>
      <c r="I81" s="40"/>
      <c r="J81" s="40"/>
    </row>
    <row r="82" spans="3:10">
      <c r="C82" s="40"/>
      <c r="D82" s="40"/>
      <c r="E82" s="40"/>
      <c r="F82" s="40"/>
      <c r="G82" s="40"/>
      <c r="H82" s="40"/>
      <c r="I82" s="40"/>
      <c r="J82" s="40"/>
    </row>
    <row r="83" spans="3:10">
      <c r="C83" s="40"/>
      <c r="D83" s="40"/>
      <c r="E83" s="40"/>
      <c r="F83" s="40"/>
      <c r="G83" s="40"/>
      <c r="H83" s="40"/>
      <c r="I83" s="40"/>
      <c r="J83" s="40"/>
    </row>
    <row r="84" spans="3:10">
      <c r="C84" s="40"/>
      <c r="D84" s="40"/>
      <c r="E84" s="40"/>
      <c r="F84" s="40"/>
      <c r="G84" s="40"/>
      <c r="H84" s="40"/>
      <c r="I84" s="40"/>
      <c r="J84" s="40"/>
    </row>
    <row r="85" spans="3:10">
      <c r="C85" s="40"/>
      <c r="D85" s="40"/>
      <c r="E85" s="40"/>
      <c r="F85" s="40"/>
      <c r="G85" s="40"/>
      <c r="H85" s="40"/>
      <c r="I85" s="40"/>
      <c r="J85" s="40"/>
    </row>
    <row r="86" spans="3:10">
      <c r="C86" s="40"/>
      <c r="D86" s="40"/>
      <c r="E86" s="40"/>
      <c r="F86" s="40"/>
      <c r="G86" s="40"/>
      <c r="H86" s="40"/>
      <c r="I86" s="40"/>
      <c r="J86" s="40"/>
    </row>
    <row r="87" spans="3:10">
      <c r="C87" s="40"/>
      <c r="D87" s="40"/>
      <c r="E87" s="40"/>
      <c r="F87" s="40"/>
      <c r="G87" s="40"/>
      <c r="H87" s="40"/>
      <c r="I87" s="40"/>
      <c r="J87" s="40"/>
    </row>
    <row r="88" spans="3:10">
      <c r="C88" s="40"/>
      <c r="D88" s="40"/>
      <c r="E88" s="40"/>
      <c r="F88" s="40"/>
      <c r="G88" s="40"/>
      <c r="H88" s="40"/>
      <c r="I88" s="40"/>
      <c r="J88" s="40"/>
    </row>
    <row r="89" spans="3:10">
      <c r="C89" s="40"/>
      <c r="D89" s="40"/>
      <c r="E89" s="40"/>
      <c r="F89" s="40"/>
      <c r="G89" s="40"/>
      <c r="H89" s="40"/>
      <c r="I89" s="40"/>
      <c r="J89" s="40"/>
    </row>
    <row r="90" spans="3:10">
      <c r="C90" s="40"/>
      <c r="D90" s="40"/>
      <c r="E90" s="40"/>
      <c r="F90" s="40"/>
      <c r="G90" s="40"/>
      <c r="H90" s="40"/>
      <c r="I90" s="40"/>
      <c r="J90" s="40"/>
    </row>
    <row r="91" spans="3:10">
      <c r="C91" s="40"/>
      <c r="D91" s="40"/>
      <c r="E91" s="40"/>
      <c r="F91" s="40"/>
      <c r="G91" s="40"/>
      <c r="H91" s="40"/>
      <c r="I91" s="40"/>
      <c r="J91" s="40"/>
    </row>
    <row r="92" spans="3:10">
      <c r="C92" s="40"/>
      <c r="D92" s="40"/>
      <c r="E92" s="40"/>
      <c r="F92" s="40"/>
      <c r="G92" s="40"/>
      <c r="H92" s="40"/>
      <c r="I92" s="40"/>
      <c r="J92" s="40"/>
    </row>
    <row r="93" spans="3:10">
      <c r="C93" s="40"/>
      <c r="D93" s="40"/>
      <c r="E93" s="40"/>
      <c r="F93" s="40"/>
      <c r="G93" s="40"/>
      <c r="H93" s="40"/>
      <c r="I93" s="40"/>
      <c r="J93" s="40"/>
    </row>
    <row r="94" spans="3:10">
      <c r="C94" s="40"/>
      <c r="D94" s="40"/>
      <c r="E94" s="40"/>
      <c r="F94" s="40"/>
      <c r="G94" s="40"/>
      <c r="H94" s="40"/>
      <c r="I94" s="40"/>
      <c r="J94" s="40"/>
    </row>
    <row r="95" spans="3:10">
      <c r="C95" s="40"/>
      <c r="D95" s="40"/>
      <c r="E95" s="40"/>
      <c r="F95" s="40"/>
      <c r="G95" s="40"/>
      <c r="H95" s="40"/>
      <c r="I95" s="40"/>
      <c r="J95" s="40"/>
    </row>
    <row r="96" spans="3:10">
      <c r="C96" s="40"/>
      <c r="D96" s="40"/>
      <c r="E96" s="40"/>
      <c r="F96" s="40"/>
      <c r="G96" s="40"/>
      <c r="H96" s="40"/>
      <c r="I96" s="40"/>
      <c r="J96" s="40"/>
    </row>
    <row r="97" spans="3:10">
      <c r="C97" s="40"/>
      <c r="D97" s="40"/>
      <c r="E97" s="40"/>
      <c r="F97" s="40"/>
      <c r="G97" s="40"/>
      <c r="H97" s="40"/>
      <c r="I97" s="40"/>
      <c r="J97" s="40"/>
    </row>
    <row r="98" spans="3:10">
      <c r="C98" s="40"/>
      <c r="D98" s="40"/>
      <c r="E98" s="40"/>
      <c r="F98" s="40"/>
      <c r="G98" s="40"/>
      <c r="H98" s="40"/>
      <c r="I98" s="40"/>
      <c r="J98" s="40"/>
    </row>
    <row r="99" spans="3:10">
      <c r="C99" s="40"/>
      <c r="D99" s="40"/>
      <c r="E99" s="40"/>
      <c r="F99" s="40"/>
      <c r="G99" s="40"/>
      <c r="H99" s="40"/>
      <c r="I99" s="40"/>
      <c r="J99" s="40"/>
    </row>
    <row r="100" spans="3:10">
      <c r="C100" s="40"/>
      <c r="D100" s="40"/>
      <c r="E100" s="40"/>
      <c r="F100" s="40"/>
      <c r="G100" s="40"/>
      <c r="H100" s="40"/>
      <c r="I100" s="40"/>
      <c r="J100" s="40"/>
    </row>
    <row r="101" spans="3:10">
      <c r="C101" s="40"/>
      <c r="D101" s="40"/>
      <c r="E101" s="40"/>
      <c r="F101" s="40"/>
      <c r="G101" s="40"/>
      <c r="H101" s="40"/>
      <c r="I101" s="40"/>
      <c r="J101" s="40"/>
    </row>
    <row r="102" spans="3:10">
      <c r="C102" s="40"/>
      <c r="D102" s="40"/>
      <c r="E102" s="40"/>
      <c r="F102" s="40"/>
      <c r="G102" s="40"/>
      <c r="H102" s="40"/>
      <c r="I102" s="40"/>
      <c r="J102" s="40"/>
    </row>
    <row r="103" spans="3:10">
      <c r="C103" s="40"/>
      <c r="D103" s="40"/>
      <c r="E103" s="40"/>
      <c r="F103" s="40"/>
      <c r="G103" s="40"/>
      <c r="H103" s="40"/>
      <c r="I103" s="40"/>
      <c r="J103" s="40"/>
    </row>
    <row r="104" spans="3:10">
      <c r="C104" s="40"/>
      <c r="D104" s="40"/>
      <c r="E104" s="40"/>
      <c r="F104" s="40"/>
      <c r="G104" s="40"/>
      <c r="H104" s="40"/>
      <c r="I104" s="40"/>
      <c r="J104" s="40"/>
    </row>
    <row r="105" spans="3:10">
      <c r="C105" s="40"/>
      <c r="D105" s="40"/>
      <c r="E105" s="40"/>
      <c r="F105" s="40"/>
      <c r="G105" s="40"/>
      <c r="H105" s="40"/>
      <c r="I105" s="40"/>
      <c r="J105" s="40"/>
    </row>
    <row r="106" spans="3:10">
      <c r="C106" s="40"/>
      <c r="D106" s="40"/>
      <c r="E106" s="40"/>
      <c r="F106" s="40"/>
      <c r="G106" s="40"/>
      <c r="H106" s="40"/>
      <c r="I106" s="40"/>
      <c r="J106" s="40"/>
    </row>
    <row r="107" spans="3:10">
      <c r="C107" s="40"/>
      <c r="D107" s="40"/>
      <c r="E107" s="40"/>
      <c r="F107" s="40"/>
      <c r="G107" s="40"/>
      <c r="H107" s="40"/>
      <c r="I107" s="40"/>
      <c r="J107" s="40"/>
    </row>
    <row r="108" spans="3:10">
      <c r="C108" s="40"/>
      <c r="D108" s="40"/>
      <c r="E108" s="40"/>
      <c r="F108" s="40"/>
      <c r="G108" s="40"/>
      <c r="H108" s="40"/>
      <c r="I108" s="40"/>
      <c r="J108" s="40"/>
    </row>
    <row r="109" spans="3:10">
      <c r="C109" s="40"/>
      <c r="D109" s="40"/>
      <c r="E109" s="40"/>
      <c r="F109" s="40"/>
      <c r="G109" s="40"/>
      <c r="H109" s="40"/>
      <c r="I109" s="40"/>
      <c r="J109" s="40"/>
    </row>
    <row r="110" spans="3:10">
      <c r="C110" s="40"/>
      <c r="D110" s="40"/>
      <c r="E110" s="40"/>
      <c r="F110" s="40"/>
      <c r="G110" s="40"/>
      <c r="H110" s="40"/>
      <c r="I110" s="40"/>
      <c r="J110" s="40"/>
    </row>
    <row r="111" spans="3:10">
      <c r="C111" s="40"/>
      <c r="D111" s="40"/>
      <c r="E111" s="40"/>
      <c r="F111" s="40"/>
      <c r="G111" s="40"/>
      <c r="H111" s="40"/>
      <c r="I111" s="40"/>
      <c r="J111" s="40"/>
    </row>
    <row r="112" spans="3:10">
      <c r="C112" s="40"/>
      <c r="D112" s="40"/>
      <c r="E112" s="40"/>
      <c r="F112" s="40"/>
      <c r="G112" s="40"/>
      <c r="H112" s="40"/>
      <c r="I112" s="40"/>
      <c r="J112" s="40"/>
    </row>
    <row r="113" spans="3:10">
      <c r="C113" s="40"/>
      <c r="D113" s="40"/>
      <c r="E113" s="40"/>
      <c r="F113" s="40"/>
      <c r="G113" s="40"/>
      <c r="H113" s="40"/>
      <c r="I113" s="40"/>
      <c r="J113" s="40"/>
    </row>
    <row r="114" spans="3:10">
      <c r="C114" s="40"/>
      <c r="D114" s="40"/>
      <c r="E114" s="40"/>
      <c r="F114" s="40"/>
      <c r="G114" s="40"/>
      <c r="H114" s="40"/>
      <c r="I114" s="40"/>
      <c r="J114" s="40"/>
    </row>
    <row r="115" spans="3:10">
      <c r="C115" s="40"/>
      <c r="D115" s="40"/>
      <c r="E115" s="40"/>
      <c r="F115" s="40"/>
      <c r="G115" s="40"/>
      <c r="H115" s="40"/>
      <c r="I115" s="40"/>
      <c r="J115" s="40"/>
    </row>
    <row r="116" spans="3:10">
      <c r="C116" s="40"/>
      <c r="D116" s="40"/>
      <c r="E116" s="40"/>
      <c r="F116" s="40"/>
      <c r="G116" s="40"/>
      <c r="H116" s="40"/>
      <c r="I116" s="40"/>
      <c r="J116" s="40"/>
    </row>
    <row r="117" spans="3:10">
      <c r="C117" s="40"/>
      <c r="D117" s="40"/>
      <c r="E117" s="40"/>
      <c r="F117" s="40"/>
      <c r="G117" s="40"/>
      <c r="H117" s="40"/>
      <c r="I117" s="40"/>
      <c r="J117" s="40"/>
    </row>
    <row r="118" spans="3:10">
      <c r="C118" s="40"/>
      <c r="D118" s="40"/>
      <c r="E118" s="40"/>
      <c r="F118" s="40"/>
      <c r="G118" s="40"/>
      <c r="H118" s="40"/>
      <c r="I118" s="40"/>
      <c r="J118" s="40"/>
    </row>
    <row r="119" spans="3:10">
      <c r="C119" s="40"/>
      <c r="D119" s="40"/>
      <c r="E119" s="40"/>
      <c r="F119" s="40"/>
      <c r="G119" s="40"/>
      <c r="H119" s="40"/>
      <c r="I119" s="40"/>
      <c r="J119" s="40"/>
    </row>
    <row r="120" spans="3:10">
      <c r="C120" s="40"/>
      <c r="D120" s="40"/>
      <c r="E120" s="40"/>
      <c r="F120" s="40"/>
      <c r="G120" s="40"/>
      <c r="H120" s="40"/>
      <c r="I120" s="40"/>
      <c r="J120" s="40"/>
    </row>
    <row r="121" spans="3:10">
      <c r="C121" s="40"/>
      <c r="D121" s="40"/>
      <c r="E121" s="40"/>
      <c r="F121" s="40"/>
      <c r="G121" s="40"/>
      <c r="H121" s="40"/>
      <c r="I121" s="40"/>
      <c r="J121" s="40"/>
    </row>
    <row r="122" spans="3:10">
      <c r="C122" s="40"/>
      <c r="D122" s="40"/>
      <c r="E122" s="40"/>
      <c r="F122" s="40"/>
      <c r="G122" s="40"/>
      <c r="H122" s="40"/>
      <c r="I122" s="40"/>
      <c r="J122" s="40"/>
    </row>
    <row r="123" spans="3:10">
      <c r="C123" s="40"/>
      <c r="D123" s="40"/>
      <c r="E123" s="40"/>
      <c r="F123" s="40"/>
      <c r="G123" s="40"/>
      <c r="H123" s="40"/>
      <c r="I123" s="40"/>
      <c r="J123" s="40"/>
    </row>
    <row r="124" spans="3:10">
      <c r="C124" s="40"/>
      <c r="D124" s="40"/>
      <c r="E124" s="40"/>
      <c r="F124" s="40"/>
      <c r="G124" s="40"/>
      <c r="H124" s="40"/>
      <c r="I124" s="40"/>
      <c r="J124" s="40"/>
    </row>
    <row r="125" spans="3:10">
      <c r="C125" s="40"/>
      <c r="D125" s="40"/>
      <c r="E125" s="40"/>
      <c r="F125" s="40"/>
      <c r="G125" s="40"/>
      <c r="H125" s="40"/>
      <c r="I125" s="40"/>
      <c r="J125" s="40"/>
    </row>
    <row r="126" spans="3:10">
      <c r="C126" s="40"/>
      <c r="D126" s="40"/>
      <c r="E126" s="40"/>
      <c r="F126" s="40"/>
      <c r="G126" s="40"/>
      <c r="H126" s="40"/>
      <c r="I126" s="40"/>
      <c r="J126" s="40"/>
    </row>
    <row r="127" spans="3:10">
      <c r="C127" s="40"/>
      <c r="D127" s="40"/>
      <c r="E127" s="40"/>
      <c r="F127" s="40"/>
      <c r="G127" s="40"/>
      <c r="H127" s="40"/>
      <c r="I127" s="40"/>
      <c r="J127" s="40"/>
    </row>
    <row r="128" spans="3:10">
      <c r="C128" s="40"/>
      <c r="D128" s="40"/>
      <c r="E128" s="40"/>
      <c r="F128" s="40"/>
      <c r="G128" s="40"/>
      <c r="H128" s="40"/>
      <c r="I128" s="40"/>
      <c r="J128" s="40"/>
    </row>
    <row r="129" spans="3:10">
      <c r="C129" s="40"/>
      <c r="D129" s="40"/>
      <c r="E129" s="40"/>
      <c r="F129" s="40"/>
      <c r="G129" s="40"/>
      <c r="H129" s="40"/>
      <c r="I129" s="40"/>
      <c r="J129" s="40"/>
    </row>
    <row r="130" spans="3:10">
      <c r="C130" s="40"/>
      <c r="D130" s="40"/>
      <c r="E130" s="40"/>
      <c r="F130" s="40"/>
      <c r="G130" s="40"/>
      <c r="H130" s="40"/>
      <c r="I130" s="40"/>
      <c r="J130" s="40"/>
    </row>
    <row r="131" spans="3:10">
      <c r="C131" s="40"/>
      <c r="D131" s="40"/>
      <c r="E131" s="40"/>
      <c r="F131" s="40"/>
      <c r="G131" s="40"/>
      <c r="H131" s="40"/>
      <c r="I131" s="40"/>
      <c r="J131" s="40"/>
    </row>
    <row r="132" spans="3:10">
      <c r="C132" s="40"/>
      <c r="D132" s="40"/>
      <c r="E132" s="40"/>
      <c r="F132" s="40"/>
      <c r="G132" s="40"/>
      <c r="H132" s="40"/>
      <c r="I132" s="40"/>
      <c r="J132" s="40"/>
    </row>
    <row r="133" spans="3:10">
      <c r="C133" s="40"/>
      <c r="D133" s="40"/>
      <c r="E133" s="40"/>
      <c r="F133" s="40"/>
      <c r="G133" s="40"/>
      <c r="H133" s="40"/>
      <c r="I133" s="40"/>
      <c r="J133" s="40"/>
    </row>
    <row r="134" spans="3:10">
      <c r="C134" s="40"/>
      <c r="D134" s="40"/>
      <c r="E134" s="40"/>
      <c r="F134" s="40"/>
      <c r="G134" s="40"/>
      <c r="H134" s="40"/>
      <c r="I134" s="40"/>
      <c r="J134" s="40"/>
    </row>
    <row r="135" spans="3:10"/>
    <row r="136" spans="3:10"/>
    <row r="137" spans="3:10"/>
    <row r="138" spans="3:10"/>
    <row r="139" spans="3:10"/>
    <row r="140" spans="3:10"/>
    <row r="141" spans="3:10"/>
    <row r="142" spans="3:10"/>
    <row r="143" spans="3:10"/>
    <row r="144" spans="3:10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zoomScaleNormal="100" workbookViewId="0">
      <pane ySplit="4" topLeftCell="A8" activePane="bottomLeft" state="frozen"/>
      <selection activeCell="E17" sqref="E17"/>
      <selection pane="bottomLeft" activeCell="F10" sqref="F10"/>
    </sheetView>
  </sheetViews>
  <sheetFormatPr defaultColWidth="8.7109375" defaultRowHeight="0" customHeight="1" zeroHeight="1"/>
  <cols>
    <col min="1" max="1" width="3.5703125" style="2" customWidth="1"/>
    <col min="2" max="2" width="53.5703125" style="2" bestFit="1" customWidth="1"/>
    <col min="3" max="4" width="9.5703125" style="2" bestFit="1" customWidth="1"/>
    <col min="5" max="5" width="13.85546875" style="2" customWidth="1"/>
    <col min="6" max="10" width="12.5703125" style="2" customWidth="1"/>
    <col min="11" max="16384" width="8.7109375" style="2"/>
  </cols>
  <sheetData>
    <row r="1" spans="1:11" ht="36.75" customHeight="1">
      <c r="A1" s="49" t="s">
        <v>100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1" ht="14.25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1" ht="14.25">
      <c r="A3" s="14"/>
      <c r="B3" s="31"/>
      <c r="C3" s="31"/>
      <c r="D3" s="31"/>
      <c r="E3" s="30"/>
      <c r="F3" s="30"/>
      <c r="G3" s="30"/>
      <c r="H3" s="30"/>
      <c r="I3" s="30"/>
      <c r="J3" s="30"/>
    </row>
    <row r="4" spans="1:11" ht="14.25">
      <c r="A4" s="14"/>
      <c r="B4" s="31"/>
      <c r="C4" s="31"/>
      <c r="D4" s="31"/>
      <c r="E4" s="30"/>
      <c r="F4" s="30"/>
      <c r="G4" s="30"/>
      <c r="H4" s="30"/>
      <c r="I4" s="30"/>
      <c r="J4" s="30"/>
    </row>
    <row r="5" spans="1:11" ht="14.25">
      <c r="A5" s="14"/>
      <c r="B5" s="31"/>
      <c r="C5" s="31"/>
      <c r="D5" s="31"/>
      <c r="E5" s="30"/>
      <c r="F5" s="30"/>
      <c r="G5" s="30"/>
      <c r="H5" s="30"/>
      <c r="I5" s="30"/>
      <c r="J5" s="30"/>
      <c r="K5" s="128" t="s">
        <v>198</v>
      </c>
    </row>
    <row r="6" spans="1:11" ht="15">
      <c r="B6" s="32" t="s">
        <v>50</v>
      </c>
    </row>
    <row r="7" spans="1:11" ht="14.25">
      <c r="B7" s="2" t="s">
        <v>30</v>
      </c>
      <c r="C7" s="50"/>
      <c r="D7" s="50"/>
      <c r="E7" s="51"/>
      <c r="F7" s="21">
        <f>'Apex Solutions IS'!F30</f>
        <v>9294.6823000000004</v>
      </c>
      <c r="G7" s="21">
        <f>'Apex Solutions IS'!G30</f>
        <v>11422.195978000003</v>
      </c>
      <c r="H7" s="21">
        <f>'Apex Solutions IS'!H30</f>
        <v>13935.567341560001</v>
      </c>
      <c r="I7" s="21">
        <f>'Apex Solutions IS'!I30</f>
        <v>16948.142294643992</v>
      </c>
      <c r="J7" s="21">
        <f>'Apex Solutions IS'!J30</f>
        <v>20560.199012051635</v>
      </c>
    </row>
    <row r="8" spans="1:11" ht="14.25">
      <c r="B8" s="2" t="s">
        <v>51</v>
      </c>
      <c r="C8" s="50"/>
      <c r="D8" s="50"/>
      <c r="E8" s="51"/>
      <c r="F8" s="21">
        <f>'Dep Capex'!F7</f>
        <v>2069.73</v>
      </c>
      <c r="G8" s="21">
        <f>'Dep Capex'!G7</f>
        <v>2453.9094</v>
      </c>
      <c r="H8" s="21">
        <f>'Dep Capex'!H7</f>
        <v>2909.900772</v>
      </c>
      <c r="I8" s="21">
        <f>'Dep Capex'!I7</f>
        <v>3451.2156597599997</v>
      </c>
      <c r="J8" s="21">
        <f>'Dep Capex'!J7</f>
        <v>4093.9233151247995</v>
      </c>
    </row>
    <row r="9" spans="1:11" ht="14.25">
      <c r="B9" s="2" t="s">
        <v>52</v>
      </c>
      <c r="C9" s="50"/>
      <c r="D9" s="50"/>
      <c r="E9" s="51"/>
      <c r="F9" s="21">
        <f>'Apex Solutions IS'!F21</f>
        <v>0</v>
      </c>
      <c r="G9" s="21">
        <f>'Apex Solutions IS'!G21</f>
        <v>0</v>
      </c>
      <c r="H9" s="21">
        <f>'Apex Solutions IS'!H21</f>
        <v>0</v>
      </c>
      <c r="I9" s="21">
        <f>'Apex Solutions IS'!I21</f>
        <v>0</v>
      </c>
      <c r="J9" s="21">
        <f>'Apex Solutions IS'!J21</f>
        <v>0</v>
      </c>
    </row>
    <row r="10" spans="1:11" ht="15">
      <c r="B10" s="27" t="s">
        <v>53</v>
      </c>
      <c r="C10" s="50"/>
      <c r="D10" s="50"/>
      <c r="E10" s="51"/>
      <c r="F10" s="21"/>
      <c r="G10" s="21"/>
      <c r="H10" s="21"/>
      <c r="I10" s="21"/>
      <c r="J10" s="21"/>
    </row>
    <row r="11" spans="1:11" ht="14.25">
      <c r="B11" s="36" t="s">
        <v>54</v>
      </c>
      <c r="C11" s="50"/>
      <c r="D11" s="50"/>
      <c r="E11" s="51"/>
      <c r="F11" s="21">
        <f>'Working Capital'!E7-'Working Capital'!F7</f>
        <v>-434.20821917808235</v>
      </c>
      <c r="G11" s="21">
        <f>'Working Capital'!F7-'Working Capital'!G7</f>
        <v>-444.40843835616488</v>
      </c>
      <c r="H11" s="21">
        <f>'Working Capital'!G7-'Working Capital'!H7</f>
        <v>-527.47860383561601</v>
      </c>
      <c r="I11" s="21">
        <f>'Working Capital'!H7-'Working Capital'!I7</f>
        <v>-626.17856118356121</v>
      </c>
      <c r="J11" s="21">
        <f>'Working Capital'!I7-'Working Capital'!J7</f>
        <v>-743.46699859550745</v>
      </c>
    </row>
    <row r="12" spans="1:11" ht="14.25">
      <c r="B12" s="36" t="s">
        <v>112</v>
      </c>
      <c r="C12" s="50"/>
      <c r="D12" s="50"/>
      <c r="E12" s="51"/>
      <c r="F12" s="21">
        <f>'Working Capital'!E8-'Working Capital'!F8</f>
        <v>-354.71342465753423</v>
      </c>
      <c r="G12" s="21">
        <f>'Working Capital'!F8-'Working Capital'!G8</f>
        <v>-808.62649863013667</v>
      </c>
      <c r="H12" s="21">
        <f>'Working Capital'!G8-'Working Capital'!H8</f>
        <v>-959.84677523287701</v>
      </c>
      <c r="I12" s="21">
        <f>'Working Capital'!H8-'Working Capital'!I8</f>
        <v>-1139.5341054597257</v>
      </c>
      <c r="J12" s="21">
        <f>'Working Capital'!I8-'Working Capital'!J8</f>
        <v>-1353.0802641246682</v>
      </c>
    </row>
    <row r="13" spans="1:11" ht="14.25">
      <c r="B13" s="36" t="s">
        <v>55</v>
      </c>
      <c r="C13" s="50"/>
      <c r="D13" s="50"/>
      <c r="E13" s="51"/>
      <c r="F13" s="21">
        <f>'Working Capital'!F9-'Working Capital'!E9</f>
        <v>226.08920547945218</v>
      </c>
      <c r="G13" s="21">
        <f>'Working Capital'!G9-'Working Capital'!F9</f>
        <v>554.4867419178081</v>
      </c>
      <c r="H13" s="21">
        <f>'Working Capital'!H9-'Working Capital'!G9</f>
        <v>658.18064587397203</v>
      </c>
      <c r="I13" s="21">
        <f>'Working Capital'!I9-'Working Capital'!H9</f>
        <v>781.39481517238346</v>
      </c>
      <c r="J13" s="21">
        <f>'Working Capital'!J9-'Working Capital'!I9</f>
        <v>927.82646682834365</v>
      </c>
    </row>
    <row r="14" spans="1:11" ht="15">
      <c r="B14" s="28" t="s">
        <v>56</v>
      </c>
      <c r="C14" s="41"/>
      <c r="D14" s="41"/>
      <c r="E14" s="42"/>
      <c r="F14" s="42">
        <f>SUM(F7:F13)</f>
        <v>10801.579861643837</v>
      </c>
      <c r="G14" s="42">
        <f t="shared" ref="G14:J14" si="0">SUM(G7:G13)</f>
        <v>13177.557182931512</v>
      </c>
      <c r="H14" s="42">
        <f t="shared" si="0"/>
        <v>16016.323380365478</v>
      </c>
      <c r="I14" s="42">
        <f t="shared" si="0"/>
        <v>19415.04010293309</v>
      </c>
      <c r="J14" s="42">
        <f t="shared" si="0"/>
        <v>23485.401531284602</v>
      </c>
    </row>
    <row r="15" spans="1:11" ht="14.25">
      <c r="E15" s="29"/>
      <c r="F15" s="29"/>
      <c r="G15" s="29"/>
      <c r="H15" s="29"/>
      <c r="I15" s="29"/>
      <c r="J15" s="29"/>
    </row>
    <row r="16" spans="1:11" ht="15">
      <c r="B16" s="32" t="s">
        <v>57</v>
      </c>
      <c r="E16" s="29"/>
      <c r="F16" s="29"/>
      <c r="G16" s="29"/>
      <c r="H16" s="29"/>
      <c r="I16" s="29"/>
      <c r="J16" s="29"/>
    </row>
    <row r="17" spans="2:10" ht="14.25">
      <c r="B17" s="2" t="s">
        <v>58</v>
      </c>
      <c r="C17" s="50"/>
      <c r="D17" s="50"/>
      <c r="E17" s="51"/>
      <c r="F17" s="21">
        <f>-'Dep Capex'!F11</f>
        <v>-10000</v>
      </c>
      <c r="G17" s="21">
        <f>-'Dep Capex'!G11</f>
        <v>-11500</v>
      </c>
      <c r="H17" s="21">
        <f>-'Dep Capex'!H11</f>
        <v>-13000</v>
      </c>
      <c r="I17" s="21">
        <f>-'Dep Capex'!I11</f>
        <v>-13500</v>
      </c>
      <c r="J17" s="21">
        <f>-'Dep Capex'!J11</f>
        <v>-15000</v>
      </c>
    </row>
    <row r="18" spans="2:10" ht="14.25">
      <c r="B18" s="2" t="s">
        <v>43</v>
      </c>
      <c r="C18" s="50"/>
      <c r="D18" s="50"/>
      <c r="E18" s="51"/>
      <c r="F18" s="21">
        <f>'Apex Solutions BS'!E17-'Apex Solutions BS'!F17</f>
        <v>0</v>
      </c>
      <c r="G18" s="21">
        <f>'Apex Solutions BS'!F17-'Apex Solutions BS'!G17</f>
        <v>0</v>
      </c>
      <c r="H18" s="21">
        <f>'Apex Solutions BS'!G17-'Apex Solutions BS'!H17</f>
        <v>0</v>
      </c>
      <c r="I18" s="21">
        <f>'Apex Solutions BS'!H17-'Apex Solutions BS'!I17</f>
        <v>0</v>
      </c>
      <c r="J18" s="21">
        <f>'Apex Solutions BS'!I17-'Apex Solutions BS'!J17</f>
        <v>0</v>
      </c>
    </row>
    <row r="19" spans="2:10" ht="15">
      <c r="B19" s="28" t="s">
        <v>59</v>
      </c>
      <c r="C19" s="28"/>
      <c r="D19" s="28"/>
      <c r="E19" s="42"/>
      <c r="F19" s="42">
        <f>SUM(F17:F18)</f>
        <v>-10000</v>
      </c>
      <c r="G19" s="42">
        <f t="shared" ref="G19:J19" si="1">SUM(G17:G18)</f>
        <v>-11500</v>
      </c>
      <c r="H19" s="42">
        <f t="shared" si="1"/>
        <v>-13000</v>
      </c>
      <c r="I19" s="42">
        <f t="shared" si="1"/>
        <v>-13500</v>
      </c>
      <c r="J19" s="42">
        <f t="shared" si="1"/>
        <v>-15000</v>
      </c>
    </row>
    <row r="20" spans="2:10" ht="14.25">
      <c r="E20" s="29"/>
      <c r="F20" s="29"/>
      <c r="G20" s="29"/>
      <c r="H20" s="29"/>
      <c r="I20" s="29"/>
      <c r="J20" s="29"/>
    </row>
    <row r="21" spans="2:10" ht="15">
      <c r="B21" s="32" t="s">
        <v>60</v>
      </c>
      <c r="E21" s="29"/>
      <c r="F21" s="29"/>
      <c r="G21" s="29"/>
      <c r="H21" s="29"/>
      <c r="I21" s="29"/>
      <c r="J21" s="29"/>
    </row>
    <row r="22" spans="2:10" ht="14.25">
      <c r="B22" s="2" t="s">
        <v>74</v>
      </c>
      <c r="C22" s="50"/>
      <c r="D22" s="50"/>
      <c r="E22" s="51"/>
      <c r="F22" s="129">
        <f>Debt!F8+Debt!F9</f>
        <v>-1000</v>
      </c>
      <c r="G22" s="129">
        <f>Debt!G8+Debt!G9</f>
        <v>-1000</v>
      </c>
      <c r="H22" s="129">
        <f>Debt!H8+Debt!H9</f>
        <v>-1000</v>
      </c>
      <c r="I22" s="129">
        <f>Debt!I8+Debt!I9</f>
        <v>-1000</v>
      </c>
      <c r="J22" s="129">
        <f>Debt!J8+Debt!J9</f>
        <v>-1000</v>
      </c>
    </row>
    <row r="23" spans="2:10" ht="15">
      <c r="B23" s="28" t="s">
        <v>61</v>
      </c>
      <c r="C23" s="41"/>
      <c r="D23" s="41"/>
      <c r="E23" s="42"/>
      <c r="F23" s="130">
        <f>SUM(F22)</f>
        <v>-1000</v>
      </c>
      <c r="G23" s="130">
        <f t="shared" ref="G23:J23" si="2">SUM(G22)</f>
        <v>-1000</v>
      </c>
      <c r="H23" s="130">
        <f t="shared" si="2"/>
        <v>-1000</v>
      </c>
      <c r="I23" s="130">
        <f t="shared" si="2"/>
        <v>-1000</v>
      </c>
      <c r="J23" s="130">
        <f t="shared" si="2"/>
        <v>-1000</v>
      </c>
    </row>
    <row r="24" spans="2:10" ht="14.25">
      <c r="E24" s="29"/>
      <c r="F24" s="29"/>
      <c r="G24" s="29"/>
      <c r="H24" s="29"/>
      <c r="I24" s="29"/>
      <c r="J24" s="29"/>
    </row>
    <row r="25" spans="2:10" ht="15">
      <c r="B25" s="43" t="s">
        <v>62</v>
      </c>
      <c r="C25" s="52"/>
      <c r="D25" s="52"/>
      <c r="E25" s="53"/>
      <c r="F25" s="23">
        <f>F14+F19+F23</f>
        <v>-198.42013835616308</v>
      </c>
      <c r="G25" s="23">
        <f t="shared" ref="G25:J25" si="3">G14+G19+G23</f>
        <v>677.55718293151222</v>
      </c>
      <c r="H25" s="23">
        <f t="shared" si="3"/>
        <v>2016.3233803654784</v>
      </c>
      <c r="I25" s="23">
        <f t="shared" si="3"/>
        <v>4915.0401029330897</v>
      </c>
      <c r="J25" s="23">
        <f t="shared" si="3"/>
        <v>7485.4015312846022</v>
      </c>
    </row>
    <row r="26" spans="2:10" ht="14.25">
      <c r="B26" s="2" t="s">
        <v>63</v>
      </c>
      <c r="C26" s="50"/>
      <c r="D26" s="50"/>
      <c r="E26" s="51"/>
      <c r="F26" s="21">
        <f>E27</f>
        <v>1400</v>
      </c>
      <c r="G26" s="21">
        <f t="shared" ref="G26:J26" si="4">F27</f>
        <v>1201.5798616438369</v>
      </c>
      <c r="H26" s="21">
        <f t="shared" si="4"/>
        <v>1879.1370445753491</v>
      </c>
      <c r="I26" s="21">
        <f t="shared" si="4"/>
        <v>3895.4604249408276</v>
      </c>
      <c r="J26" s="21">
        <f t="shared" si="4"/>
        <v>8810.5005278739172</v>
      </c>
    </row>
    <row r="27" spans="2:10" ht="15.75" thickBot="1">
      <c r="B27" s="57" t="s">
        <v>64</v>
      </c>
      <c r="C27" s="57"/>
      <c r="D27" s="57"/>
      <c r="E27" s="58">
        <f>'Apex Solutions BS'!E7</f>
        <v>1400</v>
      </c>
      <c r="F27" s="96">
        <f>F25+F26</f>
        <v>1201.5798616438369</v>
      </c>
      <c r="G27" s="96">
        <f t="shared" ref="G27:J27" si="5">G25+G26</f>
        <v>1879.1370445753491</v>
      </c>
      <c r="H27" s="96">
        <f>H25+H26</f>
        <v>3895.4604249408276</v>
      </c>
      <c r="I27" s="96">
        <f t="shared" si="5"/>
        <v>8810.5005278739172</v>
      </c>
      <c r="J27" s="96">
        <f t="shared" si="5"/>
        <v>16295.902059158519</v>
      </c>
    </row>
    <row r="28" spans="2:10" ht="15" thickTop="1">
      <c r="E28" s="29"/>
      <c r="F28" s="29"/>
      <c r="G28" s="29"/>
      <c r="H28" s="29"/>
      <c r="I28" s="29"/>
      <c r="J28" s="29"/>
    </row>
    <row r="29" spans="2:10" ht="14.25">
      <c r="B29" s="2" t="s">
        <v>77</v>
      </c>
      <c r="E29" s="21"/>
      <c r="F29" s="21"/>
      <c r="G29" s="21"/>
      <c r="H29" s="21"/>
      <c r="I29" s="21"/>
      <c r="J29" s="21"/>
    </row>
    <row r="30" spans="2:10" ht="14.25">
      <c r="E30" s="29"/>
      <c r="F30" s="29"/>
      <c r="G30" s="29"/>
      <c r="H30" s="29"/>
      <c r="I30" s="29"/>
      <c r="J30" s="29"/>
    </row>
    <row r="31" spans="2:10" ht="15">
      <c r="B31" s="27" t="s">
        <v>20</v>
      </c>
      <c r="C31" s="27"/>
      <c r="D31" s="27"/>
      <c r="E31" s="65"/>
      <c r="F31" s="65"/>
      <c r="G31" s="65"/>
      <c r="H31" s="65"/>
      <c r="I31" s="65"/>
      <c r="J31" s="65"/>
    </row>
    <row r="32" spans="2:10" ht="14.25">
      <c r="E32" s="29"/>
      <c r="F32" s="29"/>
      <c r="G32" s="29"/>
      <c r="H32" s="29"/>
      <c r="I32" s="29"/>
      <c r="J32" s="29"/>
    </row>
    <row r="33" spans="5:10" ht="14.25">
      <c r="E33" s="29"/>
      <c r="F33" s="29"/>
      <c r="G33" s="29"/>
      <c r="H33" s="29"/>
      <c r="I33" s="29"/>
      <c r="J33" s="29"/>
    </row>
    <row r="34" spans="5:10" ht="14.25">
      <c r="E34" s="29"/>
      <c r="F34" s="29"/>
      <c r="G34" s="29"/>
      <c r="H34" s="29"/>
      <c r="I34" s="29"/>
      <c r="J34" s="29"/>
    </row>
    <row r="35" spans="5:10" ht="14.25"/>
    <row r="36" spans="5:10" ht="14.25"/>
    <row r="37" spans="5:10" ht="14.25"/>
    <row r="38" spans="5:10" ht="14.25"/>
    <row r="39" spans="5:10" ht="14.25"/>
    <row r="40" spans="5:10" ht="14.25"/>
    <row r="41" spans="5:10" ht="14.25"/>
    <row r="42" spans="5:10" ht="14.25"/>
    <row r="43" spans="5:10" ht="14.25"/>
    <row r="44" spans="5:10" ht="14.25"/>
    <row r="45" spans="5:10" ht="14.25"/>
    <row r="46" spans="5:10" ht="14.25"/>
    <row r="47" spans="5:10" ht="14.25"/>
    <row r="48" spans="5:10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0" hidden="1" customHeight="1"/>
    <row r="164" ht="0" hidden="1" customHeight="1"/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pane ySplit="4" topLeftCell="A5" activePane="bottomLeft" state="frozen"/>
      <selection activeCell="E17" sqref="E17"/>
      <selection pane="bottomLeft" activeCell="E25" sqref="E25"/>
    </sheetView>
  </sheetViews>
  <sheetFormatPr defaultColWidth="8.7109375" defaultRowHeight="14.25"/>
  <cols>
    <col min="1" max="1" width="3.5703125" style="2" customWidth="1"/>
    <col min="2" max="2" width="56.85546875" style="2" customWidth="1"/>
    <col min="3" max="3" width="9.7109375" style="2" customWidth="1"/>
    <col min="4" max="4" width="14" style="2" customWidth="1"/>
    <col min="5" max="9" width="12.5703125" style="2" customWidth="1"/>
    <col min="10" max="10" width="10.5703125" style="2" bestFit="1" customWidth="1"/>
    <col min="11" max="16384" width="8.7109375" style="2"/>
  </cols>
  <sheetData>
    <row r="1" spans="1:10" ht="36.75" customHeight="1">
      <c r="A1" s="49" t="s">
        <v>101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0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0">
      <c r="A3" s="14"/>
      <c r="B3" s="31"/>
      <c r="C3" s="31"/>
      <c r="E3" s="30"/>
      <c r="F3" s="30"/>
      <c r="G3" s="30"/>
      <c r="H3" s="30"/>
      <c r="I3" s="30"/>
      <c r="J3" s="30"/>
    </row>
    <row r="4" spans="1:10">
      <c r="A4" s="14"/>
      <c r="B4" s="31"/>
      <c r="C4" s="31"/>
      <c r="E4" s="30"/>
      <c r="F4" s="30"/>
      <c r="G4" s="30"/>
      <c r="H4" s="30"/>
      <c r="I4" s="30"/>
      <c r="J4" s="30"/>
    </row>
    <row r="5" spans="1:10">
      <c r="A5" s="14"/>
      <c r="B5" s="2" t="s">
        <v>95</v>
      </c>
      <c r="C5" s="126">
        <f>'Apex Solutions IS'!C9</f>
        <v>25500</v>
      </c>
      <c r="D5" s="126">
        <f>'Apex Solutions IS'!D9</f>
        <v>31700</v>
      </c>
      <c r="E5" s="126">
        <f>'Apex Solutions IS'!E9</f>
        <v>38800</v>
      </c>
      <c r="F5" s="126">
        <f>'Apex Solutions IS'!F9</f>
        <v>45994</v>
      </c>
      <c r="G5" s="126">
        <f>'Apex Solutions IS'!G9</f>
        <v>54531.320000000007</v>
      </c>
      <c r="H5" s="126">
        <f>'Apex Solutions IS'!H9</f>
        <v>64664.461600000002</v>
      </c>
      <c r="I5" s="126">
        <f>'Apex Solutions IS'!I9</f>
        <v>76693.681327999991</v>
      </c>
      <c r="J5" s="126">
        <f>'Apex Solutions IS'!J9</f>
        <v>90976.073669439997</v>
      </c>
    </row>
    <row r="6" spans="1:10">
      <c r="A6" s="14"/>
      <c r="C6" s="21"/>
      <c r="D6" s="21"/>
      <c r="E6" s="21"/>
      <c r="F6" s="21"/>
      <c r="G6" s="21"/>
      <c r="H6" s="21"/>
      <c r="I6" s="21"/>
      <c r="J6" s="21"/>
    </row>
    <row r="7" spans="1:10" ht="15">
      <c r="B7" s="105" t="s">
        <v>34</v>
      </c>
      <c r="C7" s="21">
        <f>'Apex Solutions IS'!C20</f>
        <v>1200</v>
      </c>
      <c r="D7" s="21">
        <f>'Apex Solutions IS'!D20</f>
        <v>1400</v>
      </c>
      <c r="E7" s="21">
        <f>'Apex Solutions IS'!E20</f>
        <v>1700</v>
      </c>
      <c r="F7" s="23">
        <f>F5*F8</f>
        <v>2069.73</v>
      </c>
      <c r="G7" s="23">
        <f t="shared" ref="G7:J7" si="0">G5*G8</f>
        <v>2453.9094</v>
      </c>
      <c r="H7" s="23">
        <f t="shared" si="0"/>
        <v>2909.900772</v>
      </c>
      <c r="I7" s="23">
        <f t="shared" si="0"/>
        <v>3451.2156597599997</v>
      </c>
      <c r="J7" s="23">
        <f t="shared" si="0"/>
        <v>4093.9233151247995</v>
      </c>
    </row>
    <row r="8" spans="1:10" ht="15">
      <c r="B8" s="36" t="s">
        <v>180</v>
      </c>
      <c r="C8" s="84">
        <f>C7/C5</f>
        <v>4.7058823529411764E-2</v>
      </c>
      <c r="D8" s="84">
        <f t="shared" ref="D8:E8" si="1">D7/D5</f>
        <v>4.4164037854889593E-2</v>
      </c>
      <c r="E8" s="84">
        <f t="shared" si="1"/>
        <v>4.3814432989690719E-2</v>
      </c>
      <c r="F8" s="64">
        <v>4.4999999999999998E-2</v>
      </c>
      <c r="G8" s="64">
        <v>4.4999999999999998E-2</v>
      </c>
      <c r="H8" s="64">
        <v>4.4999999999999998E-2</v>
      </c>
      <c r="I8" s="64">
        <v>4.4999999999999998E-2</v>
      </c>
      <c r="J8" s="64">
        <v>4.4999999999999998E-2</v>
      </c>
    </row>
    <row r="9" spans="1:10">
      <c r="A9" s="14"/>
      <c r="B9" s="31"/>
      <c r="C9" s="31"/>
      <c r="E9" s="30"/>
      <c r="F9" s="30"/>
      <c r="G9" s="30"/>
      <c r="H9" s="30"/>
      <c r="I9" s="30"/>
      <c r="J9" s="30"/>
    </row>
    <row r="10" spans="1:10" ht="15">
      <c r="B10" s="2" t="s">
        <v>111</v>
      </c>
      <c r="C10" s="32"/>
      <c r="E10" s="25"/>
      <c r="F10" s="66">
        <f>E13</f>
        <v>31400</v>
      </c>
      <c r="G10" s="66">
        <f t="shared" ref="G10:J10" si="2">F13</f>
        <v>39330.269999999997</v>
      </c>
      <c r="H10" s="66">
        <f t="shared" si="2"/>
        <v>48376.3606</v>
      </c>
      <c r="I10" s="66">
        <f t="shared" si="2"/>
        <v>58466.459827999999</v>
      </c>
      <c r="J10" s="66">
        <f t="shared" si="2"/>
        <v>68515.244168239995</v>
      </c>
    </row>
    <row r="11" spans="1:10" ht="15">
      <c r="B11" s="2" t="s">
        <v>114</v>
      </c>
      <c r="C11" s="32"/>
      <c r="E11" s="21"/>
      <c r="F11" s="125">
        <v>10000</v>
      </c>
      <c r="G11" s="125">
        <v>11500</v>
      </c>
      <c r="H11" s="125">
        <v>13000</v>
      </c>
      <c r="I11" s="125">
        <v>13500</v>
      </c>
      <c r="J11" s="125">
        <v>15000</v>
      </c>
    </row>
    <row r="12" spans="1:10">
      <c r="B12" s="2" t="s">
        <v>34</v>
      </c>
      <c r="F12" s="115">
        <f>F7</f>
        <v>2069.73</v>
      </c>
      <c r="G12" s="115">
        <f t="shared" ref="G12:I12" si="3">G7</f>
        <v>2453.9094</v>
      </c>
      <c r="H12" s="115">
        <f t="shared" si="3"/>
        <v>2909.900772</v>
      </c>
      <c r="I12" s="115">
        <f t="shared" si="3"/>
        <v>3451.2156597599997</v>
      </c>
      <c r="J12" s="115">
        <f>J7</f>
        <v>4093.9233151247995</v>
      </c>
    </row>
    <row r="13" spans="1:10" ht="15.75" thickBot="1">
      <c r="B13" s="106" t="s">
        <v>171</v>
      </c>
      <c r="C13" s="59"/>
      <c r="D13" s="57"/>
      <c r="E13" s="96">
        <f>'Apex Solutions BS'!E13</f>
        <v>31400</v>
      </c>
      <c r="F13" s="96">
        <f>F10+F11-F12</f>
        <v>39330.269999999997</v>
      </c>
      <c r="G13" s="96">
        <f t="shared" ref="G13:J13" si="4">G10+G11-G12</f>
        <v>48376.3606</v>
      </c>
      <c r="H13" s="96">
        <f t="shared" si="4"/>
        <v>58466.459827999999</v>
      </c>
      <c r="I13" s="96">
        <f t="shared" si="4"/>
        <v>68515.244168239995</v>
      </c>
      <c r="J13" s="96">
        <f t="shared" si="4"/>
        <v>79421.32085311519</v>
      </c>
    </row>
    <row r="14" spans="1:10" ht="15.75" thickTop="1">
      <c r="C14" s="32"/>
      <c r="E14" s="29"/>
      <c r="F14" s="29"/>
      <c r="G14" s="29"/>
      <c r="H14" s="29"/>
      <c r="I14" s="29"/>
      <c r="J14" s="29"/>
    </row>
    <row r="15" spans="1:10">
      <c r="A15" s="2" t="s">
        <v>172</v>
      </c>
      <c r="B15" s="2" t="s">
        <v>176</v>
      </c>
    </row>
    <row r="16" spans="1:10">
      <c r="A16" s="2" t="s">
        <v>173</v>
      </c>
      <c r="B16" s="2" t="s">
        <v>177</v>
      </c>
    </row>
    <row r="17" spans="1:2">
      <c r="A17" s="2" t="s">
        <v>174</v>
      </c>
      <c r="B17" s="2" t="s">
        <v>178</v>
      </c>
    </row>
    <row r="18" spans="1:2">
      <c r="A18" s="2" t="s">
        <v>175</v>
      </c>
      <c r="B18" s="2" t="s">
        <v>179</v>
      </c>
    </row>
    <row r="20" spans="1:2">
      <c r="B20" s="127" t="s">
        <v>181</v>
      </c>
    </row>
    <row r="22" spans="1:2">
      <c r="A22" s="2">
        <v>1</v>
      </c>
      <c r="B22" s="128" t="s">
        <v>182</v>
      </c>
    </row>
    <row r="23" spans="1:2">
      <c r="A23" s="2">
        <v>2</v>
      </c>
      <c r="B23" s="128" t="s">
        <v>183</v>
      </c>
    </row>
    <row r="24" spans="1:2">
      <c r="A24" s="2">
        <v>3</v>
      </c>
      <c r="B24" s="128" t="s">
        <v>184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43"/>
  <sheetViews>
    <sheetView zoomScaleNormal="100" workbookViewId="0">
      <pane ySplit="4" topLeftCell="A5" activePane="bottomLeft" state="frozen"/>
      <selection activeCell="E17" sqref="E17"/>
      <selection pane="bottomLeft" activeCell="E8" sqref="E8"/>
    </sheetView>
  </sheetViews>
  <sheetFormatPr defaultColWidth="8.7109375" defaultRowHeight="14.25"/>
  <cols>
    <col min="1" max="1" width="3.5703125" style="2" customWidth="1"/>
    <col min="2" max="2" width="53.5703125" style="2" bestFit="1" customWidth="1"/>
    <col min="3" max="3" width="12" style="2" customWidth="1"/>
    <col min="4" max="4" width="14" style="2" customWidth="1"/>
    <col min="5" max="9" width="12.5703125" style="2" customWidth="1"/>
    <col min="10" max="10" width="10.5703125" style="2" bestFit="1" customWidth="1"/>
    <col min="11" max="11" width="11.7109375" style="2" bestFit="1" customWidth="1"/>
    <col min="12" max="16384" width="8.7109375" style="2"/>
  </cols>
  <sheetData>
    <row r="1" spans="1:12" ht="36.75" customHeight="1">
      <c r="A1" s="49" t="s">
        <v>102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2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2">
      <c r="A3" s="14"/>
      <c r="B3" s="31"/>
      <c r="C3" s="31"/>
      <c r="E3" s="30"/>
      <c r="F3" s="30"/>
      <c r="G3" s="30"/>
      <c r="H3" s="30"/>
      <c r="I3" s="30"/>
      <c r="J3" s="30"/>
    </row>
    <row r="4" spans="1:12">
      <c r="A4" s="14"/>
      <c r="B4" s="31"/>
      <c r="C4" s="31"/>
      <c r="E4" s="30"/>
      <c r="F4" s="30"/>
      <c r="G4" s="30"/>
      <c r="H4" s="30"/>
      <c r="I4" s="30"/>
      <c r="J4" s="30"/>
    </row>
    <row r="5" spans="1:12">
      <c r="A5" s="14"/>
      <c r="B5" s="31"/>
      <c r="C5" s="31"/>
      <c r="E5" s="30"/>
      <c r="F5" s="30"/>
      <c r="G5" s="30"/>
      <c r="H5" s="30"/>
      <c r="I5" s="30"/>
      <c r="J5" s="30"/>
      <c r="K5" s="2" t="s">
        <v>187</v>
      </c>
    </row>
    <row r="6" spans="1:12" ht="15">
      <c r="B6" s="27" t="s">
        <v>45</v>
      </c>
      <c r="C6" s="32"/>
      <c r="E6" s="23"/>
      <c r="F6" s="23"/>
      <c r="G6" s="23"/>
      <c r="H6" s="23"/>
      <c r="I6" s="23"/>
      <c r="J6" s="23"/>
      <c r="K6" s="2" t="s">
        <v>188</v>
      </c>
    </row>
    <row r="7" spans="1:12">
      <c r="A7" s="2" t="s">
        <v>173</v>
      </c>
      <c r="B7" s="2" t="s">
        <v>27</v>
      </c>
      <c r="C7" s="97">
        <f>'Apex Solutions BS'!C8</f>
        <v>1440</v>
      </c>
      <c r="D7" s="97">
        <f>'Apex Solutions BS'!D8</f>
        <v>1700</v>
      </c>
      <c r="E7" s="97">
        <f>'Apex Solutions BS'!E8</f>
        <v>1960</v>
      </c>
      <c r="F7" s="67">
        <f>F11/F15</f>
        <v>2394.2082191780823</v>
      </c>
      <c r="G7" s="67">
        <f t="shared" ref="G7:J7" si="0">G11/G15</f>
        <v>2838.6166575342472</v>
      </c>
      <c r="H7" s="67">
        <f t="shared" si="0"/>
        <v>3366.0952613698632</v>
      </c>
      <c r="I7" s="67">
        <f t="shared" si="0"/>
        <v>3992.2738225534245</v>
      </c>
      <c r="J7" s="67">
        <f t="shared" si="0"/>
        <v>4735.7408211489319</v>
      </c>
      <c r="K7" s="2" t="s">
        <v>189</v>
      </c>
    </row>
    <row r="8" spans="1:12">
      <c r="A8" s="2" t="s">
        <v>173</v>
      </c>
      <c r="B8" s="2" t="s">
        <v>28</v>
      </c>
      <c r="C8" s="97">
        <f>'Apex Solutions BS'!C9</f>
        <v>3100</v>
      </c>
      <c r="D8" s="97">
        <f>'Apex Solutions BS'!D9</f>
        <v>3560</v>
      </c>
      <c r="E8" s="97">
        <f>'Apex Solutions BS'!E9</f>
        <v>4000</v>
      </c>
      <c r="F8" s="67">
        <f>F12/F16</f>
        <v>4354.7134246575342</v>
      </c>
      <c r="G8" s="67">
        <f t="shared" ref="G8:J8" si="1">G12/G16</f>
        <v>5163.3399232876709</v>
      </c>
      <c r="H8" s="67">
        <f t="shared" si="1"/>
        <v>6123.1866985205479</v>
      </c>
      <c r="I8" s="67">
        <f t="shared" si="1"/>
        <v>7262.7208039802736</v>
      </c>
      <c r="J8" s="67">
        <f t="shared" si="1"/>
        <v>8615.8010681049418</v>
      </c>
      <c r="K8" s="2" t="s">
        <v>190</v>
      </c>
    </row>
    <row r="9" spans="1:12">
      <c r="A9" s="2" t="s">
        <v>200</v>
      </c>
      <c r="B9" s="2" t="s">
        <v>46</v>
      </c>
      <c r="C9" s="97">
        <f>'Apex Solutions BS'!C24</f>
        <v>2200</v>
      </c>
      <c r="D9" s="97">
        <f>'Apex Solutions BS'!D24</f>
        <v>2480</v>
      </c>
      <c r="E9" s="97">
        <f>'Apex Solutions BS'!E24</f>
        <v>2760</v>
      </c>
      <c r="F9" s="67">
        <f>F12/F17</f>
        <v>2986.0892054794522</v>
      </c>
      <c r="G9" s="67">
        <f t="shared" ref="G9:J9" si="2">G12/G17</f>
        <v>3540.5759473972603</v>
      </c>
      <c r="H9" s="67">
        <f t="shared" si="2"/>
        <v>4198.7565932712323</v>
      </c>
      <c r="I9" s="67">
        <f t="shared" si="2"/>
        <v>4980.1514084436158</v>
      </c>
      <c r="J9" s="67">
        <f t="shared" si="2"/>
        <v>5907.9778752719594</v>
      </c>
      <c r="K9" s="2" t="s">
        <v>191</v>
      </c>
    </row>
    <row r="10" spans="1:12">
      <c r="C10" s="40"/>
      <c r="D10" s="40"/>
      <c r="E10" s="40"/>
      <c r="F10" s="40"/>
      <c r="G10" s="40"/>
      <c r="H10" s="40"/>
      <c r="I10" s="40"/>
      <c r="J10" s="40"/>
    </row>
    <row r="11" spans="1:12" ht="15">
      <c r="B11" s="27" t="s">
        <v>49</v>
      </c>
      <c r="C11" s="98">
        <f>'Apex Solutions IS'!C9</f>
        <v>25500</v>
      </c>
      <c r="D11" s="98">
        <f>'Apex Solutions IS'!D9</f>
        <v>31700</v>
      </c>
      <c r="E11" s="98">
        <f>'Apex Solutions IS'!E9</f>
        <v>38800</v>
      </c>
      <c r="F11" s="98">
        <f>'Apex Solutions IS'!F9</f>
        <v>45994</v>
      </c>
      <c r="G11" s="98">
        <f>'Apex Solutions IS'!G9</f>
        <v>54531.320000000007</v>
      </c>
      <c r="H11" s="98">
        <f>'Apex Solutions IS'!H9</f>
        <v>64664.461600000002</v>
      </c>
      <c r="I11" s="98">
        <f>'Apex Solutions IS'!I9</f>
        <v>76693.681327999991</v>
      </c>
      <c r="J11" s="98">
        <f>'Apex Solutions IS'!J9</f>
        <v>90976.073669439997</v>
      </c>
    </row>
    <row r="12" spans="1:12" ht="15">
      <c r="B12" s="27" t="s">
        <v>24</v>
      </c>
      <c r="C12" s="98">
        <f>'Apex Solutions IS'!C14</f>
        <v>12500</v>
      </c>
      <c r="D12" s="98">
        <f>'Apex Solutions IS'!D14</f>
        <v>15550</v>
      </c>
      <c r="E12" s="98">
        <f>'Apex Solutions IS'!E14</f>
        <v>19100</v>
      </c>
      <c r="F12" s="98">
        <f>'Apex Solutions IS'!F14</f>
        <v>22706.720000000001</v>
      </c>
      <c r="G12" s="98">
        <f>'Apex Solutions IS'!G14</f>
        <v>26923.1296</v>
      </c>
      <c r="H12" s="98">
        <f>'Apex Solutions IS'!H14</f>
        <v>31928.044927999999</v>
      </c>
      <c r="I12" s="98">
        <f>'Apex Solutions IS'!I14</f>
        <v>37869.901335039998</v>
      </c>
      <c r="J12" s="98">
        <f>'Apex Solutions IS'!J14</f>
        <v>44925.248426547194</v>
      </c>
    </row>
    <row r="13" spans="1:12">
      <c r="C13" s="40"/>
      <c r="D13" s="40"/>
      <c r="E13" s="40"/>
      <c r="F13" s="40"/>
      <c r="G13" s="40"/>
      <c r="H13" s="40"/>
      <c r="I13" s="40"/>
      <c r="J13" s="40"/>
    </row>
    <row r="14" spans="1:12" ht="15.75" thickBot="1">
      <c r="B14" s="103" t="s">
        <v>47</v>
      </c>
      <c r="C14" s="40"/>
      <c r="D14" s="40"/>
      <c r="E14" s="40"/>
      <c r="F14" s="40"/>
      <c r="G14" s="40"/>
      <c r="H14" s="40"/>
      <c r="I14" s="40"/>
      <c r="J14" s="40"/>
    </row>
    <row r="15" spans="1:12">
      <c r="B15" s="2" t="s">
        <v>124</v>
      </c>
      <c r="C15" s="99">
        <f>C11/C7</f>
        <v>17.708333333333332</v>
      </c>
      <c r="D15" s="99">
        <f t="shared" ref="D15:E15" si="3">D11/D7</f>
        <v>18.647058823529413</v>
      </c>
      <c r="E15" s="99">
        <f t="shared" si="3"/>
        <v>19.795918367346939</v>
      </c>
      <c r="F15" s="99">
        <f>$L$16/F19</f>
        <v>19.210526315789473</v>
      </c>
      <c r="G15" s="99">
        <f t="shared" ref="G15:J15" si="4">$L$16/G19</f>
        <v>19.210526315789473</v>
      </c>
      <c r="H15" s="99">
        <f t="shared" si="4"/>
        <v>19.210526315789473</v>
      </c>
      <c r="I15" s="99">
        <f t="shared" si="4"/>
        <v>19.210526315789473</v>
      </c>
      <c r="J15" s="99">
        <f t="shared" si="4"/>
        <v>19.210526315789473</v>
      </c>
      <c r="K15" s="2" t="s">
        <v>192</v>
      </c>
      <c r="L15" s="44"/>
    </row>
    <row r="16" spans="1:12" ht="15" thickBot="1">
      <c r="B16" s="2" t="s">
        <v>119</v>
      </c>
      <c r="C16" s="99">
        <f>C12/C8</f>
        <v>4.032258064516129</v>
      </c>
      <c r="D16" s="99">
        <f t="shared" ref="D16:E16" si="5">D12/D8</f>
        <v>4.367977528089888</v>
      </c>
      <c r="E16" s="99">
        <f t="shared" si="5"/>
        <v>4.7750000000000004</v>
      </c>
      <c r="F16" s="99">
        <f t="shared" ref="F16:J16" si="6">$L$16/F20</f>
        <v>5.2142857142857144</v>
      </c>
      <c r="G16" s="99">
        <f t="shared" si="6"/>
        <v>5.2142857142857144</v>
      </c>
      <c r="H16" s="99">
        <f t="shared" si="6"/>
        <v>5.2142857142857144</v>
      </c>
      <c r="I16" s="99">
        <f t="shared" si="6"/>
        <v>5.2142857142857144</v>
      </c>
      <c r="J16" s="99">
        <f t="shared" si="6"/>
        <v>5.2142857142857144</v>
      </c>
      <c r="L16" s="45">
        <v>365</v>
      </c>
    </row>
    <row r="17" spans="2:10">
      <c r="B17" s="2" t="s">
        <v>120</v>
      </c>
      <c r="C17" s="99">
        <f>C12/C9</f>
        <v>5.6818181818181817</v>
      </c>
      <c r="D17" s="99">
        <f t="shared" ref="D17:E17" si="7">D12/D9</f>
        <v>6.270161290322581</v>
      </c>
      <c r="E17" s="99">
        <f t="shared" si="7"/>
        <v>6.9202898550724639</v>
      </c>
      <c r="F17" s="99">
        <f t="shared" ref="F17:J17" si="8">$L$16/F21</f>
        <v>7.604166666666667</v>
      </c>
      <c r="G17" s="99">
        <f t="shared" si="8"/>
        <v>7.604166666666667</v>
      </c>
      <c r="H17" s="99">
        <f t="shared" si="8"/>
        <v>7.604166666666667</v>
      </c>
      <c r="I17" s="99">
        <f t="shared" si="8"/>
        <v>7.604166666666667</v>
      </c>
      <c r="J17" s="99">
        <f t="shared" si="8"/>
        <v>7.604166666666667</v>
      </c>
    </row>
    <row r="18" spans="2:10">
      <c r="C18" s="40"/>
      <c r="D18" s="40"/>
      <c r="E18" s="40"/>
      <c r="F18" s="40"/>
      <c r="G18" s="40"/>
      <c r="H18" s="40"/>
      <c r="I18" s="40"/>
      <c r="J18" s="40"/>
    </row>
    <row r="19" spans="2:10">
      <c r="B19" s="2" t="s">
        <v>121</v>
      </c>
      <c r="C19" s="99">
        <f>$L$16/C15</f>
        <v>20.611764705882354</v>
      </c>
      <c r="D19" s="99">
        <f t="shared" ref="D19:E19" si="9">$L$16/D15</f>
        <v>19.574132492113563</v>
      </c>
      <c r="E19" s="99">
        <f t="shared" si="9"/>
        <v>18.438144329896907</v>
      </c>
      <c r="F19" s="100">
        <v>19</v>
      </c>
      <c r="G19" s="100">
        <v>19</v>
      </c>
      <c r="H19" s="100">
        <v>19</v>
      </c>
      <c r="I19" s="100">
        <v>19</v>
      </c>
      <c r="J19" s="100">
        <v>19</v>
      </c>
    </row>
    <row r="20" spans="2:10">
      <c r="B20" s="2" t="s">
        <v>122</v>
      </c>
      <c r="C20" s="99">
        <f t="shared" ref="C20:E21" si="10">$L$16/C16</f>
        <v>90.52</v>
      </c>
      <c r="D20" s="99">
        <f t="shared" si="10"/>
        <v>83.562700964630224</v>
      </c>
      <c r="E20" s="99">
        <f t="shared" si="10"/>
        <v>76.43979057591622</v>
      </c>
      <c r="F20" s="100">
        <v>70</v>
      </c>
      <c r="G20" s="100">
        <v>70</v>
      </c>
      <c r="H20" s="100">
        <v>70</v>
      </c>
      <c r="I20" s="100">
        <v>70</v>
      </c>
      <c r="J20" s="100">
        <v>70</v>
      </c>
    </row>
    <row r="21" spans="2:10">
      <c r="B21" s="2" t="s">
        <v>123</v>
      </c>
      <c r="C21" s="99">
        <f t="shared" si="10"/>
        <v>64.239999999999995</v>
      </c>
      <c r="D21" s="99">
        <f t="shared" si="10"/>
        <v>58.212218649517681</v>
      </c>
      <c r="E21" s="99">
        <f t="shared" si="10"/>
        <v>52.7434554973822</v>
      </c>
      <c r="F21" s="100">
        <v>48</v>
      </c>
      <c r="G21" s="100">
        <v>48</v>
      </c>
      <c r="H21" s="100">
        <v>48</v>
      </c>
      <c r="I21" s="100">
        <v>48</v>
      </c>
      <c r="J21" s="100">
        <v>48</v>
      </c>
    </row>
    <row r="22" spans="2:10" ht="15">
      <c r="B22" s="46" t="s">
        <v>48</v>
      </c>
      <c r="C22" s="47">
        <f>C19+C20-C21</f>
        <v>46.891764705882352</v>
      </c>
      <c r="D22" s="47">
        <f t="shared" ref="D22:E22" si="11">D19+D20-D21</f>
        <v>44.924614807226106</v>
      </c>
      <c r="E22" s="47">
        <f t="shared" si="11"/>
        <v>42.134479408430934</v>
      </c>
      <c r="F22" s="47">
        <f t="shared" ref="F22" si="12">F19+F20-F21</f>
        <v>41</v>
      </c>
      <c r="G22" s="47">
        <f t="shared" ref="G22" si="13">G19+G20-G21</f>
        <v>41</v>
      </c>
      <c r="H22" s="47">
        <f t="shared" ref="H22" si="14">H19+H20-H21</f>
        <v>41</v>
      </c>
      <c r="I22" s="47">
        <f t="shared" ref="I22" si="15">I19+I20-I21</f>
        <v>41</v>
      </c>
      <c r="J22" s="47">
        <f t="shared" ref="J22" si="16">J19+J20-J21</f>
        <v>41</v>
      </c>
    </row>
    <row r="23" spans="2:10">
      <c r="B23" s="2" t="s">
        <v>193</v>
      </c>
    </row>
    <row r="25" spans="2:10">
      <c r="B25" s="127" t="s">
        <v>194</v>
      </c>
    </row>
    <row r="26" spans="2:10">
      <c r="B26" s="128" t="s">
        <v>195</v>
      </c>
    </row>
    <row r="27" spans="2:10">
      <c r="B27" s="128" t="s">
        <v>196</v>
      </c>
    </row>
    <row r="28" spans="2:10">
      <c r="B28" s="128" t="s">
        <v>197</v>
      </c>
    </row>
    <row r="32" spans="2:10">
      <c r="C32" s="2" t="s">
        <v>125</v>
      </c>
      <c r="D32" s="2" t="s">
        <v>126</v>
      </c>
    </row>
    <row r="33" spans="1:6" ht="15">
      <c r="A33" s="2" t="s">
        <v>199</v>
      </c>
      <c r="B33" s="27" t="s">
        <v>27</v>
      </c>
      <c r="C33" s="2" t="s">
        <v>127</v>
      </c>
    </row>
    <row r="34" spans="1:6" ht="15">
      <c r="A34" s="2" t="s">
        <v>199</v>
      </c>
      <c r="B34" s="27" t="s">
        <v>28</v>
      </c>
      <c r="C34" s="2">
        <f>10-20</f>
        <v>-10</v>
      </c>
      <c r="D34" s="2" t="s">
        <v>126</v>
      </c>
    </row>
    <row r="35" spans="1:6">
      <c r="C35" s="2" t="s">
        <v>42</v>
      </c>
    </row>
    <row r="36" spans="1:6">
      <c r="C36" s="2" t="s">
        <v>128</v>
      </c>
      <c r="D36" s="2" t="s">
        <v>129</v>
      </c>
    </row>
    <row r="37" spans="1:6">
      <c r="C37" s="2">
        <f>10-5</f>
        <v>5</v>
      </c>
      <c r="D37" s="2" t="s">
        <v>129</v>
      </c>
    </row>
    <row r="41" spans="1:6">
      <c r="B41" s="2" t="s">
        <v>130</v>
      </c>
    </row>
    <row r="42" spans="1:6">
      <c r="B42" s="2" t="s">
        <v>131</v>
      </c>
      <c r="C42" s="2" t="s">
        <v>132</v>
      </c>
    </row>
    <row r="43" spans="1:6">
      <c r="C43" s="2">
        <f>100-50</f>
        <v>50</v>
      </c>
      <c r="D43" s="2" t="s">
        <v>133</v>
      </c>
    </row>
    <row r="47" spans="1:6">
      <c r="F47" s="2" t="s">
        <v>42</v>
      </c>
    </row>
    <row r="2385" spans="6:6">
      <c r="F2385" s="2" t="s">
        <v>42</v>
      </c>
    </row>
    <row r="2386" spans="6:6">
      <c r="F2386" s="2" t="s">
        <v>42</v>
      </c>
    </row>
    <row r="2685" spans="6:6">
      <c r="F2685" s="2" t="s">
        <v>42</v>
      </c>
    </row>
    <row r="2686" spans="6:6">
      <c r="F2686" s="2" t="s">
        <v>42</v>
      </c>
    </row>
    <row r="2687" spans="6:6">
      <c r="F2687" s="2" t="s">
        <v>42</v>
      </c>
    </row>
    <row r="2688" spans="6:6">
      <c r="F2688" s="2" t="s">
        <v>42</v>
      </c>
    </row>
    <row r="1048543" spans="6:6">
      <c r="F104854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493"/>
  <sheetViews>
    <sheetView zoomScaleNormal="100" workbookViewId="0">
      <pane ySplit="4" topLeftCell="A5" activePane="bottomLeft" state="frozen"/>
      <selection activeCell="E17" sqref="E17"/>
      <selection pane="bottomLeft" activeCell="G22" sqref="G22"/>
    </sheetView>
  </sheetViews>
  <sheetFormatPr defaultColWidth="8.7109375" defaultRowHeight="14.25"/>
  <cols>
    <col min="1" max="1" width="3.5703125" style="2" customWidth="1"/>
    <col min="2" max="2" width="54.7109375" style="2" customWidth="1"/>
    <col min="3" max="3" width="9.5703125" style="2" bestFit="1" customWidth="1"/>
    <col min="4" max="4" width="14.5703125" style="2" customWidth="1"/>
    <col min="5" max="9" width="12.5703125" style="2" customWidth="1"/>
    <col min="10" max="10" width="10.5703125" style="2" bestFit="1" customWidth="1"/>
    <col min="11" max="16384" width="8.7109375" style="2"/>
  </cols>
  <sheetData>
    <row r="1" spans="1:10" ht="36.75" customHeight="1">
      <c r="A1" s="49" t="s">
        <v>103</v>
      </c>
      <c r="B1" s="16"/>
      <c r="C1" s="132" t="s">
        <v>0</v>
      </c>
      <c r="D1" s="132"/>
      <c r="E1" s="132"/>
      <c r="F1" s="132" t="s">
        <v>1</v>
      </c>
      <c r="G1" s="132"/>
      <c r="H1" s="132"/>
      <c r="I1" s="132"/>
      <c r="J1" s="132"/>
    </row>
    <row r="2" spans="1:10">
      <c r="A2" s="13" t="s">
        <v>6</v>
      </c>
      <c r="B2" s="17"/>
      <c r="C2" s="48" t="s">
        <v>83</v>
      </c>
      <c r="D2" s="48" t="s">
        <v>84</v>
      </c>
      <c r="E2" s="48" t="s">
        <v>85</v>
      </c>
      <c r="F2" s="12" t="s">
        <v>31</v>
      </c>
      <c r="G2" s="12" t="s">
        <v>32</v>
      </c>
      <c r="H2" s="12" t="s">
        <v>37</v>
      </c>
      <c r="I2" s="12" t="s">
        <v>38</v>
      </c>
      <c r="J2" s="12" t="s">
        <v>39</v>
      </c>
    </row>
    <row r="3" spans="1:10">
      <c r="A3" s="14"/>
      <c r="B3" s="31"/>
      <c r="C3" s="31"/>
      <c r="E3" s="30"/>
      <c r="F3" s="30"/>
      <c r="G3" s="30"/>
      <c r="H3" s="30"/>
      <c r="I3" s="30"/>
      <c r="J3" s="30"/>
    </row>
    <row r="4" spans="1:10">
      <c r="A4" s="14"/>
      <c r="B4" s="31"/>
      <c r="C4" s="31"/>
      <c r="E4" s="30"/>
      <c r="F4" s="30"/>
      <c r="G4" s="30"/>
      <c r="H4" s="30"/>
      <c r="I4" s="30"/>
      <c r="J4" s="30"/>
    </row>
    <row r="5" spans="1:10">
      <c r="A5" s="14"/>
      <c r="B5" s="31"/>
      <c r="C5" s="31"/>
      <c r="E5" s="30"/>
      <c r="F5" s="30"/>
      <c r="G5" s="30"/>
      <c r="H5" s="30"/>
      <c r="I5" s="30"/>
      <c r="J5" s="30"/>
    </row>
    <row r="6" spans="1:10" ht="15">
      <c r="B6" s="27" t="s">
        <v>72</v>
      </c>
      <c r="E6" s="67"/>
      <c r="F6" s="67"/>
      <c r="G6" s="67"/>
      <c r="H6" s="67"/>
      <c r="I6" s="67"/>
      <c r="J6" s="67"/>
    </row>
    <row r="7" spans="1:10">
      <c r="B7" s="2" t="s">
        <v>65</v>
      </c>
      <c r="E7" s="67"/>
      <c r="F7" s="67">
        <f>E10</f>
        <v>25200</v>
      </c>
      <c r="G7" s="67">
        <f t="shared" ref="G7:J7" si="0">F10</f>
        <v>24200</v>
      </c>
      <c r="H7" s="67">
        <f t="shared" si="0"/>
        <v>23200</v>
      </c>
      <c r="I7" s="67">
        <f t="shared" si="0"/>
        <v>22200</v>
      </c>
      <c r="J7" s="67">
        <f t="shared" si="0"/>
        <v>21200</v>
      </c>
    </row>
    <row r="8" spans="1:10">
      <c r="B8" s="2" t="s">
        <v>67</v>
      </c>
      <c r="E8" s="67"/>
      <c r="F8" s="66">
        <v>1000</v>
      </c>
      <c r="G8" s="66">
        <v>1000</v>
      </c>
      <c r="H8" s="66">
        <v>1000</v>
      </c>
      <c r="I8" s="66">
        <v>1000</v>
      </c>
      <c r="J8" s="66">
        <v>1000</v>
      </c>
    </row>
    <row r="9" spans="1:10" ht="18" customHeight="1">
      <c r="B9" s="2" t="s">
        <v>68</v>
      </c>
      <c r="E9" s="67"/>
      <c r="F9" s="66">
        <v>-2000</v>
      </c>
      <c r="G9" s="66">
        <v>-2000</v>
      </c>
      <c r="H9" s="66">
        <v>-2000</v>
      </c>
      <c r="I9" s="66">
        <v>-2000</v>
      </c>
      <c r="J9" s="66">
        <v>-2000</v>
      </c>
    </row>
    <row r="10" spans="1:10" ht="15">
      <c r="B10" s="28" t="s">
        <v>66</v>
      </c>
      <c r="C10" s="28"/>
      <c r="D10" s="28"/>
      <c r="E10" s="101">
        <f>'Apex Solutions BS'!E27</f>
        <v>25200</v>
      </c>
      <c r="F10" s="95">
        <f>SUM(F7:F9)</f>
        <v>24200</v>
      </c>
      <c r="G10" s="95">
        <f t="shared" ref="G10:J10" si="1">SUM(G7:G9)</f>
        <v>23200</v>
      </c>
      <c r="H10" s="95">
        <f t="shared" si="1"/>
        <v>22200</v>
      </c>
      <c r="I10" s="95">
        <f t="shared" si="1"/>
        <v>21200</v>
      </c>
      <c r="J10" s="95">
        <f t="shared" si="1"/>
        <v>20200</v>
      </c>
    </row>
    <row r="11" spans="1:10">
      <c r="E11" s="67"/>
      <c r="F11" s="67"/>
      <c r="G11" s="67"/>
      <c r="H11" s="67"/>
      <c r="I11" s="67"/>
      <c r="J11" s="67"/>
    </row>
    <row r="12" spans="1:10" ht="15">
      <c r="B12" s="32" t="s">
        <v>110</v>
      </c>
      <c r="E12" s="67"/>
      <c r="F12" s="67"/>
      <c r="G12" s="67"/>
      <c r="H12" s="67"/>
      <c r="I12" s="67"/>
      <c r="J12" s="67"/>
    </row>
    <row r="13" spans="1:10">
      <c r="B13" s="2" t="s">
        <v>73</v>
      </c>
      <c r="E13" s="67"/>
      <c r="F13" s="67">
        <f>AVERAGE(E10:F10)</f>
        <v>24700</v>
      </c>
      <c r="G13" s="67">
        <f t="shared" ref="G13:J13" si="2">AVERAGE(F10:G10)</f>
        <v>23700</v>
      </c>
      <c r="H13" s="67">
        <f t="shared" si="2"/>
        <v>22700</v>
      </c>
      <c r="I13" s="67">
        <f t="shared" si="2"/>
        <v>21700</v>
      </c>
      <c r="J13" s="67">
        <f t="shared" si="2"/>
        <v>20700</v>
      </c>
    </row>
    <row r="14" spans="1:10">
      <c r="B14" s="2" t="s">
        <v>33</v>
      </c>
      <c r="E14" s="67"/>
      <c r="F14" s="102">
        <v>0.09</v>
      </c>
      <c r="G14" s="102">
        <v>0.09</v>
      </c>
      <c r="H14" s="102">
        <v>0.09</v>
      </c>
      <c r="I14" s="102">
        <v>0.09</v>
      </c>
      <c r="J14" s="102">
        <v>0.09</v>
      </c>
    </row>
    <row r="15" spans="1:10" ht="15">
      <c r="B15" s="28" t="s">
        <v>22</v>
      </c>
      <c r="C15" s="28"/>
      <c r="D15" s="28"/>
      <c r="E15" s="95"/>
      <c r="F15" s="95">
        <f>F13*F14</f>
        <v>2223</v>
      </c>
      <c r="G15" s="95">
        <f t="shared" ref="G15:J15" si="3">G13*G14</f>
        <v>2133</v>
      </c>
      <c r="H15" s="95">
        <f t="shared" si="3"/>
        <v>2043</v>
      </c>
      <c r="I15" s="95">
        <f t="shared" si="3"/>
        <v>1953</v>
      </c>
      <c r="J15" s="95">
        <f t="shared" si="3"/>
        <v>1863</v>
      </c>
    </row>
    <row r="16" spans="1:10">
      <c r="E16" s="67"/>
      <c r="F16" s="67"/>
      <c r="G16" s="67"/>
      <c r="H16" s="67"/>
      <c r="I16" s="67"/>
      <c r="J16" s="67"/>
    </row>
    <row r="17" spans="2:10" ht="15">
      <c r="B17" s="32" t="s">
        <v>104</v>
      </c>
      <c r="E17" s="67"/>
      <c r="F17" s="67"/>
      <c r="G17" s="67"/>
      <c r="H17" s="67"/>
      <c r="I17" s="67"/>
      <c r="J17" s="67"/>
    </row>
    <row r="18" spans="2:10">
      <c r="B18" s="2" t="s">
        <v>75</v>
      </c>
      <c r="E18" s="67"/>
      <c r="F18" s="67">
        <f>AVERAGE('Apex Solutions BS'!E7:F7)</f>
        <v>1300.7899308219185</v>
      </c>
      <c r="G18" s="67">
        <f>AVERAGE('Apex Solutions BS'!F7:G7)</f>
        <v>1540.358453109593</v>
      </c>
      <c r="H18" s="67">
        <f>AVERAGE('Apex Solutions BS'!G7:H7)</f>
        <v>2887.2987347580884</v>
      </c>
      <c r="I18" s="67">
        <f>AVERAGE('Apex Solutions BS'!H7:I7)</f>
        <v>6352.9804764073724</v>
      </c>
      <c r="J18" s="67">
        <f>AVERAGE('Apex Solutions BS'!I7:J7)</f>
        <v>12553.201293516218</v>
      </c>
    </row>
    <row r="19" spans="2:10">
      <c r="B19" s="2" t="s">
        <v>69</v>
      </c>
      <c r="E19" s="67"/>
      <c r="F19" s="102">
        <v>0.03</v>
      </c>
      <c r="G19" s="102">
        <v>0.03</v>
      </c>
      <c r="H19" s="102">
        <v>0.03</v>
      </c>
      <c r="I19" s="102">
        <v>0.03</v>
      </c>
      <c r="J19" s="102">
        <v>0.03</v>
      </c>
    </row>
    <row r="20" spans="2:10" ht="15">
      <c r="B20" s="28" t="s">
        <v>70</v>
      </c>
      <c r="C20" s="28"/>
      <c r="D20" s="28"/>
      <c r="E20" s="95"/>
      <c r="F20" s="95">
        <f>F18*F19</f>
        <v>39.023697924657554</v>
      </c>
      <c r="G20" s="95">
        <f t="shared" ref="G20:J20" si="4">G18*G19</f>
        <v>46.210753593287791</v>
      </c>
      <c r="H20" s="95">
        <f t="shared" si="4"/>
        <v>86.618962042742652</v>
      </c>
      <c r="I20" s="95">
        <f t="shared" si="4"/>
        <v>190.58941429222116</v>
      </c>
      <c r="J20" s="95">
        <f t="shared" si="4"/>
        <v>376.59603880548656</v>
      </c>
    </row>
    <row r="21" spans="2:10">
      <c r="E21" s="29"/>
      <c r="F21" s="29"/>
      <c r="G21" s="29"/>
      <c r="H21" s="29"/>
      <c r="I21" s="29"/>
      <c r="J21" s="29"/>
    </row>
    <row r="22" spans="2:10">
      <c r="E22" s="29"/>
      <c r="F22" s="29"/>
      <c r="G22" s="29"/>
      <c r="H22" s="29"/>
      <c r="I22" s="29"/>
      <c r="J22" s="29"/>
    </row>
    <row r="23" spans="2:10">
      <c r="B23" s="127" t="s">
        <v>194</v>
      </c>
    </row>
    <row r="24" spans="2:10">
      <c r="B24" s="128" t="s">
        <v>201</v>
      </c>
    </row>
    <row r="25" spans="2:10">
      <c r="B25" s="128" t="s">
        <v>203</v>
      </c>
      <c r="C25" s="2" t="s">
        <v>202</v>
      </c>
    </row>
    <row r="26" spans="2:10">
      <c r="B26" s="128" t="s">
        <v>204</v>
      </c>
    </row>
    <row r="2335" spans="6:6">
      <c r="F2335" s="2" t="s">
        <v>42</v>
      </c>
    </row>
    <row r="2336" spans="6:6">
      <c r="F2336" s="2" t="s">
        <v>42</v>
      </c>
    </row>
    <row r="1048493" spans="6:6">
      <c r="F1048493" s="2" t="s">
        <v>42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6" sqref="B26"/>
    </sheetView>
  </sheetViews>
  <sheetFormatPr defaultRowHeight="15"/>
  <cols>
    <col min="2" max="2" width="36.28515625" customWidth="1"/>
  </cols>
  <sheetData>
    <row r="1" spans="1:2">
      <c r="A1" s="124"/>
      <c r="B1" s="124" t="s">
        <v>153</v>
      </c>
    </row>
    <row r="2" spans="1:2">
      <c r="A2" s="123">
        <v>1</v>
      </c>
      <c r="B2" s="123" t="s">
        <v>154</v>
      </c>
    </row>
    <row r="3" spans="1:2">
      <c r="A3" s="123">
        <v>2</v>
      </c>
      <c r="B3" s="123" t="s">
        <v>155</v>
      </c>
    </row>
    <row r="4" spans="1:2">
      <c r="A4" s="123">
        <v>3</v>
      </c>
      <c r="B4" s="123" t="s">
        <v>156</v>
      </c>
    </row>
    <row r="5" spans="1:2">
      <c r="A5" s="123">
        <v>4</v>
      </c>
      <c r="B5" s="123" t="s">
        <v>162</v>
      </c>
    </row>
    <row r="6" spans="1:2">
      <c r="A6" s="123">
        <v>5</v>
      </c>
      <c r="B6" s="123" t="s">
        <v>161</v>
      </c>
    </row>
    <row r="7" spans="1:2">
      <c r="A7" s="123">
        <v>6</v>
      </c>
      <c r="B7" s="123" t="s">
        <v>157</v>
      </c>
    </row>
    <row r="8" spans="1:2">
      <c r="A8" s="123">
        <v>7</v>
      </c>
      <c r="B8" s="123" t="s">
        <v>160</v>
      </c>
    </row>
    <row r="9" spans="1:2">
      <c r="A9" s="123">
        <v>8</v>
      </c>
      <c r="B9" s="123" t="s">
        <v>158</v>
      </c>
    </row>
    <row r="10" spans="1:2">
      <c r="A10">
        <v>9</v>
      </c>
      <c r="B10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Apex Solutions IS</vt:lpstr>
      <vt:lpstr>Apex Solutions BS</vt:lpstr>
      <vt:lpstr>Apex Solutions CF</vt:lpstr>
      <vt:lpstr>Dep Capex</vt:lpstr>
      <vt:lpstr>Working Capital</vt:lpstr>
      <vt:lpstr>Debt</vt:lpstr>
      <vt:lpstr>Sheet1</vt:lpstr>
      <vt:lpstr>Sheet2</vt:lpstr>
    </vt:vector>
  </TitlesOfParts>
  <Company>WallstreetMojo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Merger Model - Wallstreetmojo</dc:title>
  <dc:subject>wallstreetmojo.com</dc:subject>
  <dc:creator>Dheeraj Vaidya, CFA, FRM</dc:creator>
  <cp:keywords>M&amp;A Modeling Course by Wallstreetmojo</cp:keywords>
  <dc:description>wallstreetmojo.com</dc:description>
  <cp:lastModifiedBy>Expert</cp:lastModifiedBy>
  <dcterms:created xsi:type="dcterms:W3CDTF">2013-06-17T08:47:06Z</dcterms:created>
  <dcterms:modified xsi:type="dcterms:W3CDTF">2025-06-24T11:30:17Z</dcterms:modified>
</cp:coreProperties>
</file>