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KUNJ\Desktop\New folder\"/>
    </mc:Choice>
  </mc:AlternateContent>
  <xr:revisionPtr revIDLastSave="0" documentId="8_{A6404A2C-C569-4919-8F5B-9AA6FC6E0DCF}" xr6:coauthVersionLast="47" xr6:coauthVersionMax="47" xr10:uidLastSave="{00000000-0000-0000-0000-000000000000}"/>
  <bookViews>
    <workbookView xWindow="-98" yWindow="-98" windowWidth="22695" windowHeight="14476" tabRatio="596" firstSheet="737" activeTab="738"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12" r:id="rId753"/>
  </pivotCaches>
  <fileRecoveryPr repairLoad="1"/>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897" l="1"/>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6" i="875"/>
  <c r="C7" i="875"/>
  <c r="C8" i="875"/>
  <c r="C9" i="875"/>
  <c r="C10" i="875"/>
  <c r="C11" i="875"/>
  <c r="C2" i="875"/>
  <c r="C14" i="875" s="1"/>
  <c r="E8" i="873"/>
  <c r="C8" i="872"/>
  <c r="B8" i="868"/>
  <c r="B7" i="868"/>
  <c r="C15" i="875" l="1"/>
  <c r="F3" i="875" s="1"/>
  <c r="F7" i="875"/>
  <c r="F11" i="875"/>
  <c r="F4" i="875"/>
  <c r="G4" i="867"/>
  <c r="G5" i="867"/>
  <c r="G6" i="867"/>
  <c r="G3" i="867"/>
  <c r="F4" i="867"/>
  <c r="F5" i="867"/>
  <c r="F6" i="867"/>
  <c r="F3" i="867"/>
  <c r="F10" i="875" l="1"/>
  <c r="F2" i="875"/>
  <c r="F9" i="875"/>
  <c r="F5" i="875"/>
  <c r="F6" i="875"/>
  <c r="F12" i="875"/>
  <c r="F8" i="875"/>
  <c r="E4" i="850"/>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14" i="842"/>
  <c r="B7" i="842"/>
  <c r="D7" i="842" s="1"/>
  <c r="B8" i="842"/>
  <c r="D8" i="842" s="1"/>
  <c r="B9" i="842"/>
  <c r="D9" i="842" s="1"/>
  <c r="B10" i="842"/>
  <c r="D10" i="842" s="1"/>
  <c r="B11" i="842"/>
  <c r="D11" i="842" s="1"/>
  <c r="B12" i="842"/>
  <c r="D12" i="842" s="1"/>
  <c r="B13" i="842"/>
  <c r="D13" i="842" s="1"/>
  <c r="B14" i="842"/>
  <c r="B15" i="842"/>
  <c r="D15" i="842" s="1"/>
  <c r="B6" i="842"/>
  <c r="D6" i="842" s="1"/>
  <c r="D7" i="841" l="1"/>
  <c r="D5" i="841"/>
  <c r="D9" i="841" s="1"/>
  <c r="B6" i="839"/>
  <c r="C6" i="839"/>
  <c r="D6" i="839" s="1"/>
  <c r="B7" i="839"/>
  <c r="C7" i="839"/>
  <c r="B8" i="839"/>
  <c r="C8" i="839"/>
  <c r="B9" i="839"/>
  <c r="C9" i="839"/>
  <c r="B10" i="839"/>
  <c r="C10" i="839"/>
  <c r="B11" i="839"/>
  <c r="C11" i="839"/>
  <c r="D11" i="839"/>
  <c r="B12" i="839"/>
  <c r="C12" i="839"/>
  <c r="D12" i="839" s="1"/>
  <c r="B13" i="839"/>
  <c r="C13" i="839"/>
  <c r="B14" i="839"/>
  <c r="C14" i="839"/>
  <c r="B15" i="839"/>
  <c r="C15" i="839"/>
  <c r="D9" i="839" l="1"/>
  <c r="D13" i="839"/>
  <c r="D15" i="839"/>
  <c r="D7" i="839"/>
  <c r="D14" i="839"/>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G3" i="795" l="1"/>
  <c r="H3" i="795" s="1"/>
  <c r="G4" i="795"/>
  <c r="H4" i="795" s="1"/>
  <c r="G5" i="795"/>
  <c r="H5" i="795" s="1"/>
  <c r="G6" i="795"/>
  <c r="H6" i="795" s="1"/>
  <c r="G7" i="795"/>
  <c r="H7" i="795" s="1"/>
  <c r="G8" i="795"/>
  <c r="H8" i="795" s="1"/>
  <c r="G9" i="795"/>
  <c r="H9" i="795" s="1"/>
  <c r="G10" i="795"/>
  <c r="H10" i="795" s="1"/>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E6" i="789"/>
  <c r="C3" i="789"/>
  <c r="E3" i="789" s="1"/>
  <c r="C4" i="789"/>
  <c r="E4" i="789" s="1"/>
  <c r="C5" i="789"/>
  <c r="E5" i="789" s="1"/>
  <c r="C6" i="789"/>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5" i="749"/>
  <c r="I7" i="749" s="1"/>
  <c r="I8" i="749" s="1"/>
  <c r="C12" i="748" l="1"/>
  <c r="C11" i="748"/>
  <c r="C10" i="748"/>
  <c r="E4" i="746"/>
  <c r="E7" i="746" s="1"/>
  <c r="E3" i="746"/>
  <c r="E8" i="746" l="1"/>
  <c r="C14" i="709"/>
  <c r="D9" i="711" l="1"/>
  <c r="D8" i="711"/>
  <c r="B8" i="707"/>
  <c r="B13" i="710"/>
  <c r="F5" i="708"/>
  <c r="F6" i="708" s="1"/>
  <c r="F4" i="708"/>
  <c r="F3" i="708"/>
  <c r="N10" i="708"/>
  <c r="N9" i="708"/>
  <c r="N8" i="708"/>
  <c r="F9" i="708" l="1"/>
  <c r="F10" i="708" s="1"/>
  <c r="F7" i="708"/>
  <c r="N12" i="708"/>
  <c r="N14" i="708"/>
  <c r="N11" i="708"/>
  <c r="N15" i="708" l="1"/>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L12" i="623"/>
  <c r="L13" i="623" s="1"/>
  <c r="E5" i="623"/>
  <c r="E6" i="623"/>
  <c r="E7" i="623"/>
  <c r="E8" i="623"/>
  <c r="C9" i="623"/>
  <c r="D9" i="623"/>
  <c r="E4" i="623"/>
  <c r="B9" i="623"/>
  <c r="B11" i="618"/>
  <c r="D4" i="618"/>
  <c r="D5" i="618"/>
  <c r="D6" i="618"/>
  <c r="D7" i="618"/>
  <c r="D3" i="618"/>
  <c r="B10" i="618" s="1"/>
  <c r="B12" i="618" s="1"/>
  <c r="B10" i="624" l="1"/>
  <c r="B12" i="624" s="1"/>
  <c r="E9" i="623"/>
  <c r="B14" i="623"/>
  <c r="C16" i="623"/>
  <c r="H16" i="623" s="1"/>
  <c r="B28" i="619"/>
  <c r="D27" i="619"/>
  <c r="C9" i="620"/>
  <c r="B9" i="620"/>
  <c r="D8" i="620"/>
  <c r="D7" i="620"/>
  <c r="D6" i="620"/>
  <c r="D5" i="620"/>
  <c r="D4" i="620"/>
  <c r="D5" i="619"/>
  <c r="D6" i="619"/>
  <c r="D7" i="619"/>
  <c r="D8" i="619"/>
  <c r="D4" i="619"/>
  <c r="C9" i="619"/>
  <c r="B9" i="619"/>
  <c r="G14" i="623" l="1"/>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E4" i="607"/>
  <c r="H5" i="607" s="1"/>
  <c r="D4" i="607"/>
  <c r="G8" i="607" s="1"/>
  <c r="B15" i="605"/>
  <c r="B13" i="603"/>
  <c r="G11" i="607" l="1"/>
  <c r="G7" i="607"/>
  <c r="G4" i="607"/>
  <c r="G10" i="607"/>
  <c r="G6" i="607"/>
  <c r="G13" i="607"/>
  <c r="G9" i="607"/>
  <c r="I9" i="607" s="1"/>
  <c r="G5" i="607"/>
  <c r="I5" i="607" s="1"/>
  <c r="H11" i="607"/>
  <c r="H7" i="607"/>
  <c r="I7" i="607" s="1"/>
  <c r="H12" i="607"/>
  <c r="H8" i="607"/>
  <c r="I8" i="607" s="1"/>
  <c r="G12" i="607"/>
  <c r="H4" i="607"/>
  <c r="H10" i="607"/>
  <c r="H6" i="607"/>
  <c r="H13" i="607"/>
  <c r="H9" i="607"/>
  <c r="J4" i="599"/>
  <c r="I11" i="607" l="1"/>
  <c r="I6" i="607"/>
  <c r="I10" i="607"/>
  <c r="I4" i="607"/>
  <c r="I13" i="607"/>
  <c r="I12" i="607"/>
  <c r="K3" i="607" s="1"/>
  <c r="J4" i="601"/>
  <c r="H10" i="598"/>
  <c r="M4" i="597" l="1"/>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8" i="546"/>
  <c r="L4" i="546"/>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C4" i="531" s="1"/>
  <c r="E9" i="528"/>
  <c r="E10" i="528"/>
  <c r="C3" i="531" l="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D2" i="494"/>
  <c r="E2" i="494"/>
  <c r="F2" i="494"/>
  <c r="C3" i="494"/>
  <c r="D3" i="494"/>
  <c r="E3" i="494"/>
  <c r="F3" i="494"/>
  <c r="C4" i="494"/>
  <c r="D4" i="494"/>
  <c r="E4" i="494"/>
  <c r="F4" i="494"/>
  <c r="C5" i="494"/>
  <c r="D5" i="494"/>
  <c r="E5" i="494"/>
  <c r="F5" i="494"/>
  <c r="C6" i="494"/>
  <c r="D6" i="494"/>
  <c r="E6" i="494"/>
  <c r="F6" i="494"/>
  <c r="C7" i="494"/>
  <c r="D7" i="494"/>
  <c r="E7" i="494"/>
  <c r="F7" i="494"/>
  <c r="C8" i="494"/>
  <c r="D8" i="494"/>
  <c r="E8" i="494"/>
  <c r="F8" i="494"/>
  <c r="C9" i="494"/>
  <c r="D9" i="494"/>
  <c r="E9" i="494"/>
  <c r="F9" i="494"/>
  <c r="C10" i="494"/>
  <c r="D10" i="494"/>
  <c r="E10" i="494"/>
  <c r="F10" i="494"/>
  <c r="C11" i="494"/>
  <c r="D11" i="494"/>
  <c r="E11" i="494"/>
  <c r="F11" i="494"/>
  <c r="C12" i="494"/>
  <c r="D12" i="494"/>
  <c r="E12" i="494"/>
  <c r="F12" i="494"/>
  <c r="D13" i="494"/>
  <c r="E13" i="494"/>
  <c r="C14" i="494"/>
  <c r="C16" i="494" s="1"/>
  <c r="D14" i="494"/>
  <c r="D16" i="494" s="1"/>
  <c r="E14" i="494"/>
  <c r="F14" i="494"/>
  <c r="C15" i="494"/>
  <c r="D15" i="494"/>
  <c r="E15" i="494"/>
  <c r="F15" i="494"/>
  <c r="E16" i="494"/>
  <c r="F16" i="494"/>
  <c r="C17" i="494"/>
  <c r="C19" i="494" s="1"/>
  <c r="D17" i="494"/>
  <c r="D19" i="494" s="1"/>
  <c r="E17" i="494"/>
  <c r="F17" i="494"/>
  <c r="C18" i="494"/>
  <c r="D18" i="494"/>
  <c r="E18" i="494"/>
  <c r="F18" i="494"/>
  <c r="E19" i="494"/>
  <c r="F19" i="494"/>
  <c r="C20" i="494"/>
  <c r="C22" i="494" s="1"/>
  <c r="D20" i="494"/>
  <c r="D22" i="494" s="1"/>
  <c r="E20" i="494"/>
  <c r="F20" i="494"/>
  <c r="C21" i="494"/>
  <c r="D21" i="494"/>
  <c r="E21" i="494"/>
  <c r="F21" i="494"/>
  <c r="E22" i="494"/>
  <c r="F22" i="494"/>
  <c r="C23" i="494"/>
  <c r="C25" i="494" s="1"/>
  <c r="D23" i="494"/>
  <c r="D25" i="494" s="1"/>
  <c r="E23" i="494"/>
  <c r="F23" i="494"/>
  <c r="C24" i="494"/>
  <c r="D24" i="494"/>
  <c r="E24" i="494"/>
  <c r="F24" i="494"/>
  <c r="E25" i="494"/>
  <c r="F25" i="494"/>
  <c r="C26" i="494"/>
  <c r="C28" i="494" s="1"/>
  <c r="D26" i="494"/>
  <c r="D28" i="494" s="1"/>
  <c r="E26" i="494"/>
  <c r="F26" i="494"/>
  <c r="C27" i="494"/>
  <c r="D27" i="494"/>
  <c r="E27" i="494"/>
  <c r="F27" i="494"/>
  <c r="E28" i="494"/>
  <c r="F28" i="494"/>
  <c r="C29" i="494"/>
  <c r="C31" i="494" s="1"/>
  <c r="D29" i="494"/>
  <c r="D31" i="494" s="1"/>
  <c r="E29" i="494"/>
  <c r="F29" i="494"/>
  <c r="C30" i="494"/>
  <c r="D30" i="494"/>
  <c r="E30" i="494"/>
  <c r="F30" i="494"/>
  <c r="E31" i="494"/>
  <c r="F31" i="494"/>
  <c r="F13" i="494" l="1"/>
  <c r="C13" i="494"/>
  <c r="C2" i="488"/>
  <c r="D2" i="488"/>
  <c r="D5" i="488" s="1"/>
  <c r="E2" i="488"/>
  <c r="F2" i="488"/>
  <c r="F5" i="488" s="1"/>
  <c r="C3" i="488"/>
  <c r="D3" i="488"/>
  <c r="E3" i="488"/>
  <c r="F3" i="488"/>
  <c r="C4" i="488"/>
  <c r="D4" i="488"/>
  <c r="E4" i="488"/>
  <c r="F4" i="488"/>
  <c r="C6" i="488"/>
  <c r="D6" i="488"/>
  <c r="E6" i="488"/>
  <c r="F6" i="488"/>
  <c r="C7" i="488"/>
  <c r="C9" i="488" s="1"/>
  <c r="D7" i="488"/>
  <c r="D9" i="488" s="1"/>
  <c r="E7" i="488"/>
  <c r="E9" i="488" s="1"/>
  <c r="F7" i="488"/>
  <c r="F9" i="488" s="1"/>
  <c r="C8" i="488"/>
  <c r="D8" i="488"/>
  <c r="E8" i="488"/>
  <c r="F8" i="488"/>
  <c r="C10" i="488"/>
  <c r="C13" i="488" s="1"/>
  <c r="D10" i="488"/>
  <c r="E10" i="488"/>
  <c r="E13" i="488" s="1"/>
  <c r="F10" i="488"/>
  <c r="C11" i="488"/>
  <c r="D11" i="488"/>
  <c r="E11" i="488"/>
  <c r="F11" i="488"/>
  <c r="C12" i="488"/>
  <c r="D12" i="488"/>
  <c r="E12" i="488"/>
  <c r="F12" i="488"/>
  <c r="D13" i="488"/>
  <c r="F13" i="488" l="1"/>
  <c r="E5" i="488"/>
  <c r="C5" i="488"/>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G8" i="448"/>
  <c r="H8" i="448"/>
  <c r="G5" i="448"/>
  <c r="G3" i="439"/>
  <c r="F2" i="438"/>
  <c r="F2" i="437"/>
  <c r="B11" i="448" l="1"/>
  <c r="B14" i="436"/>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E3" i="408" s="1"/>
  <c r="C4" i="407"/>
  <c r="B7" i="407"/>
  <c r="E3" i="406"/>
  <c r="B9" i="406"/>
  <c r="E2" i="403"/>
  <c r="C7" i="403"/>
  <c r="B2" i="388" l="1"/>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A11" i="363" a="1"/>
  <c r="A11" i="363" s="1"/>
  <c r="D13" i="365" l="1"/>
  <c r="C13" i="365"/>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B6" i="239"/>
  <c r="C6" i="239" s="1"/>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B14" i="234" s="1"/>
  <c r="E11" i="234"/>
  <c r="I11" i="234"/>
  <c r="F11" i="234"/>
  <c r="C11" i="234"/>
  <c r="G11" i="234"/>
  <c r="G5" i="232"/>
  <c r="F5" i="232"/>
  <c r="D6" i="227"/>
  <c r="D5" i="227"/>
  <c r="D4" i="227"/>
  <c r="D3" i="227"/>
  <c r="B3" i="229" l="1"/>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H4" i="113" l="1"/>
  <c r="G5" i="113"/>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C3" i="32"/>
  <c r="C4" i="32"/>
  <c r="C5" i="32"/>
  <c r="C6" i="32"/>
  <c r="C7" i="32"/>
  <c r="C8" i="32"/>
  <c r="C9" i="32"/>
  <c r="C10" i="32"/>
  <c r="C11" i="32"/>
  <c r="C12" i="32"/>
  <c r="C13" i="32"/>
  <c r="C14" i="32"/>
  <c r="C2" i="32"/>
  <c r="B3" i="32" l="1"/>
  <c r="B4" i="32"/>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a="1"/>
  <c r="H3" i="11" s="1"/>
  <c r="D3" i="11"/>
  <c r="D2" i="11"/>
  <c r="B15" i="10" a="1"/>
  <c r="B15" i="10" s="1"/>
  <c r="D4" i="8"/>
  <c r="D2" i="8" a="1"/>
  <c r="D5" i="8" s="1"/>
  <c r="A9" i="6"/>
  <c r="A8" i="6"/>
  <c r="A7" i="6"/>
  <c r="A6" i="6"/>
  <c r="A5" i="6"/>
  <c r="A4" i="6"/>
  <c r="A3" i="6"/>
  <c r="A2" i="6"/>
  <c r="C6" i="5"/>
  <c r="C5" i="5"/>
  <c r="C4" i="5"/>
  <c r="C3" i="5"/>
  <c r="C2" i="5"/>
  <c r="H2" i="11" l="1"/>
  <c r="D2" i="8"/>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<sst xmlns="http://schemas.openxmlformats.org/spreadsheetml/2006/main" count="9951" uniqueCount="5541">
  <si>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</si>
  <si>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</si>
  <si>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</si>
  <si>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</si>
  <si>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</si>
  <si>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</si>
  <si>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</si>
  <si>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</si>
  <si>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</si>
  <si>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</si>
  <si>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</si>
  <si>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</si>
  <si>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</si>
  <si>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</si>
  <si>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</si>
  <si>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</si>
  <si>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</si>
  <si>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</si>
  <si>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</si>
  <si>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</si>
  <si>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</si>
  <si>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</si>
  <si>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</si>
  <si>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</si>
  <si>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</si>
  <si>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</si>
  <si>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</si>
  <si>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</si>
  <si>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</si>
  <si>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</si>
  <si>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</si>
  <si>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</si>
  <si>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</si>
  <si>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</si>
  <si>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</si>
  <si>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</si>
  <si>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</si>
  <si>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</si>
  <si>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</si>
  <si>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</si>
  <si>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</si>
  <si>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</si>
  <si>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</si>
  <si>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</si>
  <si>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</si>
  <si>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</si>
  <si>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</si>
  <si>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</si>
  <si>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</si>
  <si>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</si>
  <si>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</si>
  <si>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</si>
  <si>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</si>
  <si>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</si>
  <si>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</si>
  <si>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</si>
  <si>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</si>
  <si>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</si>
  <si>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</si>
  <si>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</si>
  <si>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</si>
  <si>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</si>
  <si>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</si>
  <si>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</si>
  <si>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</si>
  <si>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</si>
  <si>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</si>
  <si>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</si>
  <si>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</si>
  <si>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</si>
  <si>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</si>
  <si>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</si>
  <si>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</si>
  <si>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</si>
  <si>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</si>
  <si>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</si>
  <si>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</si>
  <si>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</si>
  <si>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</si>
  <si>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</si>
  <si>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</si>
  <si>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</si>
  <si>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</si>
  <si>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</si>
  <si>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</si>
  <si>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</si>
  <si>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</si>
  <si>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</si>
  <si>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</si>
  <si>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</si>
  <si>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</si>
  <si>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</si>
  <si>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</si>
  <si>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</si>
  <si>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</si>
  <si>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</si>
  <si>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</si>
  <si>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</si>
  <si>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</si>
  <si>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</si>
  <si>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</si>
  <si>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</si>
  <si>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</si>
  <si>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</si>
  <si>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</si>
  <si>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</si>
  <si>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</si>
  <si>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</si>
  <si>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</si>
  <si>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</si>
  <si>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</si>
  <si>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</si>
  <si>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</si>
  <si>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</si>
  <si>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</si>
  <si>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</si>
  <si>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</si>
  <si>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</si>
  <si>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</si>
  <si>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</si>
  <si>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</si>
  <si>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</si>
  <si>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</si>
  <si>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</si>
  <si>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</si>
  <si>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</si>
  <si>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</si>
  <si>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</si>
  <si>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</si>
  <si>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</si>
  <si>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</si>
  <si>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</si>
  <si>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</si>
  <si>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</si>
  <si>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</si>
  <si>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</si>
  <si>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</si>
  <si>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</si>
  <si>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</si>
  <si>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</si>
  <si>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</si>
  <si>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</si>
  <si>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</si>
  <si>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</si>
  <si>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</si>
  <si>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</si>
  <si>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</si>
  <si>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</si>
  <si>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</si>
  <si>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</si>
  <si>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</si>
  <si>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</si>
  <si>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</si>
  <si>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</si>
  <si>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</si>
  <si>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</si>
  <si>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</si>
  <si>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</si>
  <si>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</si>
  <si>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</si>
  <si>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</si>
  <si>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</si>
  <si>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</si>
  <si>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</si>
  <si>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</si>
  <si>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</si>
  <si>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</si>
  <si>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</si>
  <si>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</si>
  <si>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</si>
  <si>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</si>
  <si>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</si>
  <si>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</si>
  <si>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</si>
  <si>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</si>
  <si>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</si>
  <si>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</si>
  <si>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</si>
  <si>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</si>
  <si>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</si>
  <si>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</si>
  <si>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</si>
  <si>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</si>
  <si>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</si>
  <si>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</si>
  <si>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</si>
  <si>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</si>
  <si>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</si>
  <si>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</si>
  <si>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</si>
  <si>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</si>
  <si>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</si>
  <si>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</si>
  <si>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</si>
  <si>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</si>
  <si>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</si>
  <si>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</si>
  <si>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</si>
  <si>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</si>
  <si>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</si>
  <si>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</si>
  <si>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</si>
  <si>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</si>
  <si>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</si>
  <si>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</si>
  <si>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</si>
  <si>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</si>
  <si>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</si>
  <si>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</si>
  <si>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</si>
  <si>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</si>
  <si>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</si>
  <si>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</si>
  <si>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</si>
  <si>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</si>
  <si>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</si>
  <si>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</si>
  <si>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</si>
  <si>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</si>
  <si>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</si>
  <si>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</si>
  <si>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</si>
  <si>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</si>
  <si>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</si>
  <si>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</si>
  <si>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</si>
  <si>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</si>
  <si>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</si>
  <si>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</si>
  <si>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</si>
  <si>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</si>
  <si>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</si>
  <si>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</si>
  <si>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</si>
  <si>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</si>
  <si>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</si>
  <si>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</si>
  <si>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</si>
  <si>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</si>
  <si>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</si>
  <si>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</si>
  <si>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</si>
  <si>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</si>
  <si>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</si>
  <si>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</si>
  <si>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</si>
  <si>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</si>
  <si>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</si>
  <si>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</si>
  <si>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</si>
  <si>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</si>
  <si>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</si>
  <si>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</si>
  <si>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</si>
  <si>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</si>
  <si>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</si>
  <si>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</si>
  <si>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</si>
  <si>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</si>
  <si>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</si>
  <si>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</si>
  <si>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</si>
  <si>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</si>
  <si>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</si>
  <si>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</si>
  <si>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</si>
  <si>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</si>
  <si>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</si>
  <si>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</si>
  <si>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</si>
  <si>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</si>
  <si>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</si>
  <si>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</si>
  <si>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</si>
  <si>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</si>
  <si>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</si>
  <si>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</si>
  <si>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</si>
  <si>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</si>
  <si>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</si>
  <si>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</si>
  <si>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</si>
  <si>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</si>
  <si>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</si>
  <si>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</si>
  <si>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</si>
  <si>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</si>
  <si>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</si>
  <si>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</si>
  <si>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</si>
  <si>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</si>
  <si>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</si>
  <si>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</si>
  <si>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</si>
  <si>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</si>
  <si>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</si>
  <si>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</si>
  <si>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</si>
  <si>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</si>
  <si>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</si>
  <si>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</si>
  <si>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</si>
  <si>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</si>
  <si>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</si>
  <si>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</si>
  <si>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</si>
  <si>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</si>
  <si>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</si>
  <si>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</si>
  <si>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</si>
  <si>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</si>
  <si>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</si>
  <si>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</si>
  <si>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</si>
  <si>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</si>
  <si>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</si>
  <si>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</si>
  <si>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</si>
  <si>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</si>
  <si>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</si>
  <si>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</si>
  <si>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</si>
  <si>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</si>
  <si>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</si>
  <si>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</si>
  <si>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</si>
  <si>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</si>
  <si>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</si>
  <si>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</si>
  <si>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</si>
  <si>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</si>
  <si>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</si>
  <si>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</si>
  <si>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</si>
  <si>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</si>
  <si>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</si>
  <si>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</si>
  <si>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</si>
  <si>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</si>
  <si>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</si>
  <si>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</si>
  <si>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</si>
  <si>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</si>
  <si>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</si>
  <si>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</si>
  <si>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</si>
  <si>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</si>
  <si>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</si>
  <si>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</si>
  <si>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</si>
  <si>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</si>
  <si>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</si>
  <si>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</si>
  <si>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</si>
  <si>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</si>
  <si>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</si>
  <si>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</si>
  <si>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</si>
  <si>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</si>
  <si>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</si>
  <si>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</si>
  <si>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</si>
  <si>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</si>
  <si>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</si>
  <si>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</si>
  <si>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</si>
  <si>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</si>
  <si>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</si>
  <si>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</si>
  <si>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</si>
  <si>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</si>
  <si>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</si>
  <si>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</si>
  <si>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</si>
  <si>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</si>
  <si>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</si>
  <si>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</si>
  <si>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</si>
  <si>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</si>
  <si>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</si>
  <si>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</si>
  <si>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</si>
  <si>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</si>
  <si>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</si>
  <si>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</si>
  <si>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</si>
  <si>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</si>
  <si>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</si>
  <si>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</si>
  <si>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</si>
  <si>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</si>
  <si>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</si>
  <si>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</si>
  <si>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</si>
  <si>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</si>
  <si>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</si>
  <si>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</si>
  <si>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</si>
  <si>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</si>
  <si>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</si>
  <si>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</si>
  <si>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</si>
  <si>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</si>
  <si>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</si>
  <si>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</si>
  <si>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</si>
  <si>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</si>
  <si>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</si>
  <si>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</si>
  <si>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</si>
  <si>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</si>
  <si>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</si>
  <si>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</si>
  <si>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</si>
  <si>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</si>
  <si>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</si>
  <si>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</si>
  <si>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</si>
  <si>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</si>
  <si>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</si>
  <si>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</si>
  <si>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</si>
  <si>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</si>
  <si>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</si>
  <si>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</si>
  <si>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</si>
  <si>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</si>
  <si>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</si>
  <si>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</si>
  <si>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</si>
  <si>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</si>
  <si>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</si>
  <si>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</si>
  <si>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</si>
  <si>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</si>
  <si>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</si>
  <si>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</si>
  <si>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</si>
  <si>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</si>
  <si>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</si>
  <si>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</si>
  <si>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</si>
  <si>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</si>
  <si>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</si>
  <si>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</si>
  <si>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</si>
  <si>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</si>
  <si>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</si>
  <si>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</si>
  <si>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</si>
  <si>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</si>
  <si>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</si>
  <si>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</si>
  <si>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</si>
  <si>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</si>
  <si>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</si>
  <si>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</si>
  <si>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</si>
  <si>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</si>
  <si>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</si>
  <si>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</si>
  <si>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</si>
  <si>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</si>
  <si>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</si>
  <si>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</si>
  <si>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</si>
  <si>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</si>
  <si>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</si>
  <si>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</si>
  <si>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</si>
  <si>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</si>
  <si>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</si>
  <si>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</si>
  <si>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</si>
  <si>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</si>
  <si>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</si>
  <si>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</si>
  <si>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</si>
  <si>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</si>
  <si>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</si>
  <si>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</si>
  <si>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</si>
  <si>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</si>
  <si>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</si>
  <si>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</si>
  <si>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</si>
  <si>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</si>
  <si>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</si>
  <si>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</si>
  <si>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</si>
  <si>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</si>
  <si>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</si>
  <si>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</si>
  <si>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</si>
  <si>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</si>
  <si>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</si>
  <si>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</si>
  <si>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</si>
  <si>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</si>
  <si>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</si>
  <si>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</si>
  <si>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</si>
  <si>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</si>
  <si>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</si>
  <si>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</si>
  <si>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</si>
  <si>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</si>
  <si>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</si>
  <si>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</si>
  <si>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</si>
  <si>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</si>
  <si>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</si>
  <si>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</si>
  <si>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</si>
  <si>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</si>
  <si>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</si>
  <si>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</si>
  <si>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</si>
  <si>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</si>
  <si>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</si>
  <si>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</si>
  <si>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</si>
  <si>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</si>
  <si>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</si>
  <si>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</si>
  <si>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</si>
  <si>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</si>
  <si>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</si>
  <si>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</si>
  <si>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</si>
  <si>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</si>
  <si>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</si>
  <si>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</si>
  <si>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</si>
  <si>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</si>
  <si>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</si>
  <si>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</si>
  <si>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</si>
  <si>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</si>
  <si>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</si>
  <si>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</si>
  <si>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</si>
  <si>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</si>
  <si>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</si>
  <si>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</si>
  <si>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</si>
  <si>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</si>
  <si>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</si>
  <si>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</si>
  <si>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</si>
  <si>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</si>
  <si>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</si>
  <si>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</si>
  <si>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</si>
  <si>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</si>
  <si>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</si>
  <si>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</si>
  <si>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</si>
  <si>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</si>
  <si>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</si>
  <si>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</si>
  <si>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</si>
  <si>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</si>
  <si>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</si>
  <si>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</si>
  <si>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</si>
  <si>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</si>
  <si>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</si>
  <si>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</si>
  <si>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</si>
  <si>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</si>
  <si>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</si>
  <si>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</si>
  <si>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</si>
  <si>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</si>
  <si>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</si>
  <si>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</si>
  <si>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</si>
  <si>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</si>
  <si>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</si>
  <si>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</si>
  <si>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</si>
  <si>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</si>
  <si>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</si>
  <si>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</si>
  <si>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</si>
  <si>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</si>
  <si>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</si>
  <si>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</si>
  <si>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</si>
  <si>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</si>
  <si>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</si>
  <si>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</si>
  <si>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</si>
  <si>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</si>
  <si>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</si>
  <si>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</si>
  <si>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</si>
  <si>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</si>
  <si>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</si>
  <si>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</si>
  <si>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</si>
  <si>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</si>
  <si>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</si>
  <si>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</si>
  <si>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</si>
  <si>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</si>
  <si>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</si>
  <si>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</si>
  <si>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</si>
  <si>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</si>
  <si>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</si>
  <si>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</si>
  <si>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</si>
  <si>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</si>
  <si>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</si>
  <si>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</si>
  <si>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</si>
  <si>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</si>
  <si>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</si>
  <si>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</si>
  <si>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</si>
  <si>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</si>
  <si>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</si>
  <si>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</si>
  <si>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</si>
  <si>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</si>
  <si>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</si>
  <si>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</si>
  <si>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</si>
  <si>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</si>
  <si>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</si>
  <si>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</si>
  <si>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</si>
  <si>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</si>
  <si>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</si>
  <si>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</si>
  <si>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</si>
  <si>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</si>
  <si>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</si>
  <si>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</si>
  <si>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</si>
  <si>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</si>
  <si>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</si>
  <si>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</si>
  <si>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</si>
  <si>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</si>
  <si>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</si>
  <si>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</si>
  <si>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</si>
  <si>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</si>
  <si>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</si>
  <si>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</si>
  <si>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</si>
  <si>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</si>
  <si>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</si>
  <si>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</si>
  <si>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</si>
  <si>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</si>
  <si>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</si>
  <si>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</si>
  <si>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</si>
  <si>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</si>
  <si>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</si>
  <si>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</si>
  <si>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</si>
  <si>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</si>
  <si>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</si>
  <si>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</si>
  <si>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</si>
  <si>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</si>
  <si>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</si>
  <si>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</si>
  <si>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</si>
  <si>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</si>
  <si>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</si>
  <si>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</si>
  <si>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</si>
  <si>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</si>
  <si>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</si>
  <si>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</si>
  <si>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</si>
  <si>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</si>
  <si>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</si>
  <si>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</si>
  <si>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</si>
  <si>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</si>
  <si>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</si>
  <si>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</si>
  <si>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</si>
  <si>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</si>
  <si>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</si>
  <si>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</si>
  <si>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</si>
  <si>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</si>
  <si>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</si>
  <si>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</si>
  <si>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</si>
  <si>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</si>
  <si>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</si>
  <si>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</si>
  <si>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</si>
  <si>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</si>
  <si>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</si>
  <si>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</si>
  <si>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</si>
  <si>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</si>
  <si>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</si>
  <si>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</si>
  <si>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</si>
  <si>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</si>
  <si>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</si>
  <si>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</si>
  <si>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</si>
  <si>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</si>
  <si>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</si>
  <si>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</si>
  <si>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</si>
  <si>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</si>
  <si>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</si>
  <si>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</si>
  <si>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</si>
  <si>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</si>
  <si>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</si>
  <si>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</si>
  <si>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</si>
  <si>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</si>
  <si>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</si>
  <si>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</si>
  <si>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</si>
  <si>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</si>
  <si>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</si>
  <si>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</si>
  <si>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</si>
  <si>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</si>
  <si>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</si>
  <si>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</si>
  <si>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</si>
  <si>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</si>
  <si>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</si>
  <si>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</si>
  <si>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</si>
  <si>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</si>
  <si>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</si>
  <si>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</si>
  <si>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</si>
  <si>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</si>
  <si>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</si>
  <si>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</si>
  <si>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</si>
  <si>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</si>
  <si>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</si>
  <si>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</si>
  <si>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</si>
  <si>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</si>
  <si>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</si>
  <si>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</si>
  <si>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</si>
  <si>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</si>
  <si>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</si>
  <si>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</si>
  <si>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</si>
  <si>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</si>
  <si>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</si>
  <si>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</si>
  <si>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</si>
  <si>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</si>
  <si>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</si>
  <si>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</si>
  <si>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</si>
  <si>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</si>
  <si>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</si>
  <si>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</si>
  <si>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</si>
  <si>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</si>
  <si>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</si>
  <si>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</si>
  <si>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</si>
  <si>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</si>
  <si>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</si>
  <si>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</si>
  <si>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</si>
  <si>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</si>
  <si>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</si>
  <si>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</si>
  <si>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</si>
  <si>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</si>
  <si>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</si>
  <si>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</si>
  <si>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</si>
  <si>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</si>
  <si>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</si>
  <si>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</si>
  <si>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</si>
  <si>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</si>
  <si>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</si>
  <si>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</si>
  <si>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</si>
  <si>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</si>
  <si>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</si>
  <si>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</si>
  <si>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</si>
  <si>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</si>
  <si>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</si>
  <si>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</si>
  <si>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</si>
  <si>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</si>
  <si>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</si>
  <si>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</si>
  <si>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</si>
  <si>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</si>
  <si>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</si>
  <si>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</si>
  <si>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</si>
  <si>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</si>
  <si>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</si>
  <si>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</si>
  <si>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</si>
  <si>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</si>
  <si>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</si>
  <si>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</si>
  <si>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</si>
  <si>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</si>
  <si>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</si>
  <si>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</si>
  <si>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</si>
  <si>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</si>
  <si>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</si>
  <si>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</si>
  <si>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</si>
  <si>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</si>
  <si>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</si>
  <si>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</si>
  <si>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</si>
  <si>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</si>
  <si>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</si>
  <si>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</si>
  <si>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</si>
  <si>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</si>
  <si>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</si>
  <si>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</si>
  <si>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</si>
  <si>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</si>
  <si>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</si>
  <si>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</si>
  <si>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</si>
  <si>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</si>
  <si>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</si>
  <si>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</si>
  <si>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</si>
  <si>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</si>
  <si>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</si>
  <si>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</si>
  <si>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</si>
  <si>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</si>
  <si>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</si>
  <si>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</si>
  <si>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</si>
  <si>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</si>
  <si>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</si>
  <si>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</si>
  <si>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</si>
  <si>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</si>
  <si>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</si>
  <si>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</si>
  <si>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</si>
  <si>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</si>
  <si>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</si>
  <si>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</si>
  <si>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</si>
  <si>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</si>
  <si>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</si>
  <si>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</si>
  <si>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</si>
  <si>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</si>
  <si>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</si>
  <si>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</si>
  <si>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</si>
  <si>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</si>
  <si>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</si>
  <si>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</si>
  <si>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</si>
  <si>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</si>
  <si>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</si>
  <si>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</si>
  <si>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</si>
  <si>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</si>
  <si>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</si>
  <si>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</si>
  <si>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</si>
  <si>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</si>
  <si>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</si>
  <si>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</si>
  <si>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</si>
  <si>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</si>
  <si>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</si>
  <si>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</si>
  <si>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</si>
  <si>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</si>
  <si>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</si>
  <si>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</si>
  <si>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</si>
  <si>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</si>
  <si>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</si>
  <si>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</si>
  <si>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</si>
  <si>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</si>
  <si>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</si>
  <si>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</si>
  <si>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</si>
  <si>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</si>
  <si>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</si>
  <si>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</si>
  <si>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</si>
  <si>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</si>
  <si>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</si>
  <si>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</si>
  <si>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</si>
  <si>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</si>
  <si>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</si>
  <si>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</si>
  <si>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</si>
  <si>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</si>
  <si>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</si>
  <si>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</si>
  <si>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</si>
  <si>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</si>
  <si>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</si>
  <si>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</si>
  <si>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</si>
  <si>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</si>
  <si>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</si>
  <si>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</si>
  <si>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</si>
  <si>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</si>
  <si>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</si>
  <si>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</si>
  <si>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</si>
  <si>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</si>
  <si>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</si>
  <si>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</si>
  <si>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</si>
  <si>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</si>
  <si>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</si>
  <si>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</si>
  <si>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</si>
  <si>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</si>
  <si>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</si>
  <si>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</si>
  <si>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</si>
  <si>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</si>
  <si>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</si>
  <si>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</si>
  <si>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</si>
  <si>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</si>
  <si>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</si>
  <si>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</si>
  <si>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</si>
  <si>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</si>
  <si>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</si>
  <si>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</si>
  <si>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</si>
  <si>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</si>
  <si>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</si>
  <si>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</si>
  <si>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</si>
  <si>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</si>
  <si>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</si>
  <si>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</si>
  <si>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</si>
  <si>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</si>
  <si>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</si>
  <si>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</si>
  <si>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</si>
  <si>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</si>
  <si>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</si>
  <si>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</si>
  <si>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</si>
  <si>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</si>
  <si>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</si>
  <si>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</si>
  <si>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</si>
  <si>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</si>
  <si>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</si>
  <si>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</si>
  <si>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</si>
  <si>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</si>
  <si>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</si>
  <si>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</si>
  <si>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</si>
  <si>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</si>
  <si>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</si>
  <si>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</si>
  <si>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</si>
  <si>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</si>
  <si>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</si>
  <si>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</si>
  <si>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</si>
  <si>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</si>
  <si>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</si>
  <si>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</si>
  <si>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</si>
  <si>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</si>
  <si>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</si>
  <si>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</si>
  <si>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</si>
  <si>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</si>
  <si>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</si>
  <si>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</si>
  <si>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</si>
  <si>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</si>
  <si>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</si>
  <si>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</si>
  <si>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</si>
  <si>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</si>
  <si>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</si>
  <si>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</si>
  <si>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</si>
  <si>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</si>
  <si>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</si>
  <si>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</si>
  <si>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</si>
  <si>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</si>
  <si>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</si>
  <si>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</si>
  <si>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</si>
  <si>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</si>
  <si>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</si>
  <si>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</si>
  <si>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</si>
  <si>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</si>
  <si>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</si>
  <si>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</si>
  <si>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</si>
  <si>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</si>
  <si>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</si>
  <si>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</si>
  <si>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</si>
  <si>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</si>
  <si>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</si>
  <si>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</si>
  <si>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</si>
  <si>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</si>
  <si>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</si>
  <si>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</si>
  <si>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</si>
  <si>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</si>
  <si>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</si>
  <si>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</si>
  <si>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</si>
  <si>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</si>
  <si>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</si>
  <si>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</si>
  <si>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</si>
  <si>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</si>
  <si>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</si>
  <si>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</si>
  <si>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</si>
  <si>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</si>
  <si>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</si>
  <si>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</si>
  <si>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</si>
  <si>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</si>
  <si>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</si>
  <si>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</si>
  <si>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</si>
  <si>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</si>
  <si>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</si>
  <si>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</si>
  <si>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</si>
  <si>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</si>
  <si>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</si>
  <si>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</si>
  <si>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</si>
  <si>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</si>
  <si>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</si>
  <si>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</si>
  <si>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</si>
  <si>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</si>
  <si>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</si>
  <si>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</si>
  <si>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</si>
  <si>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</si>
  <si>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</si>
  <si>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</si>
  <si>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</si>
  <si>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</si>
  <si>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</si>
  <si>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</si>
  <si>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</si>
  <si>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</si>
  <si>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</si>
  <si>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</si>
  <si>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</si>
  <si>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</si>
  <si>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</si>
  <si>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</si>
  <si>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</si>
  <si>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</si>
  <si>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</si>
  <si>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</si>
  <si>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</si>
  <si>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</si>
  <si>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</si>
  <si>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</si>
  <si>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</si>
  <si>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</si>
  <si>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</si>
  <si>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</si>
  <si>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</si>
  <si>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</si>
  <si>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</si>
  <si>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</si>
  <si>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</si>
  <si>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</si>
  <si>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</si>
  <si>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</si>
  <si>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</si>
  <si>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</si>
  <si>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</si>
  <si>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</si>
  <si>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</si>
  <si>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</si>
  <si>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</si>
  <si>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</si>
  <si>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</si>
  <si>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</si>
  <si>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</si>
  <si>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</si>
  <si>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</si>
  <si>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</si>
  <si>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</si>
  <si>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</si>
  <si>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</si>
  <si>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</si>
  <si>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</si>
  <si>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</si>
  <si>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</si>
  <si>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</si>
  <si>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</si>
  <si>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</si>
  <si>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</si>
  <si>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</si>
  <si>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</si>
  <si>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</si>
  <si>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</si>
  <si>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</si>
  <si>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</si>
  <si>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</si>
  <si>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</si>
  <si>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</si>
  <si>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</si>
  <si>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</si>
  <si>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</si>
  <si>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</si>
  <si>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</si>
  <si>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</si>
  <si>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</si>
  <si>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</si>
  <si>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</si>
  <si>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</si>
  <si>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</si>
  <si>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</si>
  <si>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</si>
  <si>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</si>
  <si>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</si>
  <si>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</si>
  <si>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</si>
  <si>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</si>
  <si>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</si>
  <si>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</si>
  <si>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</si>
  <si>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</si>
  <si>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</si>
  <si>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</si>
  <si>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</si>
  <si>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</si>
  <si>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</si>
  <si>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</si>
  <si>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</si>
  <si>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</si>
  <si>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</si>
  <si>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</si>
  <si>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</si>
  <si>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</si>
  <si>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</si>
  <si>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</si>
  <si>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</si>
  <si>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</si>
  <si>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</si>
  <si>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</si>
  <si>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</si>
  <si>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</si>
  <si>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</si>
  <si>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</si>
  <si>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</si>
  <si>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</si>
  <si>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</si>
  <si>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</si>
  <si>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</si>
  <si>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</si>
  <si>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</si>
  <si>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</si>
  <si>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</si>
  <si>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</si>
  <si>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</si>
  <si>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</si>
  <si>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</si>
  <si>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</si>
  <si>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</si>
  <si>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</si>
  <si>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</si>
  <si>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</si>
  <si>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</si>
  <si>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</si>
  <si>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</si>
  <si>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</si>
  <si>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</si>
  <si>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</si>
  <si>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</si>
  <si>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</si>
  <si>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</si>
  <si>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</si>
  <si>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</si>
  <si>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</si>
  <si>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</si>
  <si>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</si>
  <si>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</si>
  <si>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</si>
  <si>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</si>
  <si>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</si>
  <si>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</si>
  <si>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</si>
  <si>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</si>
  <si>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</si>
  <si>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</si>
  <si>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</si>
  <si>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</si>
  <si>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</si>
  <si>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</si>
  <si>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</si>
  <si>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</si>
  <si>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</si>
  <si>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</si>
  <si>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</si>
  <si>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</si>
  <si>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</si>
  <si>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</si>
  <si>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</si>
  <si>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</si>
  <si>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</si>
  <si>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</si>
  <si>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</si>
  <si>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</si>
  <si>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</si>
  <si>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</si>
  <si>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</si>
  <si>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</si>
  <si>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</si>
  <si>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</si>
  <si>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</si>
  <si>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</si>
  <si>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</si>
  <si>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</si>
  <si>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</si>
  <si>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</si>
  <si>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</si>
  <si>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</si>
  <si>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</si>
  <si>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</si>
  <si>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</si>
  <si>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</si>
  <si>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</si>
  <si>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</si>
  <si>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</si>
  <si>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</si>
  <si>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</si>
  <si>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</si>
  <si>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</si>
  <si>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</si>
  <si>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</si>
  <si>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</si>
  <si>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</si>
  <si>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</si>
  <si>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</si>
  <si>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</si>
  <si>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</si>
  <si>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</si>
  <si>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</si>
  <si>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</si>
  <si>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</si>
  <si>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</si>
  <si>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</si>
  <si>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</si>
  <si>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</si>
  <si>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</si>
  <si>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</si>
  <si>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</si>
  <si>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</si>
  <si>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</si>
  <si>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</si>
  <si>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</si>
  <si>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</si>
  <si>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</si>
  <si>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</si>
  <si>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</si>
  <si>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</si>
  <si>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</si>
  <si>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</si>
  <si>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</si>
  <si>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</si>
  <si>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</si>
  <si>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</si>
  <si>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</si>
  <si>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</si>
  <si>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</si>
  <si>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</si>
  <si>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</si>
  <si>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</si>
  <si>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</si>
  <si>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</si>
  <si>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</si>
  <si>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</si>
  <si>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</si>
  <si>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</si>
  <si>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</si>
  <si>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</si>
  <si>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</si>
  <si>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</si>
  <si>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</si>
  <si>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</si>
  <si>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</si>
  <si>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</si>
  <si>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</si>
  <si>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</si>
  <si>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</si>
  <si>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</si>
  <si>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</si>
  <si>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</si>
  <si>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</si>
  <si>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</si>
  <si>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</si>
  <si>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</si>
  <si>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</si>
  <si>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</si>
  <si>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</si>
  <si>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</si>
  <si>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</si>
  <si>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</si>
  <si>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</si>
  <si>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</si>
  <si>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</si>
  <si>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</si>
  <si>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</si>
  <si>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</si>
  <si>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</si>
  <si>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</si>
  <si>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</si>
  <si>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</si>
  <si>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</si>
  <si>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</si>
  <si>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</si>
  <si>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</si>
  <si>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</si>
  <si>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</si>
  <si>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</si>
  <si>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</si>
  <si>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</si>
  <si>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</si>
  <si>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</si>
  <si>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</si>
  <si>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</si>
  <si>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</si>
  <si>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</si>
  <si>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</si>
  <si>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</si>
  <si>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</si>
  <si>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</si>
  <si>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</si>
  <si>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</si>
  <si>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</si>
  <si>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</si>
  <si>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</si>
  <si>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</si>
  <si>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</si>
  <si>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</si>
  <si>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</si>
  <si>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</si>
  <si>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</si>
  <si>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</si>
  <si>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</si>
  <si>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</si>
  <si>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</si>
  <si>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</si>
  <si>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</si>
  <si>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</si>
  <si>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</si>
  <si>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</si>
  <si>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</si>
  <si>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</si>
  <si>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</si>
  <si>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</si>
  <si>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</si>
  <si>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</si>
  <si>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</si>
  <si>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</si>
  <si>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</si>
  <si>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</si>
  <si>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</si>
  <si>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</si>
  <si>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</si>
  <si>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</si>
  <si>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</si>
  <si>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</si>
  <si>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</si>
  <si>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</si>
  <si>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</si>
  <si>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</si>
  <si>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</si>
  <si>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</si>
  <si>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</si>
  <si>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</si>
  <si>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</si>
  <si>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</si>
  <si>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</si>
  <si>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</si>
  <si>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</si>
  <si>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</si>
  <si>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</si>
  <si>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</si>
  <si>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</si>
  <si>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</si>
  <si>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</si>
  <si>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</si>
  <si>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</si>
  <si>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</si>
  <si>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</si>
  <si>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</si>
  <si>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</si>
  <si>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</si>
  <si>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</si>
  <si>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</si>
  <si>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</si>
  <si>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</si>
  <si>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</si>
  <si>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</si>
  <si>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</si>
  <si>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</si>
  <si>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</si>
  <si>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</si>
  <si>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</si>
  <si>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</si>
  <si>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</si>
  <si>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</si>
  <si>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</si>
  <si>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</si>
  <si>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</si>
  <si>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</si>
  <si>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</si>
  <si>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</si>
  <si>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</si>
  <si>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</si>
  <si>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</si>
  <si>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</si>
  <si>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</si>
  <si>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</si>
  <si>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</si>
  <si>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</si>
  <si>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</si>
  <si>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</si>
  <si>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</si>
  <si>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</si>
  <si>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</si>
  <si>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</si>
  <si>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</si>
  <si>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</si>
  <si>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</si>
  <si>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</si>
  <si>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</si>
  <si>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</si>
  <si>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</si>
  <si>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</si>
  <si>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</si>
  <si>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</si>
  <si>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</si>
  <si>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</si>
  <si>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</si>
  <si>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</si>
  <si>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</si>
  <si>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</si>
  <si>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</si>
  <si>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</si>
  <si>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</si>
  <si>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</si>
  <si>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</si>
  <si>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</si>
  <si>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</si>
  <si>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</si>
  <si>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</si>
  <si>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</si>
  <si>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</si>
  <si>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</si>
  <si>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</si>
  <si>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</si>
  <si>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</si>
  <si>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</si>
  <si>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</si>
  <si>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</si>
  <si>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</si>
  <si>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</si>
  <si>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</si>
  <si>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</si>
  <si>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</si>
  <si>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</si>
  <si>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</si>
  <si>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</si>
  <si>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</si>
  <si>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</si>
  <si>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</si>
  <si>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</si>
  <si>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</si>
  <si>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</si>
  <si>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</si>
  <si>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</si>
  <si>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</si>
  <si>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</si>
  <si>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</si>
  <si>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</si>
  <si>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</si>
  <si>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</si>
  <si>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</si>
  <si>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</si>
  <si>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</si>
  <si>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</si>
  <si>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</si>
  <si>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</si>
  <si>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</si>
  <si>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</si>
  <si>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</si>
  <si>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</si>
  <si>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</si>
  <si>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</si>
  <si>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</si>
  <si>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</si>
  <si>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</si>
  <si>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</si>
  <si>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</si>
  <si>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</si>
  <si>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</si>
  <si>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</si>
  <si>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</si>
  <si>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</si>
  <si>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</si>
  <si>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</si>
  <si>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</si>
  <si>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</si>
  <si>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</si>
  <si>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</si>
  <si>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</si>
  <si>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</si>
  <si>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</si>
  <si>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</si>
  <si>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</si>
  <si>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</si>
  <si>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</si>
  <si>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</si>
  <si>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</si>
  <si>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</si>
  <si>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</si>
  <si>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</si>
  <si>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</si>
  <si>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</si>
  <si>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</si>
  <si>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</si>
  <si>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</si>
  <si>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</si>
  <si>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</si>
  <si>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</si>
  <si>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</si>
  <si>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</si>
  <si>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</si>
  <si>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</si>
  <si>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</si>
  <si>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</si>
  <si>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</si>
  <si>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</si>
  <si>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</si>
  <si>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</si>
  <si>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</si>
  <si>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</si>
  <si>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</si>
  <si>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</si>
  <si>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</si>
  <si>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</si>
  <si>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</si>
  <si>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</si>
  <si>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</si>
  <si>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</si>
  <si>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</si>
  <si>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</si>
  <si>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</si>
  <si>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</si>
  <si>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</si>
  <si>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</si>
  <si>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</si>
  <si>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</si>
  <si>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</si>
  <si>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</si>
  <si>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</si>
  <si>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</si>
  <si>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</si>
  <si>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</si>
  <si>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</si>
  <si>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</si>
  <si>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</si>
  <si>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</si>
  <si>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</si>
  <si>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</si>
  <si>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</si>
  <si>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</si>
  <si>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</si>
  <si>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</si>
  <si>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</si>
  <si>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</si>
  <si>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</si>
  <si>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</si>
  <si>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</si>
  <si>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</si>
  <si>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</si>
  <si>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</si>
  <si>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</si>
  <si>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</si>
  <si>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</si>
  <si>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</si>
  <si>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</si>
  <si>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</si>
  <si>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</si>
  <si>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</si>
  <si>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</si>
  <si>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</si>
  <si>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</si>
  <si>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</si>
  <si>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</si>
  <si>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</si>
  <si>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</si>
  <si>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</si>
  <si>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</si>
  <si>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</si>
  <si>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</si>
  <si>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</si>
  <si>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</si>
  <si>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</si>
  <si>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</si>
  <si>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</si>
  <si>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</si>
  <si>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</si>
  <si>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</si>
  <si>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</si>
  <si>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</si>
  <si>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</si>
  <si>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</si>
  <si>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</si>
  <si>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</si>
  <si>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</si>
  <si>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</si>
  <si>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</si>
  <si>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</si>
  <si>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</si>
  <si>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</si>
  <si>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</si>
  <si>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</si>
  <si>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</si>
  <si>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</si>
  <si>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</si>
  <si>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</si>
  <si>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</si>
  <si>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</si>
  <si>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</si>
  <si>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</si>
  <si>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</si>
  <si>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</si>
  <si>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</si>
  <si>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</si>
  <si>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</si>
  <si>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</si>
  <si>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</si>
  <si>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</si>
  <si>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</si>
  <si>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</si>
  <si>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</si>
  <si>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</si>
  <si>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</si>
  <si>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</si>
  <si>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</si>
  <si>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</si>
  <si>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</si>
  <si>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</si>
  <si>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</si>
  <si>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</si>
  <si>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</si>
  <si>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</si>
  <si>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</si>
  <si>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</si>
  <si>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</si>
  <si>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</si>
  <si>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</si>
  <si>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</si>
  <si>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</si>
  <si>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</si>
  <si>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</si>
  <si>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</si>
  <si>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</si>
  <si>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</si>
  <si>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</si>
  <si>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</si>
  <si>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</si>
  <si>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</si>
  <si>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</si>
  <si>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</si>
  <si>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</si>
  <si>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</si>
  <si>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</si>
  <si>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</si>
  <si>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</si>
  <si>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</si>
  <si>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</si>
  <si>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</si>
  <si>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</si>
  <si>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</si>
  <si>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</si>
  <si>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</si>
  <si>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</si>
  <si>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</si>
  <si>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</si>
  <si>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</si>
  <si>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</si>
  <si>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</si>
  <si>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</si>
  <si>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</si>
  <si>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</si>
  <si>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</si>
  <si>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</si>
  <si>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</si>
  <si>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</si>
  <si>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</si>
  <si>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</si>
  <si>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</si>
  <si>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</si>
  <si>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</si>
  <si>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</si>
  <si>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</si>
  <si>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</si>
  <si>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</si>
  <si>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</si>
  <si>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</si>
  <si>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</si>
  <si>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</si>
  <si>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</si>
  <si>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</si>
  <si>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</si>
  <si>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</si>
  <si>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</si>
  <si>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</si>
  <si>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</si>
  <si>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</si>
  <si>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</si>
  <si>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</si>
  <si>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</si>
  <si>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</si>
  <si>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</si>
  <si>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</si>
  <si>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</si>
  <si>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</si>
  <si>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</si>
  <si>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</si>
  <si>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</si>
  <si>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</si>
  <si>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</si>
  <si>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</si>
  <si>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</si>
  <si>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</si>
  <si>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</si>
  <si>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</si>
  <si>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</si>
  <si>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</si>
  <si>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</si>
  <si>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</si>
  <si>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</si>
  <si>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</si>
  <si>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</si>
  <si>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</si>
  <si>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</si>
  <si>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</si>
  <si>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</si>
  <si>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</si>
  <si>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</si>
  <si>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</si>
  <si>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</si>
  <si>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</si>
  <si>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</si>
  <si>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</si>
  <si>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</si>
  <si>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</si>
  <si>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</si>
  <si>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</si>
  <si>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</si>
  <si>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</si>
  <si>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</si>
  <si>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</si>
  <si>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</si>
  <si>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</si>
  <si>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</si>
  <si>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</si>
  <si>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</si>
  <si>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</si>
  <si>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</si>
  <si>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</si>
  <si>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</si>
  <si>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</si>
  <si>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</si>
  <si>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</si>
  <si>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</si>
  <si>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</si>
  <si>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</si>
  <si>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</si>
  <si>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</si>
  <si>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</si>
  <si>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</si>
  <si>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</si>
  <si>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</si>
  <si>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</si>
  <si>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</si>
  <si>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</si>
  <si>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</si>
  <si>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</si>
  <si>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</si>
  <si>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</si>
  <si>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</si>
  <si>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</si>
  <si>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</si>
  <si>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</si>
  <si>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</si>
  <si>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</si>
  <si>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</si>
  <si>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</si>
  <si>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</si>
  <si>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</si>
  <si>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</si>
  <si>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</si>
  <si>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</si>
  <si>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</si>
  <si>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</si>
  <si>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</si>
  <si>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</si>
  <si>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</si>
  <si>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</si>
  <si>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</si>
  <si>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</si>
  <si>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</si>
  <si>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</si>
  <si>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</si>
  <si>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</si>
  <si>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</si>
  <si>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</si>
  <si>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</si>
  <si>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</si>
  <si>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</si>
  <si>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</si>
  <si>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</si>
  <si>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</si>
  <si>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</si>
  <si>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</si>
  <si>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</si>
  <si>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</si>
  <si>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</si>
  <si>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</si>
  <si>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</si>
  <si>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</si>
  <si>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</si>
  <si>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</si>
  <si>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</si>
  <si>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</si>
  <si>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</si>
  <si>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</si>
  <si>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</si>
  <si>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</si>
  <si>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</si>
  <si>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</si>
  <si>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</si>
  <si>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</si>
  <si>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</si>
  <si>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</si>
  <si>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</si>
  <si>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</si>
  <si>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</si>
  <si>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</si>
  <si>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</si>
  <si>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</si>
  <si>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</si>
  <si>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</si>
  <si>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</si>
  <si>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</si>
  <si>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</si>
  <si>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</si>
  <si>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</si>
  <si>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</si>
  <si>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</si>
  <si>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</si>
  <si>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</si>
  <si>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</si>
  <si>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</si>
  <si>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</si>
  <si>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</si>
  <si>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</si>
  <si>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</si>
  <si>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</si>
  <si>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</si>
  <si>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</si>
  <si>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</si>
  <si>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</si>
  <si>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</si>
  <si>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</si>
  <si>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</si>
  <si>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</si>
  <si>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</si>
  <si>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</si>
  <si>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</si>
  <si>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</si>
  <si>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</si>
  <si>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</si>
  <si>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</si>
  <si>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</si>
  <si>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</si>
  <si>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</si>
  <si>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</si>
  <si>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</si>
  <si>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</si>
  <si>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</si>
  <si>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</si>
  <si>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</si>
  <si>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</si>
  <si>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</si>
  <si>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</si>
  <si>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</si>
  <si>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</si>
  <si>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</si>
  <si>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</si>
  <si>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</si>
  <si>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</si>
  <si>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</si>
  <si>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</si>
  <si>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</si>
  <si>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</si>
  <si>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</si>
  <si>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</si>
  <si>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</si>
  <si>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</si>
  <si>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</si>
  <si>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</si>
  <si>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</si>
  <si>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</si>
  <si>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</si>
  <si>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</si>
  <si>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</si>
  <si>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</si>
  <si>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</si>
  <si>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</si>
  <si>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</si>
  <si>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</si>
  <si>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</si>
  <si>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</si>
  <si>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</si>
  <si>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</si>
  <si>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</si>
  <si>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</si>
  <si>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</si>
  <si>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</si>
  <si>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</si>
  <si>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</si>
  <si>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</si>
  <si>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</si>
  <si>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</si>
  <si>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</si>
  <si>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</si>
  <si>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</si>
  <si>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</si>
  <si>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</si>
  <si>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</si>
  <si>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</si>
  <si>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</si>
  <si>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</si>
  <si>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</si>
  <si>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</si>
  <si>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</si>
  <si>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</si>
  <si>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</si>
  <si>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</si>
  <si>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</si>
  <si>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</si>
  <si>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</si>
  <si>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</si>
  <si>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</si>
  <si>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</si>
  <si>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</si>
  <si>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</si>
  <si>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</si>
  <si>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</si>
  <si>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</si>
  <si>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</si>
  <si>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</si>
  <si>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</si>
  <si>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</si>
  <si>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</si>
  <si>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</si>
  <si>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</si>
  <si>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</si>
  <si>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</si>
  <si>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</si>
  <si>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</si>
  <si>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</si>
  <si>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</si>
  <si>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</si>
  <si>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</si>
  <si>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</si>
  <si>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</si>
  <si>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</si>
  <si>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</si>
  <si>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</si>
  <si>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</si>
  <si>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</si>
  <si>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</si>
  <si>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</si>
  <si>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</si>
  <si>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</si>
  <si>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</si>
  <si>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</si>
  <si>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</si>
  <si>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</si>
  <si>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</si>
  <si>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</si>
  <si>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</si>
  <si>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</si>
  <si>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</si>
  <si>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</si>
  <si>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</si>
  <si>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</si>
  <si>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</si>
  <si>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</si>
  <si>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</si>
  <si>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</si>
  <si>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</si>
  <si>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</si>
  <si>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</si>
  <si>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</si>
  <si>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</si>
  <si>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</si>
  <si>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</si>
  <si>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</si>
  <si>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</si>
  <si>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</si>
  <si>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</si>
  <si>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</si>
  <si>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</si>
  <si>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</si>
  <si>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</si>
  <si>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</si>
  <si>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</si>
  <si>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</si>
  <si>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</si>
  <si>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</si>
  <si>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</si>
  <si>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</si>
  <si>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</si>
  <si>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</si>
  <si>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</si>
  <si>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</si>
  <si>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</si>
  <si>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</si>
  <si>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</si>
  <si>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</si>
  <si>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</si>
  <si>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</si>
  <si>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</si>
  <si>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</si>
  <si>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</si>
  <si>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</si>
  <si>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</si>
  <si>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</si>
  <si>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</si>
  <si>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</si>
  <si>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</si>
  <si>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</si>
  <si>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</si>
  <si>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</si>
  <si>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</si>
  <si>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</si>
  <si>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</si>
  <si>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</si>
  <si>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</si>
  <si>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</si>
  <si>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</si>
  <si>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</si>
  <si>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</si>
  <si>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</si>
  <si>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</si>
  <si>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</si>
  <si>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</si>
  <si>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</si>
  <si>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</si>
  <si>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</si>
  <si>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</si>
  <si>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</si>
  <si>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</si>
  <si>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</si>
  <si>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</si>
  <si>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</si>
  <si>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</si>
  <si>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</si>
  <si>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</si>
  <si>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</si>
  <si>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</si>
  <si>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</si>
  <si>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</si>
  <si>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</si>
  <si>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</si>
  <si>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</si>
  <si>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</si>
  <si>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</si>
  <si>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</si>
  <si>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</si>
  <si>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</si>
  <si>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</si>
  <si>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</si>
  <si>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</si>
  <si>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</si>
  <si>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</si>
  <si>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</si>
  <si>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</si>
  <si>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</si>
  <si>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</si>
  <si>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</si>
  <si>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</si>
  <si>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</si>
  <si>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</si>
  <si>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</si>
  <si>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</si>
  <si>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</si>
  <si>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</si>
  <si>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</si>
  <si>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</si>
  <si>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</si>
  <si>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</si>
  <si>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</si>
  <si>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</si>
  <si>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</si>
  <si>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</si>
  <si>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</si>
  <si>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</si>
  <si>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</si>
  <si>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</si>
  <si>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</si>
  <si>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</si>
  <si>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</si>
  <si>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</si>
  <si>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</si>
  <si>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</si>
  <si>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</si>
  <si>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</si>
  <si>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</si>
  <si>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</si>
  <si>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</si>
  <si>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</si>
  <si>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</si>
  <si>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</si>
  <si>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</si>
  <si>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</si>
  <si>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</si>
  <si>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</si>
  <si>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</si>
  <si>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</si>
  <si>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</si>
  <si>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</si>
  <si>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</si>
  <si>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</si>
  <si>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</si>
  <si>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</si>
  <si>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</si>
  <si>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</si>
  <si>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</si>
  <si>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</si>
  <si>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</si>
  <si>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</si>
  <si>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</si>
  <si>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</si>
  <si>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</si>
  <si>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</si>
  <si>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</si>
  <si>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</si>
  <si>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</si>
  <si>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</si>
  <si>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</si>
  <si>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</si>
  <si>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</si>
  <si>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</si>
  <si>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</si>
  <si>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</si>
  <si>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</si>
  <si>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</si>
  <si>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</si>
  <si>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</si>
  <si>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</si>
  <si>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</si>
  <si>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</si>
  <si>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</si>
  <si>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</si>
  <si>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</si>
  <si>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</si>
  <si>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</si>
  <si>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</si>
  <si>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</si>
  <si>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</si>
  <si>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</si>
  <si>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</si>
  <si>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</si>
  <si>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</si>
  <si>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</si>
  <si>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</si>
  <si>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</si>
  <si>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</si>
  <si>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</si>
  <si>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</si>
  <si>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</si>
  <si>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</si>
  <si>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</si>
  <si>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</si>
  <si>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</si>
  <si>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</si>
  <si>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</si>
  <si>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</si>
  <si>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</si>
  <si>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</si>
  <si>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</si>
  <si>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</si>
  <si>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</si>
  <si>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</si>
  <si>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</si>
  <si>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</si>
  <si>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</si>
  <si>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</si>
  <si>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</si>
  <si>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</si>
  <si>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</si>
  <si>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</si>
  <si>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</si>
  <si>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</si>
  <si>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</si>
  <si>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</si>
  <si>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</si>
  <si>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</si>
  <si>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</si>
  <si>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</si>
  <si>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</si>
  <si>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</si>
  <si>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</si>
  <si>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</si>
  <si>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</si>
  <si>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</si>
  <si>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</si>
  <si>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</si>
  <si>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</si>
  <si>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</si>
  <si>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</si>
  <si>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</si>
  <si>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</si>
  <si>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</si>
  <si>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</si>
  <si>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</si>
  <si>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</si>
  <si>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</si>
  <si>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</si>
  <si>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</si>
  <si>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</si>
  <si>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</si>
  <si>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</si>
  <si>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</si>
  <si>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</si>
  <si>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</si>
  <si>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</si>
  <si>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</si>
  <si>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</si>
  <si>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</si>
  <si>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</si>
  <si>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</si>
  <si>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</si>
  <si>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</si>
  <si>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</si>
  <si>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</si>
  <si>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</si>
  <si>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</si>
  <si>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</si>
  <si>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</si>
  <si>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</si>
  <si>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</si>
  <si>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</si>
  <si>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</si>
  <si>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</si>
  <si>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</si>
  <si>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</si>
  <si>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</si>
  <si>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</si>
  <si>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</si>
  <si>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</si>
  <si>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</si>
  <si>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</si>
  <si>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</si>
  <si>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</si>
  <si>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</si>
  <si>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</si>
  <si>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</si>
  <si>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</si>
  <si>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</si>
  <si>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</si>
  <si>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</si>
  <si>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</si>
  <si>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</si>
  <si>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</si>
  <si>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</si>
  <si>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</si>
  <si>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</si>
  <si>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</si>
  <si>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</si>
  <si>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</si>
  <si>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</si>
  <si>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</si>
  <si>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</si>
  <si>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</si>
  <si>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</si>
  <si>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</si>
  <si>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</si>
  <si>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</si>
  <si>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</si>
  <si>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</si>
  <si>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</si>
  <si>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</si>
  <si>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</si>
  <si>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</si>
  <si>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</si>
  <si>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</si>
  <si>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</si>
  <si>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</si>
  <si>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</si>
  <si>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</si>
  <si>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</si>
  <si>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</si>
  <si>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</si>
  <si>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</si>
  <si>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</si>
  <si>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</si>
  <si>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</si>
  <si>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</si>
  <si>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</si>
  <si>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</si>
  <si>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</si>
  <si>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</si>
  <si>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</si>
  <si>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</si>
  <si>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</si>
  <si>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</si>
  <si>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</si>
  <si>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</si>
  <si>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</si>
  <si>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</si>
  <si>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</si>
  <si>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</si>
  <si>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</si>
  <si>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</si>
  <si>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</si>
  <si>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</si>
  <si>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</si>
  <si>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</si>
  <si>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</si>
  <si>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</si>
  <si>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</si>
  <si>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</si>
  <si>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</si>
  <si>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</si>
  <si>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</si>
  <si>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</si>
  <si>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</si>
  <si>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</si>
  <si>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</si>
  <si>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</si>
  <si>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</si>
  <si>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</si>
  <si>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</si>
  <si>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</si>
  <si>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</si>
  <si>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</si>
  <si>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</si>
  <si>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</si>
  <si>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</si>
  <si>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</si>
  <si>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</si>
  <si>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</si>
  <si>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</si>
  <si>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</si>
  <si>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</si>
  <si>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</si>
  <si>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</si>
  <si>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</si>
  <si>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</si>
  <si>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</si>
  <si>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</si>
  <si>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</si>
  <si>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</si>
  <si>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</si>
  <si>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</si>
  <si>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</si>
  <si>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</si>
  <si>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</si>
  <si>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</si>
  <si>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</si>
  <si>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</si>
  <si>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</si>
  <si>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</si>
  <si>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</si>
  <si>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</si>
  <si>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</si>
  <si>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</si>
  <si>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</si>
  <si>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</si>
  <si>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</si>
  <si>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</si>
  <si>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</si>
  <si>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</si>
  <si>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</si>
  <si>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</si>
  <si>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</si>
  <si>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</si>
  <si>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</si>
  <si>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</si>
  <si>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</si>
  <si>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</si>
  <si>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</si>
  <si>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</si>
  <si>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</si>
  <si>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</si>
  <si>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</si>
  <si>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</si>
  <si>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</si>
  <si>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</si>
  <si>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</si>
  <si>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</si>
  <si>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</si>
  <si>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</si>
  <si>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</si>
  <si>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</si>
  <si>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</si>
  <si>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</si>
  <si>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</si>
  <si>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</si>
  <si>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</si>
  <si>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</si>
  <si>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</si>
  <si>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</si>
  <si>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</si>
  <si>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</si>
  <si>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</si>
  <si>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</si>
  <si>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</si>
  <si>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</si>
  <si>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</si>
  <si>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</si>
  <si>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</si>
  <si>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</si>
  <si>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</si>
  <si>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</si>
  <si>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</si>
  <si>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</si>
  <si>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</si>
  <si>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</si>
  <si>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</si>
  <si>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</si>
  <si>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</si>
  <si>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</si>
  <si>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</si>
  <si>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</si>
  <si>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</si>
  <si>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</si>
  <si>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</si>
  <si>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</si>
  <si>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</si>
  <si>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</si>
  <si>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</si>
  <si>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</si>
  <si>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</si>
  <si>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</si>
  <si>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</si>
  <si>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</si>
  <si>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</si>
  <si>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</si>
  <si>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</si>
  <si>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</si>
  <si>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</si>
  <si>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</si>
  <si>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</si>
  <si>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</si>
  <si>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</si>
  <si>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</si>
  <si>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</si>
  <si>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</si>
  <si>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</si>
  <si>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</si>
  <si>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</si>
  <si>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</si>
  <si>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</si>
  <si>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</si>
  <si>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</si>
  <si>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</si>
  <si>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</si>
  <si>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</si>
  <si>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</si>
  <si>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</si>
  <si>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</si>
  <si>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</si>
  <si>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</si>
  <si>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</si>
  <si>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</si>
  <si>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</si>
  <si>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</si>
  <si>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</si>
  <si>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</si>
  <si>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</si>
  <si>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</si>
  <si>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</si>
  <si>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</si>
  <si>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</si>
  <si>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</si>
  <si>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</si>
  <si>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</si>
  <si>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</si>
  <si>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</si>
  <si>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</si>
  <si>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</si>
  <si>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</si>
  <si>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</si>
  <si>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</si>
  <si>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</si>
  <si>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</si>
  <si>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</si>
  <si>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</si>
  <si>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</si>
  <si>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</si>
  <si>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</si>
  <si>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</si>
  <si>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</si>
  <si>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</si>
  <si>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</si>
  <si>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</si>
  <si>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</si>
  <si>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</si>
  <si>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</si>
  <si>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</si>
  <si>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</si>
  <si>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</si>
  <si>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</si>
  <si>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</si>
  <si>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</si>
  <si>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</si>
  <si>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</si>
  <si>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</si>
  <si>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</si>
  <si>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</si>
  <si>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</si>
  <si>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</si>
  <si>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</si>
  <si>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</si>
  <si>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</si>
  <si>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</si>
  <si>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</si>
  <si>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</si>
  <si>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</si>
  <si>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</si>
  <si>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</si>
  <si>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</si>
  <si>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</si>
  <si>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</si>
  <si>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</si>
  <si>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</si>
  <si>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</si>
  <si>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</si>
  <si>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</si>
  <si>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</si>
  <si>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</si>
  <si>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</si>
  <si>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</si>
  <si>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</si>
  <si>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</si>
  <si>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</si>
  <si>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</si>
  <si>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</si>
  <si>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</si>
  <si>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</si>
  <si>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</si>
  <si>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</si>
  <si>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</si>
  <si>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</si>
  <si>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</si>
  <si>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</si>
  <si>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</si>
  <si>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</si>
  <si>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</si>
  <si>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</si>
  <si>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</si>
  <si>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</si>
  <si>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</si>
  <si>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</si>
  <si>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</si>
  <si>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</si>
  <si>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</si>
  <si>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</si>
  <si>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</si>
  <si>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</si>
  <si>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</si>
  <si>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</si>
  <si>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</si>
  <si>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</si>
  <si>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</si>
  <si>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</si>
  <si>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</si>
  <si>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</si>
  <si>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</si>
  <si>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</si>
  <si>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</si>
  <si>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</si>
  <si>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</si>
  <si>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</si>
  <si>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</si>
  <si>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</si>
  <si>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</si>
  <si>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</si>
  <si>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</si>
  <si>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</si>
  <si>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</si>
  <si>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</si>
  <si>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</si>
  <si>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</si>
  <si>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</si>
  <si>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</si>
  <si>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</si>
  <si>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</si>
  <si>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</si>
  <si>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</si>
  <si>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</si>
  <si>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</si>
  <si>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</si>
  <si>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</si>
  <si>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</si>
  <si>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</si>
  <si>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</si>
  <si>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</si>
  <si>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</si>
  <si>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</si>
  <si>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</si>
  <si>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</si>
  <si>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</si>
  <si>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</si>
  <si>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</si>
  <si>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</si>
  <si>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</si>
  <si>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</si>
  <si>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</si>
  <si>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</si>
  <si>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</si>
  <si>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</si>
  <si>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</si>
  <si>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</si>
  <si>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</si>
  <si>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</si>
  <si>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</si>
  <si>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</si>
  <si>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</si>
  <si>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</si>
  <si>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</si>
  <si>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</si>
  <si>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</si>
  <si>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</si>
  <si>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</si>
  <si>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</si>
  <si>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</si>
  <si>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</si>
  <si>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</si>
  <si>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</si>
  <si>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</si>
  <si>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</si>
  <si>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</si>
  <si>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</si>
  <si>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</si>
  <si>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</si>
  <si>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</si>
  <si>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</si>
  <si>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</si>
  <si>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</si>
  <si>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</si>
  <si>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</si>
  <si>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</si>
  <si>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</si>
  <si>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</si>
  <si>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</si>
  <si>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</si>
  <si>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</si>
  <si>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</si>
  <si>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</si>
  <si>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</si>
  <si>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</si>
  <si>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</si>
  <si>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</si>
  <si>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</si>
  <si>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</si>
  <si>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</si>
  <si>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</si>
  <si>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</si>
  <si>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</si>
  <si>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</si>
  <si>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</si>
  <si>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</si>
  <si>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</si>
  <si>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</si>
  <si>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</si>
  <si>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</si>
  <si>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</si>
  <si>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</si>
  <si>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</si>
  <si>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</si>
  <si>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</si>
  <si>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</si>
  <si>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</si>
  <si>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</si>
  <si>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</si>
  <si>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</si>
  <si>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</si>
  <si>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</si>
  <si>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</si>
  <si>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</si>
  <si>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</si>
  <si>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</si>
  <si>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</si>
  <si>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</si>
  <si>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</si>
  <si>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</si>
  <si>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</si>
  <si>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</si>
  <si>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</si>
  <si>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</si>
  <si>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</si>
  <si>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</si>
  <si>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</si>
  <si>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</si>
  <si>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</si>
  <si>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</si>
  <si>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</si>
  <si>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</si>
  <si>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</si>
  <si>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</si>
  <si>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</si>
  <si>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</si>
  <si>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</si>
  <si>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</si>
  <si>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</si>
  <si>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</si>
  <si>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</si>
  <si>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</si>
  <si>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</si>
  <si>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</si>
  <si>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</si>
  <si>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</si>
  <si>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</si>
  <si>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</si>
  <si>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</si>
  <si>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</si>
  <si>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</si>
  <si>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</si>
  <si>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</si>
  <si>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</si>
  <si>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</si>
  <si>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</si>
  <si>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</si>
  <si>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</si>
  <si>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</si>
  <si>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</si>
  <si>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</si>
  <si>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</si>
  <si>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</si>
  <si>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</si>
  <si>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</si>
  <si>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</si>
  <si>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</si>
  <si>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</si>
  <si>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</si>
  <si>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</si>
  <si>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</si>
  <si>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</si>
  <si>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</si>
  <si>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</si>
  <si>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</si>
  <si>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</si>
  <si>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</si>
  <si>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</si>
  <si>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</si>
  <si>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</si>
  <si>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</si>
  <si>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</si>
  <si>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</si>
  <si>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</si>
  <si>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</si>
  <si>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</si>
  <si>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</si>
  <si>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</si>
  <si>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</si>
  <si>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</si>
  <si>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</si>
  <si>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</si>
  <si>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</si>
  <si>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</si>
  <si>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</si>
  <si>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</si>
  <si>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</si>
  <si>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</si>
  <si>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</si>
  <si>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</si>
  <si>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</si>
  <si>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</si>
  <si>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</si>
  <si>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</si>
  <si>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</si>
  <si>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</si>
  <si>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</si>
  <si>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</si>
  <si>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</si>
  <si>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</si>
  <si>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</si>
  <si>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</si>
  <si>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</si>
  <si>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</si>
  <si>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</si>
  <si>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</si>
  <si>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</si>
  <si>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</si>
  <si>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</si>
  <si>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</si>
  <si>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</si>
  <si>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</si>
  <si>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</si>
  <si>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</si>
  <si>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</si>
  <si>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</si>
  <si>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</si>
  <si>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</si>
  <si>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</si>
  <si>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</si>
  <si>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</si>
  <si>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</si>
  <si>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</si>
  <si>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</si>
  <si>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</si>
  <si>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</si>
  <si>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</si>
  <si>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</si>
  <si>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</si>
  <si>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</si>
  <si>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</si>
  <si>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</si>
  <si>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</si>
  <si>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</si>
  <si>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</si>
  <si>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</si>
  <si>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</si>
  <si>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</si>
  <si>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</si>
  <si>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</si>
  <si>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</si>
  <si>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</si>
  <si>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</si>
  <si>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</si>
  <si>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</si>
  <si>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</si>
  <si>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</si>
  <si>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</si>
  <si>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</si>
  <si>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</si>
  <si>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</si>
  <si>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</si>
  <si>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</si>
  <si>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</si>
  <si>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</si>
  <si>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</si>
  <si>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</si>
  <si>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</si>
  <si>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</si>
  <si>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</si>
  <si>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</si>
  <si>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</si>
  <si>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</si>
  <si>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</si>
  <si>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</si>
  <si>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</si>
  <si>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</si>
  <si>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</si>
  <si>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</si>
  <si>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</si>
  <si>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</si>
  <si>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</si>
  <si>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</si>
  <si>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</si>
  <si>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</si>
  <si>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</si>
  <si>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</si>
  <si>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</si>
  <si>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</si>
  <si>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</si>
  <si>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</si>
  <si>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</si>
  <si>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</si>
  <si>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</si>
  <si>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</si>
  <si>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</si>
  <si>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</si>
  <si>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</si>
  <si>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</si>
  <si>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</si>
  <si>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</si>
  <si>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</si>
  <si>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</si>
  <si>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</si>
  <si>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</si>
  <si>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</si>
  <si>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</si>
  <si>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</si>
  <si>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</si>
  <si>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</si>
  <si>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</si>
  <si>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</si>
  <si>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</si>
  <si>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</si>
  <si>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</si>
  <si>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</si>
  <si>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</si>
  <si>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</si>
  <si>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</si>
  <si>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</si>
  <si>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</si>
  <si>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</si>
  <si>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</si>
  <si>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</si>
  <si>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</si>
  <si>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</si>
  <si>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</si>
  <si>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</si>
  <si>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</si>
  <si>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</si>
  <si>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</si>
  <si>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</si>
  <si>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</si>
  <si>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</si>
  <si>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</si>
  <si>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</si>
  <si>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</si>
  <si>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</si>
  <si>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</si>
  <si>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</si>
  <si>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</si>
  <si>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</si>
  <si>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</si>
  <si>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</si>
  <si>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</si>
  <si>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</si>
  <si>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</si>
  <si>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</si>
  <si>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</si>
  <si>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</si>
  <si>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</si>
  <si>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</si>
  <si>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</si>
  <si>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</si>
  <si>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</si>
  <si>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</si>
  <si>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</si>
  <si>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</si>
  <si>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</si>
  <si>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</si>
  <si>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</si>
  <si>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</si>
  <si>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</si>
  <si>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</si>
  <si>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</si>
  <si>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</si>
  <si>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</si>
  <si>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</si>
  <si>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</si>
  <si>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</si>
  <si>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</si>
  <si>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</si>
  <si>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</si>
  <si>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</si>
  <si>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</si>
  <si>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</si>
  <si>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</si>
  <si>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</si>
  <si>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</si>
  <si>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</si>
  <si>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</si>
  <si>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</si>
  <si>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</si>
  <si>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</si>
  <si>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</si>
  <si>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</si>
  <si>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</si>
  <si>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</si>
  <si>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</si>
  <si>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</si>
  <si>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</si>
  <si>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</si>
  <si>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</si>
  <si>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</si>
  <si>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</si>
  <si>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</si>
  <si>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</si>
  <si>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</si>
  <si>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</si>
  <si>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</si>
  <si>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</si>
  <si>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</si>
  <si>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</si>
  <si>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</si>
  <si>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</si>
  <si>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</si>
  <si>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</si>
  <si>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</si>
  <si>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</si>
  <si>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</si>
  <si>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</si>
  <si>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</si>
  <si>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</si>
  <si>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</si>
  <si>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</si>
  <si>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</si>
  <si>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</si>
  <si>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</si>
  <si>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</si>
  <si>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</si>
  <si>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</si>
  <si>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</si>
  <si>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</si>
  <si>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</si>
  <si>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</si>
  <si>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</si>
  <si>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</si>
  <si>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</si>
  <si>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</si>
  <si>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</si>
  <si>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</si>
  <si>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</si>
  <si>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</si>
  <si>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</si>
  <si>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</si>
  <si>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</si>
  <si>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</si>
  <si>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</si>
  <si>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</si>
  <si>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</si>
  <si>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</si>
  <si>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</si>
  <si>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</si>
  <si>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</si>
  <si>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</si>
  <si>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</si>
  <si>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</si>
  <si>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</si>
  <si>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</si>
  <si>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</si>
  <si>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</si>
  <si>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</si>
  <si>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</si>
  <si>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</si>
  <si>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</si>
  <si>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</si>
  <si>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</si>
  <si>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</si>
  <si>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</si>
  <si>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</si>
  <si>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</si>
  <si>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</si>
  <si>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</si>
  <si>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</si>
  <si>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</si>
  <si>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</si>
  <si>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</si>
  <si>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</si>
  <si>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</si>
  <si>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</si>
  <si>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</si>
  <si>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</si>
  <si>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</si>
  <si>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</si>
  <si>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</si>
  <si>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</si>
  <si>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</si>
  <si>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</si>
  <si>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</si>
  <si>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</si>
  <si>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</si>
  <si>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</si>
  <si>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</si>
  <si>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</si>
  <si>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</si>
  <si>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</si>
  <si>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</si>
  <si>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</si>
  <si>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</si>
  <si>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</si>
  <si>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</si>
  <si>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</si>
  <si>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</si>
  <si>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</si>
  <si>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</si>
  <si>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</si>
  <si>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</si>
  <si>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</si>
  <si>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</si>
  <si>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</si>
  <si>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</si>
  <si>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</si>
  <si>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</si>
  <si>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</si>
  <si>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</si>
  <si>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</si>
  <si>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</si>
  <si>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</si>
  <si>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</si>
  <si>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</si>
  <si>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</si>
  <si>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</si>
  <si>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</si>
  <si>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</si>
  <si>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</si>
  <si>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</si>
  <si>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</si>
  <si>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</si>
  <si>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</si>
  <si>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</si>
  <si>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</si>
  <si>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</si>
  <si>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</si>
  <si>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</si>
  <si>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</si>
  <si>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</si>
  <si>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</si>
  <si>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</si>
  <si>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</si>
  <si>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</si>
  <si>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</si>
  <si>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</si>
  <si>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</si>
  <si>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</si>
  <si>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</si>
  <si>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</si>
  <si>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</si>
  <si>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</si>
  <si>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</si>
  <si>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</si>
  <si>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</si>
  <si>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</si>
  <si>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</si>
  <si>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</si>
  <si>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</si>
  <si>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</si>
  <si>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</si>
  <si>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</si>
  <si>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</si>
  <si>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</si>
  <si>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</si>
  <si>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</si>
  <si>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</si>
  <si>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</si>
  <si>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</si>
  <si>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</si>
  <si>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</si>
  <si>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</si>
  <si>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</si>
  <si>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</si>
  <si>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</si>
  <si>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</si>
  <si>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</si>
  <si>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</si>
  <si>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</si>
  <si>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</si>
  <si>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</si>
  <si>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</si>
  <si>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</si>
  <si>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</si>
  <si>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</si>
  <si>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</si>
  <si>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</si>
  <si>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</si>
  <si>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</si>
  <si>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</si>
  <si>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</si>
  <si>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</si>
  <si>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</si>
  <si>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</si>
  <si>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</si>
  <si>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</si>
  <si>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</si>
  <si>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</si>
  <si>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</si>
  <si>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</si>
  <si>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</si>
  <si>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</si>
  <si>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</si>
  <si>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</si>
  <si>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</si>
  <si>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</si>
  <si>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</si>
  <si>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</si>
  <si>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</si>
  <si>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</si>
  <si>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</si>
  <si>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</si>
  <si>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</si>
  <si>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</si>
  <si>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</si>
  <si>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</si>
  <si>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</si>
  <si>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</si>
  <si>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</si>
  <si>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</si>
  <si>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</si>
  <si>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</si>
  <si>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</si>
  <si>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</si>
  <si>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</si>
  <si>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</si>
  <si>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</si>
  <si>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</si>
  <si>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</si>
  <si>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</si>
  <si>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</si>
  <si>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</si>
  <si>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</si>
  <si>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</si>
  <si>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</si>
  <si>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</si>
  <si>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</si>
  <si>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</si>
  <si>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</si>
  <si>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</si>
  <si>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</si>
  <si>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</si>
  <si>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</si>
  <si>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</si>
  <si>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</si>
  <si>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</si>
  <si>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</si>
  <si>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</si>
  <si>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</si>
  <si>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</si>
  <si>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</si>
  <si>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</si>
  <si>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</si>
  <si>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</si>
  <si>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</si>
  <si>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</si>
  <si>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</si>
  <si>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</si>
  <si>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</si>
  <si>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</si>
  <si>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</si>
  <si>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</si>
  <si>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</si>
  <si>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</si>
  <si>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</si>
  <si>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</si>
  <si>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</si>
  <si>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</si>
  <si>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</si>
  <si>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</si>
  <si>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</si>
  <si>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</si>
  <si>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</si>
  <si>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</si>
  <si>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</si>
  <si>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</si>
  <si>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</si>
  <si>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</si>
  <si>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</si>
  <si>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</si>
  <si>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</si>
  <si>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</si>
  <si>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</si>
  <si>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</si>
  <si>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</si>
  <si>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</si>
  <si>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</si>
  <si>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</si>
  <si>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</si>
  <si>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</si>
  <si>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</si>
  <si>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</si>
  <si>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</si>
  <si>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</si>
  <si>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</si>
  <si>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</si>
  <si>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</si>
  <si>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</si>
  <si>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</si>
  <si>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</si>
  <si>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</si>
  <si>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</si>
  <si>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</si>
  <si>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</si>
  <si>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</si>
  <si>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</si>
  <si>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</si>
  <si>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</si>
  <si>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</si>
  <si>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</si>
  <si>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</si>
  <si>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</si>
  <si>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</si>
  <si>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</si>
  <si>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</si>
  <si>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</si>
  <si>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</si>
  <si>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</si>
  <si>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</si>
  <si>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</si>
  <si>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</si>
  <si>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</si>
  <si>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</si>
  <si>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</si>
  <si>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</si>
  <si>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</si>
  <si>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</si>
  <si>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</si>
  <si>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</si>
  <si>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</si>
  <si>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</si>
  <si>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</si>
  <si>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</si>
  <si>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</si>
  <si>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</si>
  <si>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</si>
  <si>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</si>
  <si>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</si>
  <si>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</si>
  <si>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</si>
  <si>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</si>
  <si>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</si>
  <si>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</si>
  <si>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</si>
  <si>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</si>
  <si>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</si>
  <si>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</si>
  <si>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</si>
  <si>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</si>
  <si>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</si>
  <si>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</si>
  <si>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</si>
  <si>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</si>
  <si>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</si>
  <si>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</si>
  <si>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</si>
  <si>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</si>
  <si>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</si>
  <si>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</si>
  <si>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</si>
  <si>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</si>
  <si>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</si>
  <si>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</si>
  <si>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</si>
  <si>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</si>
  <si>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</si>
  <si>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</si>
  <si>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</si>
  <si>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</si>
  <si>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</si>
  <si>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</si>
  <si>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</si>
  <si>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</si>
  <si>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</si>
  <si>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</si>
  <si>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</si>
  <si>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</si>
  <si>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</si>
  <si>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</si>
  <si>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</si>
  <si>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</si>
  <si>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</si>
  <si>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</si>
  <si>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</si>
  <si>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</si>
  <si>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</si>
  <si>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</si>
  <si>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</si>
  <si>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</si>
  <si>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</si>
  <si>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</si>
  <si>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</si>
  <si>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</si>
  <si>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</si>
  <si>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</si>
  <si>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</si>
  <si>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</si>
  <si>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</si>
  <si>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</si>
  <si>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</si>
  <si>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</si>
  <si>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</si>
  <si>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</si>
  <si>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</si>
  <si>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</si>
  <si>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</si>
  <si>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</si>
  <si>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</si>
  <si>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</si>
  <si>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</si>
  <si>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</si>
  <si>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</si>
  <si>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</si>
  <si>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</si>
  <si>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</si>
  <si>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</si>
  <si>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</si>
  <si>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</si>
  <si>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</si>
  <si>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</si>
  <si>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</si>
  <si>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</si>
  <si>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</si>
  <si>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</si>
  <si>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</si>
  <si>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</si>
  <si>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</si>
  <si>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</si>
  <si>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</si>
  <si>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</si>
  <si>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</si>
  <si>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</si>
  <si>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</si>
  <si>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</si>
  <si>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</si>
  <si>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</si>
  <si>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</si>
  <si>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</si>
  <si>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</si>
  <si>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</si>
  <si>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</si>
  <si>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</si>
  <si>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</si>
  <si>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</si>
  <si>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</si>
  <si>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</si>
  <si>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</si>
  <si>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</si>
  <si>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</si>
  <si>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</si>
  <si>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</si>
  <si>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</si>
  <si>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</si>
  <si>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</si>
  <si>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</si>
  <si>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</si>
  <si>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</si>
  <si>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</si>
  <si>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</si>
  <si>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</si>
  <si>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</si>
  <si>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</si>
  <si>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</si>
  <si>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</si>
  <si>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</si>
  <si>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</si>
  <si>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</si>
  <si>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</si>
  <si>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</si>
  <si>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</si>
  <si>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</si>
  <si>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</si>
  <si>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</si>
  <si>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</si>
  <si>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</si>
  <si>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</si>
  <si>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</si>
  <si>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</si>
  <si>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</si>
  <si>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</si>
  <si>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</si>
  <si>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</si>
  <si>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</si>
  <si>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</si>
  <si>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</si>
  <si>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</si>
  <si>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</si>
  <si>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</si>
  <si>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</si>
  <si>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</si>
  <si>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</si>
  <si>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</si>
  <si>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</si>
  <si>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</si>
  <si>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</si>
  <si>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</si>
  <si>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</si>
  <si>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</si>
  <si>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</si>
  <si>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</si>
  <si>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</si>
  <si>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</si>
  <si>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</si>
  <si>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</si>
  <si>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</si>
  <si>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</si>
  <si>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</si>
  <si>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</si>
  <si>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</si>
  <si>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</si>
  <si>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</si>
  <si>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</si>
  <si>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</si>
  <si>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</si>
  <si>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</si>
  <si>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</si>
  <si>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</si>
  <si>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</si>
  <si>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</si>
  <si>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</si>
  <si>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</si>
  <si>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</si>
  <si>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</si>
  <si>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</si>
  <si>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</si>
  <si>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</si>
  <si>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</si>
  <si>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</si>
  <si>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</si>
  <si>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</si>
  <si>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</si>
  <si>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</si>
  <si>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</si>
  <si>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</si>
  <si>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</si>
  <si>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</si>
  <si>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</si>
  <si>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</si>
  <si>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</si>
  <si>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</si>
  <si>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</si>
  <si>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</si>
  <si>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</si>
  <si>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</si>
  <si>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</si>
  <si>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</si>
  <si>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</si>
  <si>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</si>
  <si>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</si>
  <si>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</si>
  <si>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</si>
  <si>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</si>
  <si>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</si>
  <si>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</si>
  <si>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</si>
  <si>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</si>
  <si>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</si>
  <si>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</si>
  <si>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</si>
  <si>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</si>
  <si>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</si>
  <si>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</si>
  <si>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</si>
  <si>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</si>
  <si>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</si>
  <si>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</si>
  <si>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</si>
  <si>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</si>
  <si>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</si>
  <si>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</si>
  <si>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</si>
  <si>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</si>
  <si>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</si>
  <si>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</si>
  <si>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</si>
  <si>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</si>
  <si>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</si>
  <si>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</si>
  <si>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</si>
  <si>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</si>
  <si>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</si>
  <si>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</si>
  <si>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</si>
  <si>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</si>
  <si>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</si>
  <si>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</si>
  <si>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</si>
  <si>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</si>
  <si>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</si>
  <si>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</si>
  <si>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</si>
  <si>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</si>
  <si>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</si>
  <si>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</si>
  <si>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</si>
  <si>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</si>
  <si>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</si>
  <si>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</si>
  <si>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</si>
  <si>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</si>
  <si>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</si>
  <si>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</si>
  <si>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</si>
  <si>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</si>
  <si>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</si>
  <si>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</si>
  <si>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</si>
  <si>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</si>
  <si>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</si>
  <si>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</si>
  <si>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</si>
  <si>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</si>
  <si>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</si>
  <si>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</si>
  <si>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</si>
  <si>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</si>
  <si>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</si>
  <si>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</si>
  <si>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</si>
  <si>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</si>
  <si>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</si>
  <si>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</si>
  <si>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</si>
  <si>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</si>
  <si>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</si>
  <si>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</si>
  <si>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</si>
  <si>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</si>
  <si>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</si>
  <si>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</si>
  <si>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</si>
  <si>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</si>
  <si>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</si>
  <si>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</si>
  <si>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</si>
  <si>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</si>
  <si>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</si>
  <si>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</si>
  <si>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</si>
  <si>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</si>
  <si>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</si>
  <si>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</si>
  <si>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</si>
  <si>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</si>
  <si>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</si>
  <si>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</si>
  <si>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</si>
  <si>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</si>
  <si>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</si>
  <si>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</si>
  <si>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</si>
  <si>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</si>
  <si>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</si>
  <si>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</si>
  <si>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</si>
  <si>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</si>
  <si>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</si>
  <si>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</si>
  <si>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</si>
  <si>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</si>
  <si>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</si>
  <si>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</si>
  <si>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</si>
  <si>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</si>
  <si>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</si>
  <si>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</si>
  <si>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</si>
  <si>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</si>
  <si>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</si>
  <si>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</si>
  <si>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</si>
  <si>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</si>
  <si>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</si>
  <si>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</si>
  <si>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</si>
  <si>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</si>
  <si>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</si>
  <si>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</si>
  <si>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</si>
  <si>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</si>
  <si>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</si>
  <si>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</si>
  <si>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</si>
  <si>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</si>
  <si>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</si>
  <si>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</si>
  <si>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</si>
  <si>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</si>
  <si>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</si>
  <si>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</si>
  <si>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</si>
  <si>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</si>
  <si>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</si>
  <si>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</si>
  <si>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</si>
  <si>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</si>
  <si>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</si>
  <si>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</si>
  <si>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</si>
  <si>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</si>
  <si>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</si>
  <si>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</si>
  <si>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</si>
  <si>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</si>
  <si>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</si>
  <si>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</si>
  <si>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</si>
  <si>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</si>
  <si>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</si>
  <si>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</si>
  <si>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</si>
  <si>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</si>
  <si>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</si>
  <si>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</si>
  <si>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</si>
  <si>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</si>
  <si>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</si>
  <si>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</si>
  <si>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</si>
  <si>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</si>
  <si>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</si>
  <si>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</si>
  <si>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</si>
  <si>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</si>
  <si>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</si>
  <si>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</si>
  <si>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</si>
  <si>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</si>
  <si>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</si>
  <si>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</si>
  <si>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</si>
  <si>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</si>
  <si>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</si>
  <si>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</si>
  <si>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</si>
  <si>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</si>
  <si>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</si>
  <si>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</si>
  <si>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</si>
  <si>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</si>
  <si>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</si>
  <si>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</si>
  <si>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</si>
  <si>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</si>
  <si>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</si>
  <si>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</si>
  <si>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</si>
  <si>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</si>
  <si>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</si>
  <si>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</si>
  <si>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</si>
  <si>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</si>
  <si>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</si>
  <si>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</si>
  <si>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</si>
  <si>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</si>
  <si>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</si>
  <si>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</si>
  <si>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</si>
  <si>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</si>
  <si>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</si>
  <si>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</si>
  <si>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</si>
  <si>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</si>
  <si>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</si>
  <si>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</si>
  <si>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</si>
  <si>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</si>
  <si>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</si>
  <si>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</si>
  <si>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</si>
  <si>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</si>
  <si>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</si>
  <si>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</si>
  <si>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</si>
  <si>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</si>
  <si>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</si>
  <si>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</si>
  <si>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</si>
  <si>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</si>
  <si>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</si>
  <si>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</si>
  <si>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</si>
  <si>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</si>
  <si>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</si>
  <si>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</si>
  <si>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</si>
  <si>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</si>
  <si>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</si>
  <si>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</si>
  <si>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</si>
  <si>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</si>
  <si>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</si>
  <si>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</si>
  <si>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</si>
  <si>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</si>
  <si>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</si>
  <si>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</si>
  <si>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</si>
  <si>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</si>
  <si>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</si>
  <si>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</si>
  <si>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</si>
  <si>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</si>
  <si>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</si>
  <si>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</si>
  <si>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</si>
  <si>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</si>
  <si>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</si>
  <si>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</si>
  <si>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</si>
  <si>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</si>
  <si>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</si>
  <si>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</si>
  <si>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</si>
  <si>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</si>
  <si>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</si>
  <si>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</si>
  <si>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</si>
  <si>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</si>
  <si>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</si>
  <si>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</si>
  <si>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</si>
  <si>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</si>
  <si>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</si>
  <si>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</si>
  <si>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</si>
  <si>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</si>
  <si>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</si>
  <si>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</si>
  <si>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</si>
  <si>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</si>
  <si>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</si>
  <si>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</si>
  <si>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</si>
  <si>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</si>
  <si>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</si>
  <si>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</si>
  <si>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</si>
  <si>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</si>
  <si>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</si>
  <si>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</si>
  <si>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</si>
  <si>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</si>
  <si>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</si>
  <si>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</si>
  <si>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</si>
  <si>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</si>
  <si>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</si>
  <si>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</si>
  <si>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</si>
  <si>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</si>
  <si>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</si>
  <si>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</si>
  <si>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</si>
  <si>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</si>
  <si>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</si>
  <si>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</si>
  <si>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</si>
  <si>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</si>
  <si>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</si>
  <si>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</si>
  <si>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</si>
  <si>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</si>
  <si>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</si>
  <si>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</si>
  <si>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</si>
  <si>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</si>
  <si>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</si>
  <si>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</si>
  <si>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</si>
  <si>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</si>
  <si>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</si>
  <si>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</si>
  <si>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</si>
  <si>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</si>
  <si>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</si>
  <si>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</si>
  <si>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</si>
  <si>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</si>
  <si>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</si>
  <si>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</si>
  <si>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</si>
  <si>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</si>
  <si>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</si>
  <si>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</si>
  <si>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</si>
  <si>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</si>
  <si>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</si>
  <si>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</si>
  <si>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</si>
  <si>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</si>
  <si>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</si>
  <si>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</si>
  <si>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</si>
  <si>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</si>
  <si>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</si>
  <si>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</si>
  <si>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</si>
  <si>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</si>
  <si>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</si>
  <si>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</si>
  <si>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</si>
  <si>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</si>
  <si>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</si>
  <si>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</si>
  <si>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</si>
  <si>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</si>
  <si>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</si>
  <si>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</si>
  <si>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</si>
  <si>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</si>
  <si>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</si>
  <si>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</si>
  <si>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</si>
  <si>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</si>
  <si>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</si>
  <si>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</si>
  <si>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</si>
  <si>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</si>
  <si>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</si>
  <si>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</si>
  <si>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</si>
  <si>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</si>
  <si>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</si>
  <si>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</si>
  <si>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</si>
  <si>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</si>
  <si>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</si>
  <si>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</si>
  <si>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</si>
  <si>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</si>
  <si>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</si>
  <si>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</si>
  <si>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</si>
  <si>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</si>
  <si>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</si>
  <si>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</si>
  <si>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</si>
  <si>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</si>
  <si>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</si>
  <si>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</si>
  <si>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</si>
  <si>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</si>
  <si>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</si>
  <si>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</si>
  <si>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</si>
  <si>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</si>
  <si>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</si>
  <si>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</si>
  <si>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</si>
  <si>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</si>
  <si>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</si>
  <si>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</si>
  <si>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</si>
  <si>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</si>
  <si>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</si>
  <si>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</si>
  <si>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</si>
  <si>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</si>
  <si>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</si>
  <si>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</si>
  <si>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</si>
  <si>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</si>
  <si>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</si>
  <si>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</si>
  <si>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</si>
  <si>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</si>
  <si>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</si>
  <si>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</si>
  <si>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</si>
  <si>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</si>
  <si>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</si>
  <si>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</si>
  <si>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</si>
  <si>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</si>
  <si>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</si>
  <si>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</si>
  <si>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</si>
  <si>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</si>
  <si>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</si>
  <si>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</si>
  <si>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</si>
  <si>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</si>
  <si>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</si>
  <si>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</si>
  <si>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</si>
  <si>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</si>
  <si>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</si>
  <si>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</si>
  <si>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</si>
  <si>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</si>
  <si>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</si>
  <si>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</si>
  <si>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</si>
  <si>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</si>
  <si>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</si>
  <si>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</si>
  <si>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</si>
  <si>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</si>
  <si>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</si>
  <si>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</si>
  <si>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</si>
  <si>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</si>
  <si>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</si>
  <si>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</si>
  <si>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</si>
  <si>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</si>
  <si>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</si>
  <si>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</si>
  <si>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</si>
  <si>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</si>
  <si>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</si>
  <si>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</si>
  <si>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</si>
  <si>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</si>
  <si>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</si>
  <si>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</si>
  <si>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</si>
  <si>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</si>
  <si>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</si>
  <si>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</si>
  <si>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</si>
  <si>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</si>
  <si>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</si>
  <si>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</si>
  <si>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</si>
  <si>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</si>
  <si>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</si>
  <si>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</si>
  <si>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</si>
  <si>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</si>
  <si>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</si>
  <si>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</si>
  <si>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</si>
  <si>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</si>
  <si>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</si>
  <si>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</si>
  <si>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</si>
  <si>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</si>
  <si>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</si>
  <si>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</si>
  <si>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</si>
  <si>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</si>
  <si>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</si>
  <si>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</si>
  <si>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</si>
  <si>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</si>
  <si>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</si>
  <si>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</si>
  <si>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</si>
  <si>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</si>
  <si>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</si>
  <si>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</si>
  <si>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</si>
  <si>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</si>
  <si>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</si>
  <si>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</si>
  <si>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</si>
  <si>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</si>
  <si>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</si>
  <si>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</si>
  <si>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</si>
  <si>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</si>
  <si>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</si>
  <si>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</si>
  <si>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</si>
  <si>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</si>
  <si>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</si>
  <si>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</si>
  <si>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</si>
  <si>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</si>
  <si>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</si>
  <si>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</si>
  <si>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</si>
  <si>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</si>
  <si>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</si>
  <si>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</si>
  <si>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</si>
  <si>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</si>
  <si>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</si>
  <si>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</si>
  <si>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</si>
  <si>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</si>
  <si>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</si>
  <si>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</si>
  <si>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</si>
  <si>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</si>
  <si>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</si>
  <si>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</si>
  <si>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</si>
  <si>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</si>
  <si>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</si>
  <si>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</si>
  <si>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</si>
  <si>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</si>
  <si>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</si>
  <si>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</si>
  <si>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</si>
  <si>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</si>
  <si>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</si>
  <si>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</si>
  <si>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</si>
  <si>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</si>
  <si>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</si>
  <si>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</si>
  <si>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</si>
  <si>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</si>
  <si>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</si>
  <si>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</si>
  <si>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</si>
  <si>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</si>
  <si>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</si>
  <si>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</si>
  <si>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</si>
  <si>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</si>
  <si>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</si>
  <si>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</si>
  <si>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</si>
  <si>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</si>
  <si>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</si>
  <si>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</si>
  <si>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</si>
  <si>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</si>
  <si>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</si>
  <si>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</si>
  <si>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</si>
  <si>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</si>
  <si>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</si>
  <si>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</si>
  <si>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</si>
  <si>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</si>
  <si>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</si>
  <si>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</si>
  <si>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</si>
  <si>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</si>
  <si>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</si>
  <si>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</si>
  <si>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</si>
  <si>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</si>
  <si>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</si>
  <si>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</si>
  <si>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</si>
  <si>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</si>
  <si>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</si>
  <si>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</si>
  <si>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</si>
  <si>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</si>
  <si>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</si>
  <si>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</si>
  <si>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</si>
  <si>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</si>
  <si>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</si>
  <si>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</si>
  <si>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</si>
  <si>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</si>
  <si>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</si>
  <si>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</si>
  <si>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</si>
  <si>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</si>
  <si>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</si>
  <si>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</si>
  <si>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</si>
  <si>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</si>
  <si>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</si>
  <si>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</si>
  <si>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</si>
  <si>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</si>
  <si>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</si>
  <si>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</si>
  <si>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</si>
  <si>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</si>
  <si>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</si>
  <si>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</si>
  <si>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</si>
  <si>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</si>
  <si>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</si>
  <si>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</si>
  <si>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</si>
  <si>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</si>
  <si>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</si>
  <si>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</si>
  <si>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</si>
  <si>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</si>
  <si>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</si>
  <si>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</si>
  <si>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</si>
  <si>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</si>
  <si>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</si>
  <si>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</si>
  <si>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</si>
  <si>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</si>
  <si>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</si>
  <si>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</si>
  <si>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</si>
  <si>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</si>
  <si>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</si>
  <si>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</si>
  <si>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</si>
  <si>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</si>
  <si>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</si>
  <si>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</si>
  <si>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</si>
  <si>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</si>
  <si>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</si>
  <si>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</si>
  <si>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</si>
  <si>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</si>
  <si>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</si>
  <si>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</si>
  <si>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</si>
  <si>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</si>
  <si>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</si>
  <si>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</si>
  <si>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</si>
  <si>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</si>
  <si>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</si>
  <si>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</si>
  <si>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</si>
  <si>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</si>
  <si>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</si>
  <si>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</si>
  <si>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</si>
  <si>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</si>
  <si>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</si>
  <si>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</si>
  <si>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</si>
  <si>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</si>
  <si>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</si>
  <si>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</si>
  <si>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</si>
  <si>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</si>
  <si>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</si>
  <si>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</si>
  <si>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</si>
  <si>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</si>
  <si>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</si>
  <si>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</si>
  <si>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</si>
  <si>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</si>
  <si>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</si>
  <si>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</si>
  <si>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</si>
  <si>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</si>
  <si>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</si>
  <si>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</si>
  <si>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</si>
  <si>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</si>
  <si>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</si>
  <si>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</si>
  <si>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</si>
  <si>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</si>
  <si>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</si>
  <si>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</si>
  <si>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</si>
  <si>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</si>
  <si>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</si>
  <si>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</si>
  <si>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</si>
  <si>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</si>
  <si>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</si>
  <si>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</si>
  <si>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</si>
  <si>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</si>
  <si>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</si>
  <si>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</si>
  <si>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</si>
  <si>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</si>
  <si>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</si>
  <si>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</si>
  <si>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</si>
  <si>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</si>
  <si>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</si>
  <si>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</si>
  <si>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</si>
  <si>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</si>
  <si>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</si>
  <si>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</si>
  <si>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</si>
  <si>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</si>
  <si>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</si>
  <si>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</si>
  <si>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</si>
  <si>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</si>
  <si>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</si>
  <si>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</si>
  <si>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</si>
  <si>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</si>
  <si>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</si>
  <si>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</si>
  <si>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</si>
  <si>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</si>
  <si>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</si>
  <si>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</si>
  <si>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</si>
  <si>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</si>
  <si>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</si>
  <si>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</si>
  <si>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</si>
  <si>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</si>
  <si>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</si>
  <si>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</si>
  <si>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</si>
  <si>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</si>
  <si>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</si>
  <si>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</si>
  <si>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</si>
  <si>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</si>
  <si>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</si>
  <si>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</si>
  <si>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</si>
  <si>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</si>
  <si>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</si>
  <si>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</si>
  <si>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</si>
  <si>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</si>
  <si>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</si>
  <si>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</si>
  <si>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</si>
  <si>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</si>
  <si>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</si>
  <si>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</si>
  <si>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</si>
  <si>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</si>
  <si>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</si>
  <si>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</si>
  <si>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</si>
  <si>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</si>
  <si>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</si>
  <si>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</si>
  <si>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</si>
  <si>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</si>
  <si>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</si>
  <si>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</si>
  <si>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</si>
  <si>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</si>
  <si>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</si>
  <si>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</si>
  <si>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</si>
  <si>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</si>
  <si>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</si>
  <si>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</si>
  <si>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</si>
  <si>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</si>
  <si>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</si>
  <si>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</si>
  <si>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</si>
  <si>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</si>
  <si>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</si>
  <si>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</si>
  <si>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</si>
  <si>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</si>
  <si>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</si>
  <si>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</si>
  <si>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</si>
  <si>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</si>
  <si>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</si>
  <si>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</si>
  <si>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</si>
  <si>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</si>
  <si>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</si>
  <si>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</si>
  <si>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</si>
  <si>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</si>
  <si>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</si>
  <si>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</si>
  <si>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</si>
  <si>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</si>
  <si>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</si>
  <si>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</si>
  <si>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</si>
  <si>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</si>
  <si>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</si>
  <si>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</si>
  <si>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</si>
  <si>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</si>
  <si>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</si>
  <si>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</si>
  <si>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</si>
  <si>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</si>
  <si>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</si>
  <si>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</si>
  <si>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</si>
  <si>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</si>
  <si>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</si>
  <si>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</si>
  <si>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</si>
  <si>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</si>
  <si>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</si>
  <si>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</si>
  <si>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</si>
  <si>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</si>
  <si>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</si>
  <si>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</si>
  <si>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</si>
  <si>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</si>
  <si>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</si>
  <si>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</si>
  <si>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</si>
  <si>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</si>
  <si>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</si>
  <si>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</si>
  <si>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</si>
  <si>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</si>
  <si>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</si>
  <si>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</si>
  <si>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</si>
  <si>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</si>
  <si>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</si>
  <si>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</si>
  <si>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</si>
  <si>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</si>
  <si>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</si>
  <si>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</si>
  <si>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</si>
  <si>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</si>
  <si>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</si>
  <si>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</si>
  <si>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</si>
  <si>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</si>
  <si>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</si>
  <si>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</si>
  <si>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</si>
  <si>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</si>
  <si>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</si>
  <si>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</si>
  <si>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</si>
  <si>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</si>
  <si>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</si>
  <si>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</si>
  <si>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</si>
  <si>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</si>
  <si>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</si>
  <si>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</si>
  <si>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</si>
  <si>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</si>
  <si>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</si>
  <si>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</si>
  <si>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</si>
  <si>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</si>
  <si>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</si>
  <si>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</si>
  <si>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</si>
  <si>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</si>
  <si>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</si>
  <si>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</si>
  <si>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</si>
  <si>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</si>
  <si>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</si>
  <si>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</si>
  <si>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</si>
  <si>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</si>
  <si>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</si>
  <si>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</si>
  <si>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</si>
  <si>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</si>
  <si>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</si>
  <si>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</si>
  <si>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</si>
  <si>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</si>
  <si>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</si>
  <si>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</si>
  <si>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</si>
  <si>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</si>
  <si>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</si>
  <si>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</si>
  <si>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</si>
  <si>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</si>
  <si>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</si>
  <si>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</si>
  <si>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</si>
  <si>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</si>
  <si>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</si>
  <si>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</si>
  <si>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</si>
  <si>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</si>
  <si>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</si>
  <si>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</si>
  <si>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</si>
  <si>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</si>
  <si>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</si>
  <si>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</si>
  <si>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</si>
  <si>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</si>
  <si>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</si>
  <si>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</si>
  <si>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</si>
  <si>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</si>
  <si>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</si>
  <si>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</si>
  <si>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</si>
  <si>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</si>
  <si>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</si>
  <si>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</si>
  <si>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</si>
  <si>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</si>
  <si>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</si>
  <si>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</si>
  <si>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</si>
  <si>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</si>
  <si>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</si>
  <si>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</si>
  <si>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</si>
  <si>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</si>
  <si>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</si>
  <si>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</si>
  <si>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</si>
  <si>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</si>
  <si>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</si>
  <si>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</si>
  <si>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</si>
  <si>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</si>
  <si>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</si>
  <si>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</si>
  <si>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</si>
  <si>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</si>
  <si>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</si>
  <si>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</si>
  <si>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</si>
  <si>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</si>
  <si>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</si>
  <si>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</si>
  <si>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</si>
  <si>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</si>
  <si>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</si>
  <si>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</si>
  <si>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</si>
  <si>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</si>
  <si>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</si>
  <si>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</si>
  <si>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</si>
  <si>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</si>
  <si>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</si>
  <si>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</si>
  <si>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</si>
  <si>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</si>
  <si>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</si>
  <si>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</si>
  <si>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</si>
  <si>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</si>
  <si>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</si>
  <si>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</si>
  <si>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</si>
  <si>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</si>
  <si>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</si>
  <si>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</si>
  <si>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</si>
  <si>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</si>
  <si>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</si>
  <si>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</si>
  <si>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</si>
  <si>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</si>
  <si>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</si>
  <si>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</si>
  <si>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</si>
  <si>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</si>
  <si>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</si>
  <si>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</si>
  <si>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</si>
  <si>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</si>
  <si>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</si>
  <si>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</si>
  <si>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</si>
  <si>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</si>
  <si>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</si>
  <si>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</si>
  <si>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</si>
  <si>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</si>
  <si>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</si>
  <si>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</si>
  <si>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</si>
  <si>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</si>
  <si>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</si>
  <si>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</si>
  <si>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</si>
  <si>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</si>
  <si>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</si>
  <si>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</si>
  <si>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</si>
  <si>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</si>
  <si>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</si>
  <si>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</si>
  <si>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</si>
  <si>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</si>
  <si>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</si>
  <si>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</si>
  <si>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</si>
  <si>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</si>
  <si>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</si>
  <si>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</si>
  <si>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</si>
  <si>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</si>
  <si>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</si>
  <si>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</si>
  <si>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</si>
  <si>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</si>
  <si>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</si>
  <si>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</si>
  <si>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</si>
  <si>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</si>
  <si>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</si>
  <si>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</si>
  <si>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</si>
  <si>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</si>
  <si>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</si>
  <si>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</si>
  <si>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</si>
  <si>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</si>
  <si>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</si>
  <si>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</si>
  <si>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</si>
  <si>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</si>
  <si>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</si>
  <si>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</si>
  <si>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</si>
  <si>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</si>
  <si>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</si>
  <si>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</si>
  <si>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</si>
  <si>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</si>
  <si>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</si>
  <si>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</si>
  <si>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</si>
  <si>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</si>
  <si>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</si>
  <si>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</si>
  <si>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</si>
  <si>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</si>
  <si>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</si>
  <si>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</si>
  <si>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</si>
  <si>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</si>
  <si>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</si>
  <si>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</si>
  <si>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</si>
  <si>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</si>
  <si>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</si>
  <si>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</si>
  <si>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</si>
  <si>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</si>
  <si>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</si>
  <si>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</si>
  <si>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</si>
  <si>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</si>
  <si>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</si>
  <si>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</si>
  <si>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</si>
  <si>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</si>
  <si>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</si>
  <si>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</si>
  <si>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</si>
  <si>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</si>
  <si>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</si>
  <si>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</si>
  <si>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</si>
  <si>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</si>
  <si>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</si>
  <si>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</si>
  <si>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</si>
  <si>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</si>
  <si>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</si>
  <si>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</si>
  <si>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</si>
  <si>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</si>
  <si>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</si>
  <si>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</si>
  <si>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</si>
  <si>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</si>
  <si>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</si>
  <si>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</si>
  <si>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</si>
  <si>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</si>
  <si>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</si>
  <si>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</si>
  <si>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</si>
  <si>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</si>
  <si>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</si>
  <si>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</si>
  <si>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</si>
  <si>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</si>
  <si>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</si>
  <si>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</si>
  <si>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</si>
  <si>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</si>
  <si>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</si>
  <si>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</si>
  <si>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</si>
  <si>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</si>
  <si>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</si>
  <si>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</si>
  <si>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</si>
  <si>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</si>
  <si>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</si>
  <si>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</si>
  <si>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</si>
  <si>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</si>
  <si>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</si>
  <si>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</si>
  <si>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</si>
  <si>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</si>
  <si>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</si>
  <si>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</si>
  <si>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</si>
  <si>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</si>
  <si>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</si>
  <si>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</si>
  <si>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</si>
  <si>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</si>
  <si>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</si>
  <si>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</si>
  <si>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</si>
  <si>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</si>
  <si>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</si>
  <si>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</si>
  <si>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</si>
  <si>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</si>
  <si>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</si>
  <si>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</si>
  <si>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</si>
  <si>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</si>
  <si>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</si>
  <si>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</si>
  <si>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</si>
  <si>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</si>
  <si>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</si>
  <si>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</si>
  <si>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</si>
  <si>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</si>
  <si>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</si>
  <si>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</si>
  <si>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</si>
  <si>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</si>
  <si>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</si>
  <si>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</si>
  <si>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</si>
  <si>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</si>
  <si>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</si>
  <si>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</si>
  <si>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</si>
  <si>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</si>
  <si>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</si>
  <si>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</si>
  <si>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</si>
  <si>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</si>
  <si>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</si>
  <si>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</si>
  <si>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</si>
  <si>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</si>
  <si>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</si>
  <si>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</si>
  <si>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</si>
  <si>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</si>
  <si>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</si>
  <si>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</si>
  <si>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</si>
  <si>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</si>
  <si>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</si>
  <si>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</si>
  <si>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</si>
  <si>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</si>
  <si>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</si>
  <si>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</si>
  <si>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</si>
  <si>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</si>
  <si>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</si>
  <si>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</si>
  <si>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</si>
  <si>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</si>
  <si>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</si>
  <si>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</si>
  <si>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</si>
  <si>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</si>
  <si>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</si>
  <si>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</si>
  <si>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</si>
  <si>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</si>
  <si>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</si>
  <si>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</si>
  <si>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</si>
  <si>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</si>
  <si>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</si>
  <si>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</si>
  <si>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</si>
  <si>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</si>
  <si>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</si>
  <si>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</si>
  <si>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</si>
  <si>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</si>
  <si>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</si>
  <si>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</si>
  <si>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</si>
  <si>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</si>
  <si>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</si>
  <si>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</si>
  <si>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</si>
  <si>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</si>
  <si>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</si>
  <si>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</si>
  <si>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</si>
  <si>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</si>
  <si>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</si>
  <si>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</si>
  <si>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</si>
  <si>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</si>
  <si>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</si>
  <si>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</si>
  <si>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</si>
  <si>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</si>
  <si>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</si>
  <si>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</si>
  <si>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</si>
  <si>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</si>
  <si>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</si>
  <si>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</si>
  <si>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</si>
  <si>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</si>
  <si>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</si>
  <si>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</si>
  <si>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</si>
  <si>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</si>
  <si>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</si>
  <si>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</si>
  <si>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</si>
  <si>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</si>
  <si>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</si>
  <si>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</si>
  <si>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</si>
  <si>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</si>
  <si>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</si>
  <si>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</si>
  <si>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</si>
  <si>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</si>
  <si>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</si>
  <si>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</si>
  <si>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</si>
  <si>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</si>
  <si>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</si>
  <si>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</si>
  <si>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</si>
  <si>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</si>
  <si>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</si>
  <si>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</si>
  <si>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</si>
  <si>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</si>
  <si>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</si>
  <si>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</si>
  <si>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</si>
  <si>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</si>
  <si>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</si>
  <si>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</si>
  <si>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</si>
  <si>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</si>
  <si>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</si>
  <si>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</si>
  <si>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</si>
  <si>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</si>
  <si>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</si>
  <si>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</si>
  <si>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</si>
  <si>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</si>
  <si>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</si>
  <si>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</si>
  <si>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</si>
  <si>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</si>
  <si>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</si>
  <si>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</si>
  <si>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</si>
  <si>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</si>
  <si>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</si>
  <si>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</si>
  <si>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</si>
  <si>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</si>
  <si>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</si>
  <si>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</si>
  <si>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</si>
  <si>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</si>
  <si>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</si>
  <si>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</si>
  <si>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</si>
  <si>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</si>
  <si>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</si>
  <si>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</si>
  <si>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</si>
  <si>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</si>
  <si>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</si>
  <si>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</si>
  <si>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</si>
  <si>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</si>
  <si>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</si>
  <si>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</si>
  <si>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</si>
  <si>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</si>
  <si>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</si>
  <si>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</si>
  <si>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</si>
  <si>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</si>
  <si>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</si>
  <si>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</si>
  <si>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</si>
  <si>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</si>
  <si>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</si>
  <si>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</si>
  <si>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</si>
  <si>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</si>
  <si>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</si>
  <si>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</si>
  <si>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</si>
  <si>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</si>
  <si>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</si>
  <si>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</si>
  <si>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</si>
  <si>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</si>
  <si>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</si>
  <si>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</si>
  <si>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</si>
  <si>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</si>
  <si>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</si>
  <si>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</si>
  <si>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</si>
  <si>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</si>
  <si>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</si>
  <si>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</si>
  <si>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</si>
  <si>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</si>
  <si>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</si>
  <si>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</si>
  <si>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</si>
  <si>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</si>
  <si>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</si>
  <si>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</si>
  <si>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</si>
  <si>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</si>
  <si>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</si>
  <si>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</si>
  <si>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</si>
  <si>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</si>
  <si>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</si>
  <si>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</si>
  <si>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</si>
  <si>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</si>
  <si>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</si>
  <si>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</si>
  <si>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</si>
  <si>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</si>
  <si>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</si>
  <si>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</si>
  <si>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</si>
  <si>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</si>
  <si>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</si>
  <si>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</si>
  <si>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</si>
  <si>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</si>
  <si>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</si>
  <si>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</si>
  <si>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</si>
  <si>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</si>
  <si>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</si>
  <si>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</si>
  <si>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</si>
  <si>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</si>
  <si>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</si>
  <si>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</si>
  <si>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</si>
  <si>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</si>
  <si>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</si>
  <si>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</si>
  <si>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</si>
  <si>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</si>
  <si>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</si>
  <si>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</si>
  <si>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</si>
  <si>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</si>
  <si>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</si>
  <si>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</si>
  <si>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</si>
  <si>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</si>
  <si>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</si>
  <si>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</si>
  <si>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</si>
  <si>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</si>
  <si>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</si>
  <si>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</si>
  <si>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</si>
  <si>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</si>
  <si>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</si>
  <si>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</si>
  <si>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</si>
  <si>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</si>
  <si>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</si>
  <si>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</si>
  <si>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</si>
  <si>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</si>
  <si>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</si>
  <si>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</si>
  <si>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</si>
  <si>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</si>
  <si>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</si>
  <si>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</si>
  <si>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</si>
  <si>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</si>
  <si>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</si>
  <si>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</si>
  <si>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</si>
  <si>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</si>
  <si>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</si>
  <si>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</si>
  <si>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</si>
  <si>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</si>
  <si>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</si>
  <si>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</si>
  <si>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</si>
  <si>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</si>
  <si>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</si>
  <si>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</si>
  <si>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</si>
  <si>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</si>
  <si>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</si>
  <si>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</si>
  <si>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</si>
  <si>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</si>
  <si>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</si>
  <si>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</si>
  <si>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</si>
  <si>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</si>
  <si>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</si>
  <si>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</si>
  <si>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</si>
  <si>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</si>
  <si>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</si>
  <si>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</si>
  <si>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</si>
  <si>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</si>
  <si>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</si>
  <si>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</si>
  <si>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</si>
  <si>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</si>
  <si>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</si>
  <si>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</si>
  <si>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</si>
  <si>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</si>
  <si>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</si>
  <si>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</si>
  <si>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</si>
  <si>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</si>
  <si>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</si>
  <si>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</si>
  <si>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</si>
  <si>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</si>
  <si>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</si>
  <si>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</si>
  <si>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</si>
  <si>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</si>
  <si>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</si>
  <si>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</si>
  <si>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</si>
  <si>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</si>
  <si>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</si>
  <si>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</si>
  <si>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</si>
  <si>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</si>
  <si>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</si>
  <si>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</si>
  <si>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</si>
  <si>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</si>
  <si>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</si>
  <si>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</si>
  <si>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</si>
  <si>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</si>
  <si>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</si>
  <si>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</si>
  <si>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</si>
  <si>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</si>
  <si>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</si>
  <si>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</si>
  <si>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</si>
  <si>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</si>
  <si>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</si>
  <si>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</si>
  <si>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</si>
  <si>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</si>
  <si>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</si>
  <si>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</si>
  <si>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</si>
  <si>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</si>
  <si>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</si>
  <si>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</si>
  <si>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</si>
  <si>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</si>
  <si>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</si>
  <si>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</si>
  <si>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</si>
  <si>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</si>
  <si>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</si>
  <si>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</si>
  <si>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</si>
  <si>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</si>
  <si>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</si>
  <si>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</si>
  <si>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</si>
  <si>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</si>
  <si>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</si>
  <si>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</si>
  <si>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</si>
  <si>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</si>
  <si>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</si>
  <si>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</si>
  <si>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</si>
  <si>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</si>
  <si>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</si>
  <si>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</si>
  <si>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</si>
  <si>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</si>
  <si>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</si>
  <si>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</si>
  <si>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</si>
  <si>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</si>
  <si>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</si>
  <si>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</si>
  <si>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</si>
  <si>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</si>
  <si>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</si>
  <si>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</si>
  <si>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</si>
  <si>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</si>
  <si>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</si>
  <si>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</si>
  <si>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</si>
  <si>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</si>
  <si>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</si>
  <si>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</si>
  <si>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</si>
  <si>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</si>
  <si>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</si>
  <si>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</si>
  <si>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</si>
  <si>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</si>
  <si>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</si>
  <si>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</si>
  <si>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</si>
  <si>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</si>
  <si>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</si>
  <si>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</si>
  <si>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</si>
  <si>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</si>
  <si>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</si>
  <si>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</si>
  <si>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</si>
  <si>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</si>
  <si>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</si>
  <si>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</si>
  <si>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</si>
  <si>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</si>
  <si>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</si>
  <si>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</si>
  <si>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</si>
  <si>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</si>
  <si>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</si>
  <si>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</si>
  <si>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</si>
  <si>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</si>
  <si>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</si>
  <si>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</si>
  <si>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</si>
  <si>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</si>
  <si>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</si>
  <si>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</si>
  <si>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</si>
  <si>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</si>
  <si>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</si>
  <si>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</si>
  <si>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</si>
  <si>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</si>
  <si>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</si>
  <si>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</si>
  <si>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</si>
  <si>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</si>
  <si>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</si>
  <si>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</si>
  <si>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</si>
  <si>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</si>
  <si>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</si>
  <si>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</si>
  <si>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</si>
  <si>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</si>
  <si>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</si>
  <si>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</si>
  <si>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</si>
  <si>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</si>
  <si>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</si>
  <si>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</si>
  <si>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</si>
  <si>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</si>
  <si>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</si>
  <si>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</si>
  <si>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</si>
  <si>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</si>
  <si>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</si>
  <si>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</si>
  <si>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</si>
  <si>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</si>
  <si>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</si>
  <si>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</si>
  <si>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</si>
  <si>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</si>
  <si>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</si>
  <si>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</si>
  <si>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</si>
  <si>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</si>
  <si>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</si>
  <si>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</si>
  <si>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</si>
  <si>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</si>
  <si>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</si>
  <si>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</si>
  <si>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</si>
  <si>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</si>
  <si>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</si>
  <si>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</si>
  <si>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</si>
  <si>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</si>
  <si>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</si>
  <si>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</si>
  <si>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</si>
  <si>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</si>
  <si>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</si>
  <si>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</si>
  <si>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</si>
  <si>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</si>
  <si>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</si>
  <si>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</si>
  <si>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</si>
  <si>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</si>
  <si>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</si>
  <si>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</si>
  <si>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</si>
  <si>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</si>
  <si>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</si>
  <si>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</si>
  <si>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</si>
  <si>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</si>
  <si>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</si>
  <si>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</si>
  <si>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</si>
  <si>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</si>
  <si>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</si>
  <si>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</si>
  <si>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</si>
  <si>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</si>
  <si>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</si>
  <si>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</si>
  <si>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</si>
  <si>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</si>
  <si>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</si>
  <si>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</si>
  <si>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</si>
  <si>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</si>
  <si>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</si>
  <si>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</si>
  <si>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</si>
  <si>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</si>
  <si>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</si>
  <si>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</si>
  <si>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</si>
  <si>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</si>
  <si>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</si>
  <si>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</si>
  <si>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</si>
  <si>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</si>
  <si>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</si>
  <si>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</si>
  <si>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</si>
  <si>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</si>
  <si>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</si>
  <si>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</si>
  <si>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</si>
  <si>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</si>
  <si>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</si>
  <si>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</si>
  <si>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</si>
  <si>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</si>
  <si>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</si>
  <si>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</si>
  <si>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</si>
  <si>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</si>
  <si>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</si>
  <si>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</si>
  <si>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</si>
  <si>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</si>
  <si>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</si>
  <si>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</si>
  <si>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</si>
  <si>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</si>
  <si>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</si>
  <si>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</si>
  <si>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</si>
  <si>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</si>
  <si>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</si>
  <si>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</si>
  <si>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</si>
  <si>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</si>
  <si>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</si>
  <si>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</si>
  <si>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</si>
  <si>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</si>
  <si>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</si>
  <si>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</si>
  <si>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</si>
  <si>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</si>
  <si>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</si>
  <si>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</si>
  <si>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</si>
  <si>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</si>
  <si>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</si>
  <si>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</si>
  <si>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</si>
  <si>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</si>
  <si>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</si>
  <si>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</si>
  <si>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</si>
  <si>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</si>
  <si>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</si>
  <si>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</si>
  <si>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</si>
  <si>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</si>
  <si>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</si>
  <si>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</si>
  <si>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</si>
  <si>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</si>
  <si>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</si>
  <si>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</si>
  <si>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</si>
  <si>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</si>
  <si>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</si>
  <si>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</si>
  <si>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</si>
  <si>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</si>
  <si>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</si>
  <si>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</si>
  <si>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</si>
  <si>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</si>
  <si>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</si>
  <si>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</si>
  <si>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</si>
  <si>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</si>
  <si>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</si>
  <si>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</si>
  <si>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</si>
  <si>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</si>
  <si>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</si>
  <si>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</si>
  <si>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</si>
  <si>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</si>
  <si>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</si>
  <si>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</si>
  <si>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</si>
  <si>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</si>
  <si>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</si>
  <si>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</si>
  <si>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</si>
  <si>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</si>
  <si>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</si>
  <si>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</si>
  <si>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</si>
  <si>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</si>
  <si>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</si>
  <si>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</si>
  <si>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</si>
  <si>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</si>
  <si>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</si>
  <si>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</si>
  <si>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</si>
  <si>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</si>
  <si>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</si>
  <si>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</si>
  <si>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</si>
  <si>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</si>
  <si>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</si>
  <si>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</si>
  <si>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</si>
  <si>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</si>
  <si>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</si>
  <si>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</si>
  <si>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</si>
  <si>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</si>
  <si>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</si>
  <si>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</si>
  <si>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</si>
  <si>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</si>
  <si>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</si>
  <si>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</si>
  <si>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</si>
  <si>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</si>
  <si>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</si>
  <si>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</si>
  <si>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</si>
  <si>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</si>
  <si>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</si>
  <si>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</si>
  <si>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</si>
  <si>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</si>
  <si>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</si>
  <si>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</si>
  <si>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</si>
  <si>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</si>
  <si>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</si>
  <si>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</si>
  <si>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</si>
  <si>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</si>
  <si>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</si>
  <si>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</si>
  <si>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</si>
  <si>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</si>
  <si>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</si>
  <si>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</si>
  <si>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</si>
  <si>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Per-day Stock Prices in $</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</si>
  <si>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</si>
  <si>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</si>
  <si>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</si>
  <si>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</si>
  <si>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</si>
  <si>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</si>
  <si>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</si>
  <si>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</si>
  <si>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</si>
  <si>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</si>
  <si>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</si>
  <si>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</si>
  <si>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</si>
  <si>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</si>
  <si>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</si>
  <si>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</si>
  <si>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</si>
  <si>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</si>
  <si>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</si>
  <si>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</si>
  <si>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</si>
  <si>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</si>
  <si>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</si>
  <si>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</si>
  <si>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</si>
  <si>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</si>
  <si>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</si>
  <si>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</si>
  <si>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</si>
  <si>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</si>
  <si>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</si>
  <si>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</si>
  <si>
    <t>Here is a summary of the data:</t>
  </si>
  <si>
    <r>
      <t>Date:</t>
    </r>
    <r>
      <rPr>
        <sz val="11"/>
        <color theme="1"/>
        <rFont val="Calibri"/>
        <family val="2"/>
        <scheme val="minor"/>
      </rPr>
      <t xml:space="preserve"> The dates range from 01-10-2022 to 05-10-2022.</t>
    </r>
  </si>
  <si>
    <r>
      <t>Firms:</t>
    </r>
    <r>
      <rPr>
        <sz val="11"/>
        <color theme="1"/>
        <rFont val="Calibri"/>
        <family val="2"/>
        <scheme val="minor"/>
      </rPr>
      <t xml:space="preserve"> Expected returns are given for Firm A, Firm B, and Firm C.</t>
    </r>
  </si>
  <si>
    <t>The covariance matrix represents the covariance between the expected returns of the firms.</t>
  </si>
  <si>
    <t>The variance-covariance matrix scales the covariance matrix by N(N−1)\frac{N}{(N-1)}(N−1)N​.</t>
  </si>
  <si>
    <t>The sample variance is listed for each firm.</t>
  </si>
  <si>
    <r>
      <t>Firm A:</t>
    </r>
    <r>
      <rPr>
        <sz val="11"/>
        <color theme="1"/>
        <rFont val="Calibri"/>
        <family val="2"/>
        <scheme val="minor"/>
      </rPr>
      <t xml:space="preserve"> 0.008356237</t>
    </r>
  </si>
  <si>
    <r>
      <t>Firm B:</t>
    </r>
    <r>
      <rPr>
        <sz val="11"/>
        <color theme="1"/>
        <rFont val="Calibri"/>
        <family val="2"/>
        <scheme val="minor"/>
      </rPr>
      <t xml:space="preserve"> 0.002345607</t>
    </r>
  </si>
  <si>
    <r>
      <t>Firm C:</t>
    </r>
    <r>
      <rPr>
        <sz val="11"/>
        <color theme="1"/>
        <rFont val="Calibri"/>
        <family val="2"/>
        <scheme val="minor"/>
      </rPr>
      <t xml:space="preserve"> 0.002965597</t>
    </r>
  </si>
  <si>
    <t>Sample Size and Adjustment Factor</t>
  </si>
  <si>
    <r>
      <t>N:</t>
    </r>
    <r>
      <rPr>
        <sz val="11"/>
        <color theme="1"/>
        <rFont val="Calibri"/>
        <family val="2"/>
        <scheme val="minor"/>
      </rPr>
      <t xml:space="preserve"> 5 (sample size)</t>
    </r>
  </si>
  <si>
    <r>
      <t>N/(N-1):</t>
    </r>
    <r>
      <rPr>
        <sz val="11"/>
        <color theme="1"/>
        <rFont val="Calibri"/>
        <family val="2"/>
        <scheme val="minor"/>
      </rPr>
      <t xml:space="preserve"> 1.25 (adjustment factor for sample variance)</t>
    </r>
  </si>
  <si>
    <t>The manual calculation involves computing the mean of each variable and then calculating the deviations from the mean for each data point. The table below summarizes the means and deviations.</t>
  </si>
  <si>
    <t>Variable</t>
  </si>
  <si>
    <t>Deviations</t>
  </si>
  <si>
    <t>(-11, 4, -6, 2, 12)</t>
  </si>
  <si>
    <t>(-15, 0, 4, 12, -1)</t>
  </si>
  <si>
    <t>(9, -2, -8, 6, -7)</t>
  </si>
  <si>
    <t>The covariance matrix calculated manually is as follows:</t>
  </si>
  <si>
    <t>The covariance matrix calculated using the Data Analysis ToolPak matches the manual calculation.</t>
  </si>
  <si>
    <t>Summary</t>
  </si>
  <si>
    <t>Mean values:</t>
  </si>
  <si>
    <t>Xˉ=21\bar{X} = 21Xˉ=21</t>
  </si>
  <si>
    <t>Yˉ=29\bar{Y} = 29Yˉ=29</t>
  </si>
  <si>
    <t>Zˉ=29\bar{Z} = 29Zˉ=29</t>
  </si>
  <si>
    <t>Covariance Matrix (Manual and ToolPak):</t>
  </si>
  <si>
    <t>The covariance values show the degree to which the variables vary together. Positive values indicate that the variables tend to increase together, while negative values indicate an inverse relationship.</t>
  </si>
  <si>
    <t>Stock-wise Returns (%)</t>
  </si>
  <si>
    <t>The covariance matrix represents the covariance between the returns of Stock ABC and Stock LCD.</t>
  </si>
  <si>
    <r>
      <t>Covariance (Stock ABC Returns, Stock LCD Returns):</t>
    </r>
    <r>
      <rPr>
        <sz val="11"/>
        <color theme="1"/>
        <rFont val="Calibri"/>
        <family val="2"/>
        <scheme val="minor"/>
      </rPr>
      <t xml:space="preserve"> 6.74936E-05</t>
    </r>
  </si>
  <si>
    <r>
      <t>Variance (Stock ABC Returns):</t>
    </r>
    <r>
      <rPr>
        <sz val="11"/>
        <color theme="1"/>
        <rFont val="Calibri"/>
        <family val="2"/>
        <scheme val="minor"/>
      </rPr>
      <t xml:space="preserve"> 9.62547E-05</t>
    </r>
  </si>
  <si>
    <r>
      <t>Variance (Stock LCD Returns):</t>
    </r>
    <r>
      <rPr>
        <sz val="11"/>
        <color theme="1"/>
        <rFont val="Calibri"/>
        <family val="2"/>
        <scheme val="minor"/>
      </rPr>
      <t xml:space="preserve"> 0.000167611</t>
    </r>
  </si>
  <si>
    <t>The covariance between the returns of Stock ABC and Stock LCD is positive (6.74936E-05), indicating that the returns of these two stocks tend to move in the same direction. The variance of Stock ABC returns is 9.62547E-05, and the variance of Stock LCD returns is 0.000167611, which reflect the degree of variability in the returns of each stock.</t>
  </si>
  <si>
    <t>Ans</t>
  </si>
  <si>
    <t>Athlete Data</t>
  </si>
  <si>
    <t>Height (inches)</t>
  </si>
  <si>
    <t>Weight (lb)</t>
  </si>
  <si>
    <t>The covariance matrix captures the relationships between the athletes' ages, heights, and weights.</t>
  </si>
  <si>
    <r>
      <t>Variance of Age:</t>
    </r>
    <r>
      <rPr>
        <sz val="11"/>
        <color theme="1"/>
        <rFont val="Calibri"/>
        <family val="2"/>
        <scheme val="minor"/>
      </rPr>
      <t xml:space="preserve"> 13.05</t>
    </r>
  </si>
  <si>
    <r>
      <t>Variance of Height:</t>
    </r>
    <r>
      <rPr>
        <sz val="11"/>
        <color theme="1"/>
        <rFont val="Calibri"/>
        <family val="2"/>
        <scheme val="minor"/>
      </rPr>
      <t xml:space="preserve"> 21.65</t>
    </r>
  </si>
  <si>
    <r>
      <t>Variance of Weight:</t>
    </r>
    <r>
      <rPr>
        <sz val="11"/>
        <color theme="1"/>
        <rFont val="Calibri"/>
        <family val="2"/>
        <scheme val="minor"/>
      </rPr>
      <t xml:space="preserve"> 17.85</t>
    </r>
  </si>
  <si>
    <r>
      <t>Covariance between Age and Height:</t>
    </r>
    <r>
      <rPr>
        <sz val="11"/>
        <color theme="1"/>
        <rFont val="Calibri"/>
        <family val="2"/>
        <scheme val="minor"/>
      </rPr>
      <t xml:space="preserve"> 7.95</t>
    </r>
  </si>
  <si>
    <r>
      <t>Covariance between Age and Weight:</t>
    </r>
    <r>
      <rPr>
        <sz val="11"/>
        <color theme="1"/>
        <rFont val="Calibri"/>
        <family val="2"/>
        <scheme val="minor"/>
      </rPr>
      <t xml:space="preserve"> 7.85</t>
    </r>
  </si>
  <si>
    <r>
      <t>Covariance between Height and Weight:</t>
    </r>
    <r>
      <rPr>
        <sz val="11"/>
        <color theme="1"/>
        <rFont val="Calibri"/>
        <family val="2"/>
        <scheme val="minor"/>
      </rPr>
      <t xml:space="preserve"> 19.05</t>
    </r>
  </si>
  <si>
    <t>The covariance matrix indicates the following:</t>
  </si>
  <si>
    <t>The variance values (diagonal elements) represent the variability of each individual variable.</t>
  </si>
  <si>
    <t>The positive covariance values indicate a direct relationship between the variables:</t>
  </si>
  <si>
    <t>As age increases, both height and weight tend to increase.</t>
  </si>
  <si>
    <t>As height increases, weight also tends to increase, as seen by the high covariance value (19.05).</t>
  </si>
  <si>
    <t>Ans.</t>
  </si>
  <si>
    <t>Subject Scores</t>
  </si>
  <si>
    <t>The covariance matrix captures the relationships between the students' scores in History, Geography, and Mathematics.</t>
  </si>
  <si>
    <r>
      <t>Variance of History:</t>
    </r>
    <r>
      <rPr>
        <sz val="11"/>
        <color theme="1"/>
        <rFont val="Calibri"/>
        <family val="2"/>
        <scheme val="minor"/>
      </rPr>
      <t xml:space="preserve"> 58.96</t>
    </r>
  </si>
  <si>
    <r>
      <t>Variance of Geography:</t>
    </r>
    <r>
      <rPr>
        <sz val="11"/>
        <color theme="1"/>
        <rFont val="Calibri"/>
        <family val="2"/>
        <scheme val="minor"/>
      </rPr>
      <t xml:space="preserve"> 72.8</t>
    </r>
  </si>
  <si>
    <r>
      <t>Variance of Mathematics:</t>
    </r>
    <r>
      <rPr>
        <sz val="11"/>
        <color theme="1"/>
        <rFont val="Calibri"/>
        <family val="2"/>
        <scheme val="minor"/>
      </rPr>
      <t xml:space="preserve"> 84.4</t>
    </r>
  </si>
  <si>
    <r>
      <t>Covariance between History and Geography:</t>
    </r>
    <r>
      <rPr>
        <sz val="11"/>
        <color theme="1"/>
        <rFont val="Calibri"/>
        <family val="2"/>
        <scheme val="minor"/>
      </rPr>
      <t xml:space="preserve"> 57.2</t>
    </r>
  </si>
  <si>
    <r>
      <t>Covariance between History and Mathematics:</t>
    </r>
    <r>
      <rPr>
        <sz val="11"/>
        <color theme="1"/>
        <rFont val="Calibri"/>
        <family val="2"/>
        <scheme val="minor"/>
      </rPr>
      <t xml:space="preserve"> -23</t>
    </r>
  </si>
  <si>
    <r>
      <t>Covariance between Geography and Mathematics:</t>
    </r>
    <r>
      <rPr>
        <sz val="11"/>
        <color theme="1"/>
        <rFont val="Calibri"/>
        <family val="2"/>
        <scheme val="minor"/>
      </rPr>
      <t xml:space="preserve"> -12.4</t>
    </r>
  </si>
  <si>
    <t>The variance values (diagonal elements) represent the variability of each individual subject score.</t>
  </si>
  <si>
    <t>Positive covariance between History and Geography (57.2) suggests that students who score high in History also tend to score high in Geography.</t>
  </si>
  <si>
    <t>Negative covariance between History and Mathematics (-23) and Geography and Mathematics (-12.4) suggests that higher scores in History and Geography tend to be associated with lower scores in Mathematics and vice versa.</t>
  </si>
  <si>
    <t>Per-day Stock Prices</t>
  </si>
  <si>
    <t>The covariance matrix captures the relationships between the stock prices of Apple, Amazon, Alphabet, and Microsoft.</t>
  </si>
  <si>
    <r>
      <t>Variance of Apple:</t>
    </r>
    <r>
      <rPr>
        <sz val="11"/>
        <color theme="1"/>
        <rFont val="Calibri"/>
        <family val="2"/>
        <scheme val="minor"/>
      </rPr>
      <t xml:space="preserve"> 64.958904</t>
    </r>
  </si>
  <si>
    <r>
      <t>Variance of Amazon:</t>
    </r>
    <r>
      <rPr>
        <sz val="11"/>
        <color theme="1"/>
        <rFont val="Calibri"/>
        <family val="2"/>
        <scheme val="minor"/>
      </rPr>
      <t xml:space="preserve"> 69.538016</t>
    </r>
  </si>
  <si>
    <r>
      <t>Variance of Alphabet:</t>
    </r>
    <r>
      <rPr>
        <sz val="11"/>
        <color theme="1"/>
        <rFont val="Calibri"/>
        <family val="2"/>
        <scheme val="minor"/>
      </rPr>
      <t xml:space="preserve"> 63.362376</t>
    </r>
  </si>
  <si>
    <r>
      <t>Variance of Microsoft:</t>
    </r>
    <r>
      <rPr>
        <sz val="11"/>
        <color theme="1"/>
        <rFont val="Calibri"/>
        <family val="2"/>
        <scheme val="minor"/>
      </rPr>
      <t xml:space="preserve"> 66.35788</t>
    </r>
  </si>
  <si>
    <r>
      <t>Covariance between Apple and Amazon:</t>
    </r>
    <r>
      <rPr>
        <sz val="11"/>
        <color theme="1"/>
        <rFont val="Calibri"/>
        <family val="2"/>
        <scheme val="minor"/>
      </rPr>
      <t xml:space="preserve"> 42.221988</t>
    </r>
  </si>
  <si>
    <r>
      <t>Covariance between Apple and Alphabet:</t>
    </r>
    <r>
      <rPr>
        <sz val="11"/>
        <color theme="1"/>
        <rFont val="Calibri"/>
        <family val="2"/>
        <scheme val="minor"/>
      </rPr>
      <t xml:space="preserve"> 41.749612</t>
    </r>
  </si>
  <si>
    <r>
      <t>Covariance between Apple and Microsoft:</t>
    </r>
    <r>
      <rPr>
        <sz val="11"/>
        <color theme="1"/>
        <rFont val="Calibri"/>
        <family val="2"/>
        <scheme val="minor"/>
      </rPr>
      <t xml:space="preserve"> 12.86334</t>
    </r>
  </si>
  <si>
    <r>
      <t>Covariance between Amazon and Alphabet:</t>
    </r>
    <r>
      <rPr>
        <sz val="11"/>
        <color theme="1"/>
        <rFont val="Calibri"/>
        <family val="2"/>
        <scheme val="minor"/>
      </rPr>
      <t xml:space="preserve"> 46.408204</t>
    </r>
  </si>
  <si>
    <r>
      <t>Covariance between Amazon and Microsoft:</t>
    </r>
    <r>
      <rPr>
        <sz val="11"/>
        <color theme="1"/>
        <rFont val="Calibri"/>
        <family val="2"/>
        <scheme val="minor"/>
      </rPr>
      <t xml:space="preserve"> 36.81778</t>
    </r>
  </si>
  <si>
    <r>
      <t>Covariance between Alphabet and Microsoft:</t>
    </r>
    <r>
      <rPr>
        <sz val="11"/>
        <color theme="1"/>
        <rFont val="Calibri"/>
        <family val="2"/>
        <scheme val="minor"/>
      </rPr>
      <t xml:space="preserve"> 30.14246</t>
    </r>
  </si>
  <si>
    <t>The variance values (diagonal elements) represent the variability of each individual stock price.</t>
  </si>
  <si>
    <t>Positive covariance values indicate that when the price of one stock increases, the prices of the other stocks also tend to increase.</t>
  </si>
  <si>
    <t>For example, the covariance between Apple and Amazon is 42.221988, indicating a positive relationship between their stock prices.</t>
  </si>
  <si>
    <t>The covariance values are relatively high, suggesting that the stock prices of these companies tend to move together.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</si>
</sst>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quot;$&quot;#,##0_);[Red]\(&quot;$&quot;#,##0\)"/>
    <numFmt numFmtId="165" formatCode="&quot;$&quot;#,##0.00_);[Red]\(&quot;$&quot;#,##0.00\)"/>
    <numFmt numFmtId="166" formatCode="_([$€-2]* #,##0.00_);_([$€-2]* \(#,##0.00\);_([$€-2]* &quot;-&quot;??_)"/>
    <numFmt numFmtId="167" formatCode="&quot;$&quot;#,##0.00"/>
    <numFmt numFmtId="168" formatCode="[$-F400]h:mm:ss\ AM/PM"/>
    <numFmt numFmtId="169" formatCode="dddd"/>
    <numFmt numFmtId="170" formatCode="[$-409]m/d/yy\ h:mm\ AM/PM;@"/>
    <numFmt numFmtId="171" formatCode="[$-409]mmm\-yy;@"/>
    <numFmt numFmtId="172" formatCode="[$-409]mmmm\-yy;@"/>
    <numFmt numFmtId="173" formatCode="#\ ???/???"/>
    <numFmt numFmtId="174" formatCode="[$-F800]dddd\,\ mmmm\ dd\,\ yyyy"/>
    <numFmt numFmtId="175" formatCode="[$-409]mmmm\ d\,\ yyyy;@"/>
    <numFmt numFmtId="176" formatCode="#\ ?/10"/>
    <numFmt numFmtId="177" formatCode="#\ ??/50"/>
    <numFmt numFmtId="178" formatCode="0.000"/>
    <numFmt numFmtId="179" formatCode="0%;[Red]\-0%"/>
    <numFmt numFmtId="180" formatCode="0.0%"/>
    <numFmt numFmtId="181" formatCode="0.00000"/>
    <numFmt numFmtId="182" formatCode="00%;[Red]\-0.00%"/>
    <numFmt numFmtId="183" formatCode="&quot;$&quot;#,##0"/>
    <numFmt numFmtId="184" formatCode="0.0000"/>
  </numFmts>
  <fonts count="55">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
      <b/>
      <sz val="13.5"/>
      <color theme="1"/>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85">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7"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7"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8" fontId="20" fillId="0" borderId="0" xfId="0" applyNumberFormat="1" applyFont="1"/>
    <xf numFmtId="20" fontId="5" fillId="0" borderId="1" xfId="0" applyNumberFormat="1" applyFont="1" applyBorder="1" applyAlignment="1">
      <alignment horizontal="center"/>
    </xf>
    <xf numFmtId="168" fontId="0" fillId="0" borderId="0" xfId="0" applyNumberFormat="1"/>
    <xf numFmtId="9" fontId="0" fillId="0" borderId="1" xfId="0" applyNumberFormat="1" applyBorder="1" applyAlignment="1">
      <alignment horizontal="center"/>
    </xf>
    <xf numFmtId="164" fontId="0" fillId="0" borderId="1" xfId="0" applyNumberFormat="1" applyBorder="1" applyAlignment="1">
      <alignment horizontal="center"/>
    </xf>
    <xf numFmtId="165" fontId="5" fillId="0" borderId="1" xfId="0" applyNumberFormat="1" applyFont="1" applyBorder="1" applyAlignment="1">
      <alignment horizontal="center"/>
    </xf>
    <xf numFmtId="165" fontId="0" fillId="0" borderId="0" xfId="0" applyNumberFormat="1"/>
    <xf numFmtId="0" fontId="5" fillId="0" borderId="5" xfId="0" applyFont="1" applyBorder="1" applyAlignment="1">
      <alignment horizontal="center"/>
    </xf>
    <xf numFmtId="164"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164"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7"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9" fontId="0" fillId="0" borderId="1" xfId="0" applyNumberFormat="1" applyBorder="1" applyAlignment="1">
      <alignment horizontal="center"/>
    </xf>
    <xf numFmtId="169"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9"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165"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70" fontId="0" fillId="0" borderId="1" xfId="0" applyNumberFormat="1" applyBorder="1" applyAlignment="1">
      <alignment horizontal="center"/>
    </xf>
    <xf numFmtId="170"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164" fontId="8" fillId="0" borderId="1" xfId="0" applyNumberFormat="1" applyFont="1" applyBorder="1" applyAlignment="1">
      <alignment horizontal="center"/>
    </xf>
    <xf numFmtId="0" fontId="8" fillId="0" borderId="1" xfId="0" applyFont="1" applyBorder="1" applyAlignment="1">
      <alignment horizontal="center"/>
    </xf>
    <xf numFmtId="164"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7"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71"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164" fontId="0" fillId="0" borderId="20" xfId="0" applyNumberFormat="1" applyBorder="1" applyAlignment="1">
      <alignment horizontal="center"/>
    </xf>
    <xf numFmtId="9" fontId="0" fillId="0" borderId="20" xfId="0" applyNumberFormat="1" applyBorder="1" applyAlignment="1">
      <alignment horizontal="center"/>
    </xf>
    <xf numFmtId="167" fontId="5" fillId="0" borderId="23" xfId="0" applyNumberFormat="1" applyFont="1" applyBorder="1" applyAlignment="1">
      <alignment horizontal="center"/>
    </xf>
    <xf numFmtId="167" fontId="5" fillId="0" borderId="17" xfId="0" applyNumberFormat="1" applyFont="1" applyBorder="1" applyAlignment="1">
      <alignment vertical="center"/>
    </xf>
    <xf numFmtId="167" fontId="5" fillId="0" borderId="10" xfId="0" applyNumberFormat="1" applyFont="1" applyBorder="1" applyAlignment="1">
      <alignment vertical="center"/>
    </xf>
    <xf numFmtId="167" fontId="5" fillId="0" borderId="44" xfId="0" applyNumberFormat="1" applyFont="1" applyBorder="1" applyAlignment="1">
      <alignment vertical="center"/>
    </xf>
    <xf numFmtId="167" fontId="5" fillId="0" borderId="1" xfId="0" applyNumberFormat="1" applyFont="1" applyBorder="1" applyAlignment="1">
      <alignment vertical="center"/>
    </xf>
    <xf numFmtId="167" fontId="5" fillId="0" borderId="20" xfId="0" applyNumberFormat="1" applyFont="1" applyBorder="1" applyAlignment="1">
      <alignment horizontal="center"/>
    </xf>
    <xf numFmtId="164" fontId="0" fillId="0" borderId="22" xfId="0" applyNumberFormat="1" applyBorder="1" applyAlignment="1">
      <alignment horizontal="center"/>
    </xf>
    <xf numFmtId="167" fontId="5" fillId="0" borderId="22" xfId="0" applyNumberFormat="1" applyFont="1" applyBorder="1" applyAlignment="1">
      <alignment horizontal="center"/>
    </xf>
    <xf numFmtId="0" fontId="0" fillId="0" borderId="24" xfId="0" applyBorder="1" applyAlignment="1">
      <alignment horizontal="center"/>
    </xf>
    <xf numFmtId="167" fontId="5" fillId="0" borderId="25" xfId="0" applyNumberFormat="1" applyFont="1" applyBorder="1" applyAlignment="1">
      <alignment horizontal="center"/>
    </xf>
    <xf numFmtId="167" fontId="5" fillId="0" borderId="1" xfId="0" applyNumberFormat="1" applyFont="1" applyBorder="1" applyAlignment="1">
      <alignment horizontal="center" vertical="center"/>
    </xf>
    <xf numFmtId="164"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165" fontId="5" fillId="0" borderId="23" xfId="0" applyNumberFormat="1" applyFont="1" applyBorder="1" applyAlignment="1">
      <alignment horizontal="center"/>
    </xf>
    <xf numFmtId="165" fontId="5" fillId="0" borderId="25" xfId="0" applyNumberFormat="1" applyFont="1"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5"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7"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2"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3" fontId="0" fillId="0" borderId="1" xfId="0" applyNumberFormat="1" applyBorder="1" applyAlignment="1">
      <alignment horizontal="left"/>
    </xf>
    <xf numFmtId="13" fontId="5" fillId="0" borderId="1" xfId="0" applyNumberFormat="1" applyFont="1" applyBorder="1" applyAlignment="1">
      <alignment horizontal="center"/>
    </xf>
    <xf numFmtId="173"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164"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165" fontId="47" fillId="0" borderId="20" xfId="0" applyNumberFormat="1" applyFont="1" applyBorder="1" applyAlignment="1">
      <alignment horizontal="center"/>
    </xf>
    <xf numFmtId="165" fontId="47" fillId="0" borderId="23" xfId="0" applyNumberFormat="1" applyFont="1" applyBorder="1" applyAlignment="1">
      <alignment horizontal="center"/>
    </xf>
    <xf numFmtId="0" fontId="0" fillId="5" borderId="1" xfId="0" applyFill="1" applyBorder="1" applyAlignment="1">
      <alignment horizontal="center"/>
    </xf>
    <xf numFmtId="165"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7"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3"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4" fontId="0" fillId="0" borderId="0" xfId="0" applyNumberFormat="1"/>
    <xf numFmtId="0" fontId="0" fillId="0" borderId="1" xfId="0" quotePrefix="1" applyBorder="1"/>
    <xf numFmtId="174" fontId="0" fillId="0" borderId="1" xfId="0" applyNumberFormat="1" applyBorder="1" applyAlignment="1">
      <alignment horizontal="center"/>
    </xf>
    <xf numFmtId="0" fontId="0" fillId="0" borderId="1" xfId="0" quotePrefix="1" applyBorder="1" applyAlignment="1">
      <alignment horizontal="left"/>
    </xf>
    <xf numFmtId="164"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164"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7"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5" fontId="0" fillId="0" borderId="1" xfId="0" applyNumberFormat="1" applyBorder="1" applyAlignment="1">
      <alignment horizontal="center"/>
    </xf>
    <xf numFmtId="20" fontId="0" fillId="0" borderId="1" xfId="0" quotePrefix="1" applyNumberFormat="1" applyBorder="1" applyAlignment="1">
      <alignment horizontal="center"/>
    </xf>
    <xf numFmtId="168" fontId="5" fillId="0" borderId="1" xfId="0" applyNumberFormat="1" applyFont="1" applyBorder="1" applyAlignment="1">
      <alignment horizontal="center"/>
    </xf>
    <xf numFmtId="174"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6" fontId="5" fillId="0" borderId="1" xfId="0" applyNumberFormat="1" applyFont="1" applyBorder="1" applyAlignment="1">
      <alignment horizontal="center"/>
    </xf>
    <xf numFmtId="177" fontId="5" fillId="0" borderId="1" xfId="0" applyNumberFormat="1" applyFont="1" applyBorder="1" applyAlignment="1">
      <alignment horizontal="center"/>
    </xf>
    <xf numFmtId="177" fontId="0" fillId="0" borderId="1" xfId="0" applyNumberFormat="1" applyBorder="1" applyAlignment="1">
      <alignment horizontal="center"/>
    </xf>
    <xf numFmtId="178"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9" fontId="0" fillId="0" borderId="0" xfId="0" applyNumberFormat="1"/>
    <xf numFmtId="9" fontId="0" fillId="0" borderId="0" xfId="2" applyFont="1"/>
    <xf numFmtId="180" fontId="0" fillId="0" borderId="0" xfId="2" applyNumberFormat="1" applyFont="1"/>
    <xf numFmtId="181" fontId="0" fillId="0" borderId="0" xfId="0" applyNumberFormat="1"/>
    <xf numFmtId="180" fontId="5" fillId="0" borderId="1" xfId="0" applyNumberFormat="1" applyFont="1" applyBorder="1" applyAlignment="1">
      <alignment horizontal="center"/>
    </xf>
    <xf numFmtId="180" fontId="0" fillId="0" borderId="0" xfId="0" applyNumberFormat="1"/>
    <xf numFmtId="182" fontId="5" fillId="0" borderId="1" xfId="0" applyNumberFormat="1" applyFont="1" applyBorder="1" applyAlignment="1">
      <alignment horizontal="center"/>
    </xf>
    <xf numFmtId="183" fontId="0" fillId="0" borderId="1" xfId="0" applyNumberFormat="1" applyBorder="1" applyAlignment="1">
      <alignment horizontal="center"/>
    </xf>
    <xf numFmtId="0" fontId="0" fillId="0" borderId="32" xfId="0" applyBorder="1" applyAlignment="1">
      <alignment horizontal="center"/>
    </xf>
    <xf numFmtId="183" fontId="5" fillId="0" borderId="1" xfId="0" applyNumberFormat="1" applyFont="1" applyBorder="1" applyAlignment="1">
      <alignment horizontal="center"/>
    </xf>
    <xf numFmtId="0" fontId="0" fillId="6" borderId="1" xfId="0" applyFill="1" applyBorder="1" applyAlignment="1">
      <alignment horizontal="center"/>
    </xf>
    <xf numFmtId="167" fontId="5" fillId="6" borderId="1" xfId="0" applyNumberFormat="1" applyFont="1" applyFill="1" applyBorder="1" applyAlignment="1">
      <alignment horizontal="center"/>
    </xf>
    <xf numFmtId="183" fontId="5" fillId="6" borderId="1" xfId="0" applyNumberFormat="1" applyFont="1" applyFill="1" applyBorder="1" applyAlignment="1">
      <alignment horizontal="center"/>
    </xf>
    <xf numFmtId="183" fontId="0" fillId="0" borderId="20" xfId="0" applyNumberFormat="1" applyBorder="1" applyAlignment="1">
      <alignment horizontal="center"/>
    </xf>
    <xf numFmtId="0" fontId="2" fillId="2" borderId="56" xfId="0" applyFont="1" applyFill="1" applyBorder="1" applyAlignment="1">
      <alignment horizontal="center" vertical="center"/>
    </xf>
    <xf numFmtId="183" fontId="5" fillId="0" borderId="23" xfId="0" applyNumberFormat="1" applyFont="1" applyBorder="1" applyAlignment="1">
      <alignment horizontal="center"/>
    </xf>
    <xf numFmtId="183"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7"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4"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54" fillId="0" borderId="0" xfId="0" applyFont="1" applyAlignment="1">
      <alignment vertical="center"/>
    </xf>
    <xf numFmtId="0" fontId="0" fillId="0" borderId="0" xfId="0" applyAlignment="1">
      <alignment horizontal="left" vertical="center" indent="1"/>
    </xf>
    <xf numFmtId="0" fontId="5" fillId="0" borderId="0" xfId="0" applyFont="1" applyAlignment="1">
      <alignment horizontal="left" vertical="center" indent="1"/>
    </xf>
    <xf numFmtId="0" fontId="5" fillId="0" borderId="0" xfId="0" applyFont="1" applyAlignment="1">
      <alignment horizontal="center" vertical="center" wrapText="1"/>
    </xf>
    <xf numFmtId="14" fontId="0" fillId="0" borderId="0" xfId="0" applyNumberFormat="1" applyAlignment="1">
      <alignment vertical="center" wrapText="1"/>
    </xf>
    <xf numFmtId="0" fontId="5" fillId="0" borderId="0" xfId="0" applyFont="1" applyAlignment="1">
      <alignment vertical="center" wrapText="1"/>
    </xf>
    <xf numFmtId="0" fontId="0" fillId="0" borderId="0" xfId="0" applyAlignment="1">
      <alignment horizontal="left" vertical="center" indent="2"/>
    </xf>
    <xf numFmtId="0" fontId="0" fillId="0" borderId="1" xfId="0" applyBorder="1" applyAlignment="1">
      <alignment vertical="center" wrapText="1"/>
    </xf>
    <xf numFmtId="0" fontId="5" fillId="0" borderId="1" xfId="0" applyFont="1" applyBorder="1" applyAlignment="1">
      <alignment vertical="center" wrapText="1"/>
    </xf>
    <xf numFmtId="10" fontId="0" fillId="0" borderId="1" xfId="0" applyNumberFormat="1" applyBorder="1" applyAlignment="1">
      <alignment vertical="center" wrapText="1"/>
    </xf>
    <xf numFmtId="11" fontId="0" fillId="0" borderId="1" xfId="0" applyNumberFormat="1" applyBorder="1" applyAlignment="1">
      <alignment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7" fontId="5" fillId="0" borderId="1" xfId="0" applyNumberFormat="1" applyFont="1" applyBorder="1" applyAlignment="1">
      <alignment horizontal="center" vertical="center"/>
    </xf>
    <xf numFmtId="167" fontId="5" fillId="0" borderId="4" xfId="0" applyNumberFormat="1" applyFont="1" applyBorder="1" applyAlignment="1">
      <alignment horizontal="center" vertical="center"/>
    </xf>
    <xf numFmtId="167"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164"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0" fillId="0" borderId="0" xfId="0" applyNumberFormat="1"/>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pivotCacheDefinition" Target="pivotCache/pivotCacheDefinition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sharedStrings" Target="sharedStrings.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pivotCacheDefinition" Target="pivotCache/pivotCacheDefinition2.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pivotCacheDefinition" Target="pivotCache/pivotCacheDefinition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theme" Target="theme/theme1.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F9BF0213-44C8-4DF0-BDDB-59D497182D2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7FFE5E31-59A5-4A67-AE77-8BCFA15830D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F82BCC38-7FAF-48A3-9318-5040FB934BA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F4AAED44-3DC3-4551-99A7-EC31E001AB4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8AB57D3A-8211-4215-BD19-ECAD1A671A6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CD8B763E-DDD4-4280-8B78-4ABC4A71709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1A64F62A-8571-46DD-9A51-2CD55BE0274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59C-4B26-92EF-03C53E7CF69A}"/>
                </c:ext>
              </c:extLst>
            </c:dLbl>
            <c:dLbl>
              <c:idx val="2"/>
              <c:tx>
                <c:rich>
                  <a:bodyPr/>
                  <a:lstStyle/>
                  <a:p>
                    <a:fld id="{D2BB3B44-DE98-400A-BA62-6A6BA2C7365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1FAD4642-B71C-4DF9-9D1F-B8C76D11A73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59C-4B26-92EF-03C53E7CF69A}"/>
                </c:ext>
              </c:extLst>
            </c:dLbl>
            <c:dLbl>
              <c:idx val="5"/>
              <c:tx>
                <c:rich>
                  <a:bodyPr/>
                  <a:lstStyle/>
                  <a:p>
                    <a:fld id="{AD0C356D-6550-4852-916C-DC316BF639E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359C-4B26-92EF-03C53E7CF69A}"/>
                </c:ext>
              </c:extLst>
            </c:dLbl>
            <c:dLbl>
              <c:idx val="8"/>
              <c:tx>
                <c:rich>
                  <a:bodyPr/>
                  <a:lstStyle/>
                  <a:p>
                    <a:fld id="{4CC47D97-537F-44E2-8C05-43E5237F446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39B78602-D34A-4879-89D8-600F83216C0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359C-4B26-92EF-03C53E7CF69A}"/>
                </c:ext>
              </c:extLst>
            </c:dLbl>
            <c:dLbl>
              <c:idx val="11"/>
              <c:tx>
                <c:rich>
                  <a:bodyPr/>
                  <a:lstStyle/>
                  <a:p>
                    <a:fld id="{6281D184-3C89-4575-B8CF-33C1D3577B0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D88AF147-C9D3-44E6-BEDE-9CD2A0971BB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CDC70AFF-B8F9-4106-BC81-67EE4746F70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45B3F440-546E-4906-BE6A-4E4BB3BE90B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8F9DD3CD-FC5C-4E17-A987-CC953252DB5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D3560202-1210-4952-9052-4059FD965D0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7B3C0B41-DDE8-4F7D-91E6-F537D2A09D2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DE025353-7B20-436F-A7A3-73857D1E5470}"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2A884B27-4231-4BA3-B8AA-62CB8CF3C05F}"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E38B5FDF-1D2F-4C7F-ABDD-8870DFDC7FC1}"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04170B9A-1741-4D29-8D9D-CC971B29E970}"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6221CC3B-9E40-4949-9949-832AAE9F39B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1F35F0A8-406C-4277-8CEE-C8F65AB13D78}"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D390F92A-A600-48EC-BBBC-AF4AD0CD5E8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ED86F3E1-8A86-43C1-9D22-C16ADA3F91D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8302108B-2FD7-4BBA-9A13-BDEAA595AB6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938E157B-D5F1-4E4A-86E9-2C99ED7F116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B2C03A65-A14E-42E0-B0A0-754D39D1F92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E80CE6CC-AFC0-4B41-BFF4-C9CB0B4DFCA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7E538457-053A-4D1B-A3FA-4C02B145C8B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486CBDF4-2D5E-4A9D-A50C-A1985E30506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73C6F592-A1D1-44B3-8E49-AE95C29F239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735DB95B-CD77-41F6-9169-4B845248522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2441796E-9440-4294-8504-9655BC80A1F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0327572A-0E88-4691-8A6F-B816649C510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34676A9E-F551-4DEF-B59B-486A63A6001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4C6729FB-24AD-467E-B229-55D9D219D88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F9F58208-DE79-4A2E-9AD9-3B20EF596F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FBBCFC60-55A0-4595-84CD-655C2C24F5C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8435ED62-783E-46FC-9167-4D3E5DB0A37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13B0AAAE-2358-4710-B76C-02F72591C3C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968F6817-8C07-425E-8D49-675E1740838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62163" y="184150"/>
              <a:ext cx="4876800" cy="2698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63888" y="622300"/>
              <a:ext cx="7867650" cy="2686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3475" y="622300"/>
              <a:ext cx="48768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95687" y="546100"/>
              <a:ext cx="6765925" cy="2657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19374" y="190500"/>
              <a:ext cx="6423026"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9525</xdr:rowOff>
        </xdr:from>
        <xdr:to>
          <xdr:col>8</xdr:col>
          <xdr:colOff>600075</xdr:colOff>
          <xdr:row>19</xdr:row>
          <xdr:rowOff>180975</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3788" y="184150"/>
              <a:ext cx="4876800" cy="2698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36788" y="355600"/>
              <a:ext cx="48387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86175" y="622300"/>
              <a:ext cx="48387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62288" y="174625"/>
              <a:ext cx="48387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68425" y="66675"/>
              <a:ext cx="48387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77988" y="53975"/>
              <a:ext cx="4838700" cy="2695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UNJ" refreshedDate="45483.508367361108" createdVersion="6" refreshedVersion="8"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1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4.25"/>
  <cols>
    <col min="1" max="1" width="14.8632812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4.25"/>
  <cols>
    <col min="3" max="3" width="21.73046875" bestFit="1" customWidth="1"/>
    <col min="4" max="4" width="40.398437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4.25"/>
  <cols>
    <col min="1" max="1" width="14.59765625" bestFit="1" customWidth="1"/>
    <col min="2" max="2" width="9.8632812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4.25"/>
  <cols>
    <col min="1" max="1" width="13.86328125" bestFit="1" customWidth="1"/>
    <col min="3" max="3" width="14.8632812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4.25"/>
  <cols>
    <col min="1" max="1" width="16.1328125" bestFit="1" customWidth="1"/>
    <col min="2" max="2" width="15.73046875" bestFit="1" customWidth="1"/>
    <col min="3" max="3" width="19.3984375" bestFit="1" customWidth="1"/>
    <col min="4" max="4" width="22.7304687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4.25"/>
  <cols>
    <col min="1" max="1" width="15.1328125" bestFit="1" customWidth="1"/>
    <col min="2" max="2" width="18.1328125" bestFit="1" customWidth="1"/>
    <col min="3" max="3" width="19.7304687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4.25"/>
  <cols>
    <col min="1" max="1" width="23.1328125" bestFit="1" customWidth="1"/>
    <col min="2" max="2" width="11.265625" customWidth="1"/>
    <col min="3" max="3" width="12.3984375" customWidth="1"/>
    <col min="4" max="4" width="11.3984375" customWidth="1"/>
    <col min="7" max="7" width="27.1328125" bestFit="1" customWidth="1"/>
    <col min="8" max="8" width="21.86328125" customWidth="1"/>
    <col min="9" max="9" width="21.86328125" bestFit="1" customWidth="1"/>
  </cols>
  <sheetData>
    <row r="1" spans="1:9" ht="41.1"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4.25"/>
  <cols>
    <col min="1" max="1" width="17.1328125" bestFit="1" customWidth="1"/>
    <col min="2" max="2" width="19.73046875" bestFit="1" customWidth="1"/>
    <col min="3" max="3" width="14.86328125" bestFit="1" customWidth="1"/>
    <col min="4" max="4" width="27.5976562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4.25"/>
  <cols>
    <col min="1" max="1" width="11.86328125" bestFit="1" customWidth="1"/>
    <col min="2" max="2" width="10.86328125" bestFit="1" customWidth="1"/>
    <col min="3" max="3" width="15.86328125" bestFit="1" customWidth="1"/>
    <col min="4" max="4" width="11.86328125" bestFit="1" customWidth="1"/>
    <col min="5" max="6" width="9.8632812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4.25"/>
  <cols>
    <col min="1" max="1" width="12.86328125" bestFit="1" customWidth="1"/>
    <col min="2" max="2" width="11.59765625" bestFit="1" customWidth="1"/>
    <col min="3" max="3" width="15.73046875" bestFit="1" customWidth="1"/>
    <col min="6" max="6" width="16.8632812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4.25"/>
  <cols>
    <col min="2" max="2" width="26.1328125" bestFit="1" customWidth="1"/>
    <col min="3" max="3" width="25.8632812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4.25"/>
  <cols>
    <col min="1" max="1" width="9.86328125" style="14" bestFit="1" customWidth="1"/>
    <col min="2" max="2" width="7.86328125" style="14" bestFit="1" customWidth="1"/>
    <col min="3" max="3" width="8.73046875" style="14" customWidth="1"/>
    <col min="4" max="4" width="8.86328125" style="14" bestFit="1" customWidth="1"/>
    <col min="5" max="5" width="8.73046875" customWidth="1"/>
  </cols>
  <sheetData>
    <row r="1" spans="1:4" ht="51.95"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4.25"/>
  <cols>
    <col min="3" max="3" width="12.1328125" bestFit="1" customWidth="1"/>
    <col min="4" max="4" width="12.7304687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4.25"/>
  <cols>
    <col min="1" max="1" width="16.3984375" bestFit="1" customWidth="1"/>
    <col min="2" max="2" width="10.59765625" bestFit="1" customWidth="1"/>
    <col min="3" max="3" width="13.1328125" bestFit="1" customWidth="1"/>
    <col min="4" max="4" width="10.59765625" bestFit="1" customWidth="1"/>
    <col min="5" max="5" width="14.8632812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4.25"/>
  <cols>
    <col min="2" max="2" width="13.5976562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4.25"/>
  <cols>
    <col min="1" max="1" width="17.59765625" bestFit="1" customWidth="1"/>
    <col min="2" max="2" width="11.265625" bestFit="1" customWidth="1"/>
    <col min="3" max="3" width="11.59765625" bestFit="1" customWidth="1"/>
    <col min="4" max="4" width="13.398437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4.25"/>
  <cols>
    <col min="1" max="1" width="28.86328125" bestFit="1" customWidth="1"/>
    <col min="2" max="2" width="16.59765625" bestFit="1" customWidth="1"/>
    <col min="3" max="3" width="17.73046875" bestFit="1" customWidth="1"/>
    <col min="4" max="4" width="15.5976562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4.25"/>
  <cols>
    <col min="2" max="2" width="9.132812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4.25"/>
  <cols>
    <col min="1" max="1" width="16.1328125" bestFit="1" customWidth="1"/>
    <col min="3" max="3" width="9.1328125" bestFit="1" customWidth="1"/>
    <col min="4" max="4" width="11.398437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4.25"/>
  <cols>
    <col min="1" max="1" width="13.1328125" bestFit="1" customWidth="1"/>
    <col min="2" max="2" width="9.3984375" bestFit="1" customWidth="1"/>
    <col min="3" max="3" width="13.398437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4.25"/>
  <cols>
    <col min="1" max="1" width="16.3984375" bestFit="1" customWidth="1"/>
    <col min="2" max="2" width="58.3984375" bestFit="1" customWidth="1"/>
    <col min="3" max="3" width="14.73046875" bestFit="1" customWidth="1"/>
    <col min="4" max="4" width="13.59765625" bestFit="1" customWidth="1"/>
    <col min="5" max="5" width="11.265625" bestFit="1" customWidth="1"/>
    <col min="6" max="6" width="13.73046875" bestFit="1" customWidth="1"/>
    <col min="7" max="7" width="14.5976562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4.25"/>
  <cols>
    <col min="1" max="1" width="9.86328125" bestFit="1" customWidth="1"/>
    <col min="2" max="2" width="8.5976562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4.25"/>
  <cols>
    <col min="2" max="2" width="11.398437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4.25"/>
  <cols>
    <col min="1" max="1" width="20.265625" customWidth="1"/>
    <col min="2" max="2" width="11.3984375" bestFit="1" customWidth="1"/>
  </cols>
  <sheetData>
    <row r="1" spans="1:2" ht="42.75">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4.25"/>
  <cols>
    <col min="1" max="1" width="23" bestFit="1" customWidth="1"/>
    <col min="2" max="2" width="11.398437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4.25"/>
  <cols>
    <col min="5" max="5" width="11.398437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4.25"/>
  <cols>
    <col min="1" max="1" width="18.86328125" bestFit="1" customWidth="1"/>
    <col min="5" max="5" width="14.86328125" bestFit="1" customWidth="1"/>
    <col min="6" max="6" width="15.265625" bestFit="1" customWidth="1"/>
    <col min="7" max="8" width="6.86328125" bestFit="1" customWidth="1"/>
    <col min="9" max="9" width="10.7304687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4.25"/>
  <cols>
    <col min="1" max="1" width="21.1328125" bestFit="1" customWidth="1"/>
    <col min="2" max="2" width="15.265625" bestFit="1" customWidth="1"/>
    <col min="3" max="3" width="7.1328125" bestFit="1" customWidth="1"/>
    <col min="4" max="5" width="6.86328125" bestFit="1" customWidth="1"/>
    <col min="6" max="6" width="10.7304687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4.25"/>
  <cols>
    <col min="3" max="3" width="14.7304687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4.25"/>
  <cols>
    <col min="1" max="1" width="15.73046875" bestFit="1" customWidth="1"/>
    <col min="2" max="2" width="15.265625" bestFit="1" customWidth="1"/>
    <col min="3" max="3" width="4.86328125" bestFit="1" customWidth="1"/>
    <col min="4" max="4" width="10.73046875" bestFit="1" customWidth="1"/>
    <col min="5" max="5" width="22.3984375" bestFit="1" customWidth="1"/>
    <col min="6" max="6" width="19.3984375" bestFit="1" customWidth="1"/>
    <col min="7" max="7" width="27.132812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4.25"/>
  <cols>
    <col min="1" max="1" width="12.86328125" bestFit="1" customWidth="1"/>
    <col min="2" max="2" width="12.86328125" customWidth="1"/>
    <col min="3" max="3" width="15.73046875" bestFit="1" customWidth="1"/>
    <col min="4" max="4" width="8.1328125" bestFit="1" customWidth="1"/>
    <col min="5" max="5" width="15.8632812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4.25"/>
  <cols>
    <col min="1" max="1" width="13.3984375" bestFit="1" customWidth="1"/>
    <col min="2" max="2" width="16.1328125" bestFit="1" customWidth="1"/>
    <col min="3" max="3" width="2.86328125" bestFit="1" customWidth="1"/>
    <col min="4" max="4" width="10.73046875" bestFit="1" customWidth="1"/>
    <col min="5" max="6" width="2.86328125" bestFit="1" customWidth="1"/>
    <col min="7" max="7" width="10.7304687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4.25"/>
  <cols>
    <col min="1" max="1" width="15.86328125" bestFit="1" customWidth="1"/>
    <col min="2" max="2" width="13.86328125" bestFit="1" customWidth="1"/>
    <col min="3" max="3" width="14.3984375" bestFit="1" customWidth="1"/>
    <col min="4" max="4" width="9.2656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4.25"/>
  <cols>
    <col min="1" max="1" width="17.6640625" bestFit="1" customWidth="1"/>
    <col min="2" max="2" width="14.86328125" bestFit="1" customWidth="1"/>
    <col min="3" max="4" width="7.73046875" bestFit="1" customWidth="1"/>
    <col min="5" max="5" width="10.265625" bestFit="1" customWidth="1"/>
  </cols>
  <sheetData>
    <row r="3" spans="1:5">
      <c r="A3" s="23" t="s">
        <v>393</v>
      </c>
      <c r="B3" s="23" t="s">
        <v>338</v>
      </c>
    </row>
    <row r="4" spans="1:5">
      <c r="A4" s="23" t="s">
        <v>336</v>
      </c>
      <c r="B4" t="s">
        <v>307</v>
      </c>
      <c r="C4" t="s">
        <v>308</v>
      </c>
      <c r="D4" t="s">
        <v>309</v>
      </c>
      <c r="E4" t="s">
        <v>337</v>
      </c>
    </row>
    <row r="5" spans="1:5">
      <c r="A5" s="24" t="s">
        <v>388</v>
      </c>
      <c r="B5" s="484">
        <v>100000</v>
      </c>
      <c r="C5" s="484">
        <v>290000</v>
      </c>
      <c r="D5" s="484">
        <v>190000</v>
      </c>
      <c r="E5" s="484">
        <v>580000</v>
      </c>
    </row>
    <row r="6" spans="1:5">
      <c r="A6" s="24" t="s">
        <v>392</v>
      </c>
      <c r="B6" s="484">
        <v>150000</v>
      </c>
      <c r="C6" s="484">
        <v>350000</v>
      </c>
      <c r="D6" s="484">
        <v>240000</v>
      </c>
      <c r="E6" s="484">
        <v>740000</v>
      </c>
    </row>
    <row r="7" spans="1:5">
      <c r="A7" s="24" t="s">
        <v>389</v>
      </c>
      <c r="B7" s="484">
        <v>200000</v>
      </c>
      <c r="C7" s="484">
        <v>300000</v>
      </c>
      <c r="D7" s="484">
        <v>300000</v>
      </c>
      <c r="E7" s="484">
        <v>800000</v>
      </c>
    </row>
    <row r="8" spans="1:5">
      <c r="A8" s="24" t="s">
        <v>390</v>
      </c>
      <c r="B8" s="484">
        <v>230000</v>
      </c>
      <c r="C8" s="484">
        <v>280000</v>
      </c>
      <c r="D8" s="484">
        <v>390000</v>
      </c>
      <c r="E8" s="484">
        <v>900000</v>
      </c>
    </row>
    <row r="9" spans="1:5">
      <c r="A9" s="24" t="s">
        <v>391</v>
      </c>
      <c r="B9" s="484">
        <v>110000</v>
      </c>
      <c r="C9" s="484">
        <v>250000</v>
      </c>
      <c r="D9" s="484">
        <v>380000</v>
      </c>
      <c r="E9" s="484">
        <v>740000</v>
      </c>
    </row>
    <row r="10" spans="1:5">
      <c r="A10" s="24" t="s">
        <v>337</v>
      </c>
      <c r="B10" s="484">
        <v>790000</v>
      </c>
      <c r="C10" s="484">
        <v>1470000</v>
      </c>
      <c r="D10" s="484">
        <v>1500000</v>
      </c>
      <c r="E10" s="484">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4.25"/>
  <cols>
    <col min="1" max="1" width="12" bestFit="1" customWidth="1"/>
    <col min="2" max="2" width="6.59765625" bestFit="1" customWidth="1"/>
    <col min="3" max="3" width="11.398437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4.25"/>
  <cols>
    <col min="2" max="2" width="11.59765625" bestFit="1" customWidth="1"/>
    <col min="5" max="5" width="12.3984375" bestFit="1" customWidth="1"/>
    <col min="6" max="6" width="15.265625" bestFit="1" customWidth="1"/>
    <col min="7" max="7" width="9.265625" bestFit="1" customWidth="1"/>
    <col min="8" max="8" width="11.86328125" bestFit="1" customWidth="1"/>
    <col min="9" max="9" width="6.86328125" bestFit="1" customWidth="1"/>
    <col min="10" max="10" width="10.7304687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4.25"/>
  <cols>
    <col min="1" max="1" width="18.73046875" bestFit="1" customWidth="1"/>
    <col min="2" max="2" width="10" bestFit="1" customWidth="1"/>
  </cols>
  <sheetData>
    <row r="1" spans="1:3">
      <c r="A1" s="1" t="s">
        <v>130</v>
      </c>
      <c r="B1" s="1" t="s">
        <v>403</v>
      </c>
      <c r="C1" s="1" t="s">
        <v>414</v>
      </c>
    </row>
    <row r="2" spans="1:3" ht="17.25">
      <c r="A2" s="26" t="s">
        <v>404</v>
      </c>
      <c r="B2" s="27" t="s">
        <v>409</v>
      </c>
      <c r="C2" s="28" t="str">
        <f>B2</f>
        <v>TS21433</v>
      </c>
    </row>
    <row r="3" spans="1:3" ht="17.25">
      <c r="A3" s="2" t="s">
        <v>405</v>
      </c>
      <c r="B3" s="27" t="s">
        <v>410</v>
      </c>
      <c r="C3" s="28" t="str">
        <f>B3</f>
        <v>TS34686</v>
      </c>
    </row>
    <row r="4" spans="1:3" ht="17.25">
      <c r="A4" s="2" t="s">
        <v>406</v>
      </c>
      <c r="B4" s="27" t="s">
        <v>411</v>
      </c>
      <c r="C4" s="28" t="str">
        <f>B4</f>
        <v>TS29340</v>
      </c>
    </row>
    <row r="5" spans="1:3" ht="17.25">
      <c r="A5" s="2" t="s">
        <v>407</v>
      </c>
      <c r="B5" s="27" t="s">
        <v>412</v>
      </c>
      <c r="C5" s="28" t="str">
        <f>B5</f>
        <v>TS22065</v>
      </c>
    </row>
    <row r="6" spans="1:3" ht="17.25">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4.25"/>
  <cols>
    <col min="1" max="1" width="7.3984375" bestFit="1" customWidth="1"/>
    <col min="2" max="2" width="9.73046875" bestFit="1" customWidth="1"/>
    <col min="3" max="3" width="14.86328125" customWidth="1"/>
  </cols>
  <sheetData>
    <row r="1" spans="1:5">
      <c r="A1" s="1" t="s">
        <v>201</v>
      </c>
      <c r="B1" s="1" t="s">
        <v>425</v>
      </c>
      <c r="C1" s="1" t="s">
        <v>426</v>
      </c>
    </row>
    <row r="2" spans="1:5" ht="29.65">
      <c r="A2" s="2" t="s">
        <v>415</v>
      </c>
      <c r="B2" s="27" t="s">
        <v>427</v>
      </c>
      <c r="C2" s="29" t="str">
        <f>B2</f>
        <v>PD010</v>
      </c>
      <c r="E2" s="30"/>
    </row>
    <row r="3" spans="1:5" ht="29.65">
      <c r="A3" s="2" t="s">
        <v>416</v>
      </c>
      <c r="B3" s="27" t="s">
        <v>428</v>
      </c>
      <c r="C3" s="29" t="str">
        <f t="shared" ref="C3:C11" si="0">B3</f>
        <v>PD011</v>
      </c>
    </row>
    <row r="4" spans="1:5" ht="29.65">
      <c r="A4" s="2" t="s">
        <v>417</v>
      </c>
      <c r="B4" s="27" t="s">
        <v>429</v>
      </c>
      <c r="C4" s="29" t="str">
        <f t="shared" si="0"/>
        <v>PD012</v>
      </c>
    </row>
    <row r="5" spans="1:5" ht="29.65">
      <c r="A5" s="2" t="s">
        <v>418</v>
      </c>
      <c r="B5" s="27" t="s">
        <v>430</v>
      </c>
      <c r="C5" s="29" t="str">
        <f t="shared" si="0"/>
        <v>PD013</v>
      </c>
    </row>
    <row r="6" spans="1:5" ht="29.65">
      <c r="A6" s="2" t="s">
        <v>419</v>
      </c>
      <c r="B6" s="27" t="s">
        <v>431</v>
      </c>
      <c r="C6" s="29" t="str">
        <f t="shared" si="0"/>
        <v>PD014</v>
      </c>
    </row>
    <row r="7" spans="1:5" ht="29.65">
      <c r="A7" s="2" t="s">
        <v>420</v>
      </c>
      <c r="B7" s="27" t="s">
        <v>432</v>
      </c>
      <c r="C7" s="29" t="str">
        <f t="shared" si="0"/>
        <v>PD015</v>
      </c>
    </row>
    <row r="8" spans="1:5" ht="29.65">
      <c r="A8" s="2" t="s">
        <v>421</v>
      </c>
      <c r="B8" s="27" t="s">
        <v>433</v>
      </c>
      <c r="C8" s="29" t="str">
        <f t="shared" si="0"/>
        <v>PD016</v>
      </c>
    </row>
    <row r="9" spans="1:5" ht="29.65">
      <c r="A9" s="2" t="s">
        <v>422</v>
      </c>
      <c r="B9" s="27" t="s">
        <v>434</v>
      </c>
      <c r="C9" s="29" t="str">
        <f t="shared" si="0"/>
        <v>PD017</v>
      </c>
    </row>
    <row r="10" spans="1:5" ht="29.65">
      <c r="A10" s="2" t="s">
        <v>423</v>
      </c>
      <c r="B10" s="27" t="s">
        <v>435</v>
      </c>
      <c r="C10" s="29" t="str">
        <f t="shared" si="0"/>
        <v>PD018</v>
      </c>
    </row>
    <row r="11" spans="1:5" ht="29.65">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4.25"/>
  <cols>
    <col min="1" max="1" width="7.3984375" bestFit="1" customWidth="1"/>
    <col min="2" max="2" width="9.73046875" bestFit="1" customWidth="1"/>
    <col min="3" max="3" width="14.86328125" bestFit="1" customWidth="1"/>
  </cols>
  <sheetData>
    <row r="1" spans="1:4">
      <c r="A1" s="1" t="s">
        <v>201</v>
      </c>
      <c r="B1" s="1" t="s">
        <v>425</v>
      </c>
      <c r="C1" s="1" t="s">
        <v>426</v>
      </c>
    </row>
    <row r="2" spans="1:4" ht="29.65">
      <c r="A2" s="2" t="s">
        <v>415</v>
      </c>
      <c r="B2" s="27" t="s">
        <v>427</v>
      </c>
      <c r="C2" s="31" t="str">
        <f>"("&amp;B2&amp;")"</f>
        <v>(PD010)</v>
      </c>
      <c r="D2" s="32"/>
    </row>
    <row r="3" spans="1:4" ht="29.65">
      <c r="A3" s="2" t="s">
        <v>416</v>
      </c>
      <c r="B3" s="27" t="s">
        <v>428</v>
      </c>
      <c r="C3" s="31" t="str">
        <f t="shared" ref="C3:C11" si="0">"("&amp;B3&amp;")"</f>
        <v>(PD011)</v>
      </c>
    </row>
    <row r="4" spans="1:4" ht="29.65">
      <c r="A4" s="2" t="s">
        <v>417</v>
      </c>
      <c r="B4" s="27" t="s">
        <v>429</v>
      </c>
      <c r="C4" s="31" t="str">
        <f t="shared" si="0"/>
        <v>(PD012)</v>
      </c>
    </row>
    <row r="5" spans="1:4" ht="29.65">
      <c r="A5" s="2" t="s">
        <v>418</v>
      </c>
      <c r="B5" s="27" t="s">
        <v>430</v>
      </c>
      <c r="C5" s="31" t="str">
        <f t="shared" si="0"/>
        <v>(PD013)</v>
      </c>
    </row>
    <row r="6" spans="1:4" ht="29.65">
      <c r="A6" s="2" t="s">
        <v>419</v>
      </c>
      <c r="B6" s="27" t="s">
        <v>431</v>
      </c>
      <c r="C6" s="31" t="str">
        <f t="shared" si="0"/>
        <v>(PD014)</v>
      </c>
    </row>
    <row r="7" spans="1:4" ht="29.65">
      <c r="A7" s="2" t="s">
        <v>420</v>
      </c>
      <c r="B7" s="27" t="s">
        <v>432</v>
      </c>
      <c r="C7" s="31" t="str">
        <f t="shared" si="0"/>
        <v>(PD015)</v>
      </c>
    </row>
    <row r="8" spans="1:4" ht="29.65">
      <c r="A8" s="2" t="s">
        <v>421</v>
      </c>
      <c r="B8" s="27" t="s">
        <v>433</v>
      </c>
      <c r="C8" s="31" t="str">
        <f t="shared" si="0"/>
        <v>(PD016)</v>
      </c>
    </row>
    <row r="9" spans="1:4" ht="29.65">
      <c r="A9" s="2" t="s">
        <v>422</v>
      </c>
      <c r="B9" s="27" t="s">
        <v>434</v>
      </c>
      <c r="C9" s="31" t="str">
        <f t="shared" si="0"/>
        <v>(PD017)</v>
      </c>
    </row>
    <row r="10" spans="1:4" ht="29.65">
      <c r="A10" s="2" t="s">
        <v>423</v>
      </c>
      <c r="B10" s="27" t="s">
        <v>435</v>
      </c>
      <c r="C10" s="31" t="str">
        <f t="shared" si="0"/>
        <v>(PD018)</v>
      </c>
    </row>
    <row r="11" spans="1:4" ht="29.65">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4.25"/>
  <cols>
    <col min="1" max="1" width="14.86328125" bestFit="1" customWidth="1"/>
    <col min="2" max="2" width="19.86328125" style="14" customWidth="1"/>
  </cols>
  <sheetData>
    <row r="1" spans="1:2">
      <c r="A1" s="1" t="s">
        <v>201</v>
      </c>
      <c r="B1" s="2" t="s">
        <v>437</v>
      </c>
    </row>
    <row r="2" spans="1:2">
      <c r="A2" s="14"/>
    </row>
    <row r="3" spans="1:2">
      <c r="A3" s="1" t="s">
        <v>440</v>
      </c>
      <c r="B3" s="27" t="s">
        <v>438</v>
      </c>
    </row>
    <row r="4" spans="1:2">
      <c r="A4" s="14"/>
    </row>
    <row r="5" spans="1:2" ht="30.95"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0.95"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4.25"/>
  <cols>
    <col min="1" max="1" width="11.3984375" bestFit="1" customWidth="1"/>
    <col min="2" max="2" width="15.1328125" bestFit="1" customWidth="1"/>
    <col min="3" max="3" width="15.1328125" customWidth="1"/>
    <col min="4" max="4" width="17.3984375" customWidth="1"/>
  </cols>
  <sheetData>
    <row r="1" spans="1:4">
      <c r="A1" s="1" t="s">
        <v>97</v>
      </c>
      <c r="B1" s="1" t="s">
        <v>447</v>
      </c>
      <c r="C1" s="1" t="s">
        <v>448</v>
      </c>
      <c r="D1" s="1" t="s">
        <v>414</v>
      </c>
    </row>
    <row r="2" spans="1:4" ht="45">
      <c r="A2" s="2" t="s">
        <v>394</v>
      </c>
      <c r="B2" s="2">
        <v>2020</v>
      </c>
      <c r="C2" s="27" t="s">
        <v>449</v>
      </c>
      <c r="D2" s="34" t="str">
        <f>C2</f>
        <v>MAT1329845</v>
      </c>
    </row>
    <row r="3" spans="1:4" ht="45">
      <c r="A3" s="2" t="s">
        <v>101</v>
      </c>
      <c r="B3" s="2">
        <v>2021</v>
      </c>
      <c r="C3" s="27" t="s">
        <v>450</v>
      </c>
      <c r="D3" s="34" t="str">
        <f>C3</f>
        <v>ENG1803820</v>
      </c>
    </row>
    <row r="4" spans="1:4" ht="45">
      <c r="A4" s="2" t="s">
        <v>98</v>
      </c>
      <c r="B4" s="2">
        <v>2022</v>
      </c>
      <c r="C4" s="27" t="s">
        <v>451</v>
      </c>
      <c r="D4" s="34" t="str">
        <f>C4</f>
        <v>HIS9803418</v>
      </c>
    </row>
    <row r="5" spans="1:4" ht="45">
      <c r="A5" s="2" t="s">
        <v>99</v>
      </c>
      <c r="B5" s="2">
        <v>2021</v>
      </c>
      <c r="C5" s="27" t="s">
        <v>452</v>
      </c>
      <c r="D5" s="34" t="str">
        <f>C5</f>
        <v>GEO2398571</v>
      </c>
    </row>
    <row r="6" spans="1:4" ht="45">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4.25"/>
  <cols>
    <col min="1" max="1" width="28.3984375" bestFit="1" customWidth="1"/>
    <col min="2" max="2" width="12" bestFit="1" customWidth="1"/>
    <col min="3" max="3" width="22" bestFit="1" customWidth="1"/>
    <col min="4" max="4" width="24.59765625" bestFit="1" customWidth="1"/>
  </cols>
  <sheetData>
    <row r="1" spans="1:5">
      <c r="A1" s="1" t="s">
        <v>78</v>
      </c>
      <c r="B1" s="1" t="s">
        <v>441</v>
      </c>
      <c r="C1" s="1" t="s">
        <v>454</v>
      </c>
      <c r="D1" s="1" t="s">
        <v>455</v>
      </c>
    </row>
    <row r="2" spans="1:5" ht="29.65">
      <c r="A2" s="35" t="s">
        <v>62</v>
      </c>
      <c r="B2" s="36">
        <v>44248</v>
      </c>
      <c r="C2" s="37" t="s">
        <v>456</v>
      </c>
      <c r="D2" s="31" t="str">
        <f t="shared" ref="D2:D7" si="0">"("&amp;C2&amp;")"</f>
        <v>(APP56480721)</v>
      </c>
      <c r="E2" s="38"/>
    </row>
    <row r="3" spans="1:5" ht="29.65">
      <c r="A3" s="35" t="s">
        <v>442</v>
      </c>
      <c r="B3" s="36">
        <v>44250</v>
      </c>
      <c r="C3" s="37" t="s">
        <v>457</v>
      </c>
      <c r="D3" s="31" t="str">
        <f t="shared" si="0"/>
        <v>(SAM56500322)</v>
      </c>
    </row>
    <row r="4" spans="1:5" ht="29.65">
      <c r="A4" s="35" t="s">
        <v>443</v>
      </c>
      <c r="B4" s="36">
        <v>44393</v>
      </c>
      <c r="C4" s="37" t="s">
        <v>458</v>
      </c>
      <c r="D4" s="31" t="str">
        <f t="shared" si="0"/>
        <v>(SAM57500540)</v>
      </c>
    </row>
    <row r="5" spans="1:5" ht="29.65">
      <c r="A5" s="35" t="s">
        <v>444</v>
      </c>
      <c r="B5" s="36">
        <v>44428</v>
      </c>
      <c r="C5" s="37" t="s">
        <v>459</v>
      </c>
      <c r="D5" s="31" t="str">
        <f t="shared" si="0"/>
        <v>(APP58932980)</v>
      </c>
    </row>
    <row r="6" spans="1:5" ht="29.65">
      <c r="A6" s="35" t="s">
        <v>445</v>
      </c>
      <c r="B6" s="36">
        <v>44433</v>
      </c>
      <c r="C6" s="37" t="s">
        <v>460</v>
      </c>
      <c r="D6" s="31" t="str">
        <f t="shared" si="0"/>
        <v>(SAM59129993)</v>
      </c>
    </row>
    <row r="7" spans="1:5" ht="29.65">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4.25"/>
  <cols>
    <col min="1" max="1" width="22.3984375" bestFit="1" customWidth="1"/>
    <col min="2" max="2" width="18.7304687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4.25"/>
  <cols>
    <col min="1" max="1" width="22.3984375" bestFit="1" customWidth="1"/>
    <col min="2" max="2" width="5.8632812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4.25"/>
  <cols>
    <col min="1" max="1" width="11.73046875" bestFit="1" customWidth="1"/>
    <col min="3" max="3" width="17.132812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xmlns:xlrd2="http://schemas.microsoft.com/office/spreadsheetml/2017/richdata2"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4.25"/>
  <cols>
    <col min="1" max="1" width="30.73046875" bestFit="1" customWidth="1"/>
    <col min="2" max="2" width="19.86328125" bestFit="1" customWidth="1"/>
    <col min="3" max="3" width="17.1328125" bestFit="1" customWidth="1"/>
    <col min="4" max="4" width="14.3984375" bestFit="1" customWidth="1"/>
    <col min="5" max="5" width="13.7304687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9525</xdr:rowOff>
                  </from>
                  <to>
                    <xdr:col>8</xdr:col>
                    <xdr:colOff>600075</xdr:colOff>
                    <xdr:row>19</xdr:row>
                    <xdr:rowOff>180975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4.25"/>
  <cols>
    <col min="2" max="2" width="41.265625" bestFit="1" customWidth="1"/>
    <col min="3" max="3" width="29.8632812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4.25"/>
  <cols>
    <col min="1" max="2" width="19.132812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4.25"/>
  <cols>
    <col min="1" max="2" width="24.132812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4.25"/>
  <cols>
    <col min="1" max="1" width="51.3984375" bestFit="1" customWidth="1"/>
    <col min="2" max="2" width="51.398437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4.25"/>
  <cols>
    <col min="1" max="1" width="12.3984375" bestFit="1" customWidth="1"/>
    <col min="2" max="2" width="21.398437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4.25"/>
  <cols>
    <col min="1" max="1" width="17" bestFit="1" customWidth="1"/>
    <col min="2" max="2" width="22.59765625" bestFit="1" customWidth="1"/>
    <col min="3" max="3" width="22.3984375" bestFit="1" customWidth="1"/>
    <col min="4" max="4" width="23.8632812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4.25"/>
  <cols>
    <col min="1" max="1" width="18.59765625" bestFit="1" customWidth="1"/>
    <col min="2" max="2" width="20.59765625" bestFit="1" customWidth="1"/>
    <col min="3" max="3" width="18.3984375" bestFit="1" customWidth="1"/>
    <col min="4" max="4" width="19.8632812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4.25"/>
  <cols>
    <col min="1" max="1" width="11.3984375" bestFit="1" customWidth="1"/>
    <col min="2" max="2" width="47.3984375" bestFit="1" customWidth="1"/>
    <col min="3" max="3" width="27.59765625" customWidth="1"/>
    <col min="4" max="4" width="57.2656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75">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4.25"/>
  <cols>
    <col min="1" max="1" width="13.1328125" bestFit="1" customWidth="1"/>
    <col min="2" max="2" width="47.3984375" bestFit="1" customWidth="1"/>
    <col min="3" max="3" width="43.1328125" customWidth="1"/>
  </cols>
  <sheetData>
    <row r="1" spans="1:3">
      <c r="A1" s="44" t="s">
        <v>617</v>
      </c>
      <c r="B1" s="1" t="s">
        <v>608</v>
      </c>
      <c r="C1" s="1" t="s">
        <v>620</v>
      </c>
    </row>
    <row r="2" spans="1:3">
      <c r="A2" s="376">
        <v>20.5</v>
      </c>
      <c r="B2" s="43" t="s">
        <v>618</v>
      </c>
      <c r="C2" s="39" t="str">
        <f>TEXT(A2,"0.00")</f>
        <v>20.50</v>
      </c>
    </row>
    <row r="3" spans="1:3">
      <c r="A3" s="377"/>
      <c r="B3" s="43" t="s">
        <v>619</v>
      </c>
      <c r="C3" s="39" t="str">
        <f>TEXT(A2,"# ???/???")</f>
        <v xml:space="preserve">20   1/2  </v>
      </c>
    </row>
    <row r="4" spans="1:3">
      <c r="A4" s="377"/>
      <c r="B4" s="43" t="s">
        <v>610</v>
      </c>
      <c r="C4" s="39" t="str">
        <f>TEXT(A2,"#%")</f>
        <v>2050%</v>
      </c>
    </row>
    <row r="5" spans="1:3">
      <c r="A5" s="378"/>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4.25"/>
  <cols>
    <col min="3" max="3" width="48.86328125" bestFit="1" customWidth="1"/>
    <col min="7" max="7" width="18.1328125" bestFit="1" customWidth="1"/>
    <col min="11" max="11" width="39.5976562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4.25"/>
  <cols>
    <col min="1" max="1" width="36.265625" bestFit="1" customWidth="1"/>
    <col min="3" max="3" width="11.86328125" bestFit="1" customWidth="1"/>
    <col min="4" max="4" width="40.1328125" customWidth="1"/>
    <col min="6" max="6" width="8.7304687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28.5">
      <c r="A3" s="19" t="s">
        <v>666</v>
      </c>
      <c r="B3" s="2">
        <v>250</v>
      </c>
      <c r="C3" s="20">
        <v>44586</v>
      </c>
      <c r="D3" s="52" t="str">
        <f>B3&amp;" units of "&amp;A3&amp;" were delivered on "&amp;TEXT(C3,"dd mmm, yyyy")&amp;"."</f>
        <v>250 units of Timbuk2 Spire were delivered on 25 Jan, 2022.</v>
      </c>
    </row>
    <row r="4" spans="1:4" ht="28.5">
      <c r="A4" s="19" t="s">
        <v>667</v>
      </c>
      <c r="B4" s="2">
        <v>100</v>
      </c>
      <c r="C4" s="20">
        <v>44595</v>
      </c>
      <c r="D4" s="52" t="str">
        <f>B4&amp;" units of "&amp;A4&amp;" were delivered on "&amp;TEXT(C4,"dd mmm, yyyy")&amp;"."</f>
        <v>100 units of Mancro Anti-Theft Backpack were delivered on 03 Feb, 2022.</v>
      </c>
    </row>
    <row r="5" spans="1:4" ht="28.5">
      <c r="A5" s="19" t="s">
        <v>668</v>
      </c>
      <c r="B5" s="2">
        <v>300</v>
      </c>
      <c r="C5" s="20">
        <v>44607</v>
      </c>
      <c r="D5" s="52" t="str">
        <f>B5&amp;" units of "&amp;A5&amp;" were delivered on "&amp;TEXT(C5,"dd mmm, yyyy")&amp;"."</f>
        <v>300 units of HP Envy Urban Backpack were delivered on 15 Feb, 2022.</v>
      </c>
    </row>
    <row r="6" spans="1:4" ht="29.1"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4.25"/>
  <cols>
    <col min="1" max="1" width="11.265625" bestFit="1" customWidth="1"/>
    <col min="2" max="2" width="10.3984375" bestFit="1" customWidth="1"/>
    <col min="3" max="3" width="22.59765625" bestFit="1" customWidth="1"/>
  </cols>
  <sheetData>
    <row r="1" spans="1:6" ht="15.4">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4.25"/>
  <cols>
    <col min="1" max="1" width="14" customWidth="1"/>
    <col min="2" max="2" width="33.8632812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4.25"/>
  <cols>
    <col min="1" max="1" width="14" bestFit="1" customWidth="1"/>
    <col min="2" max="2" width="16.86328125" bestFit="1" customWidth="1"/>
    <col min="3" max="3" width="15.1328125" bestFit="1" customWidth="1"/>
    <col min="4" max="4" width="36.7304687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4.25"/>
  <cols>
    <col min="2" max="2" width="35.132812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4.25"/>
  <cols>
    <col min="1" max="1" width="14.86328125" bestFit="1" customWidth="1"/>
    <col min="2" max="2" width="19.7304687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4.25"/>
  <cols>
    <col min="1" max="1" width="14.86328125" bestFit="1" customWidth="1"/>
    <col min="2" max="2" width="14.86328125" customWidth="1"/>
    <col min="3" max="3" width="18.86328125" bestFit="1" customWidth="1"/>
    <col min="4" max="4" width="36.398437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4.25"/>
  <cols>
    <col min="1" max="1" width="15.86328125" bestFit="1" customWidth="1"/>
    <col min="2" max="2" width="32" bestFit="1" customWidth="1"/>
    <col min="3" max="3" width="42.8632812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4.25"/>
  <cols>
    <col min="1" max="1" width="13.59765625" bestFit="1" customWidth="1"/>
    <col min="2" max="2" width="9.1328125" bestFit="1" customWidth="1"/>
    <col min="3" max="3" width="13.8632812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4.25"/>
  <cols>
    <col min="3" max="3" width="10.1328125" bestFit="1" customWidth="1"/>
    <col min="5" max="5" width="41.5976562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0</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4.25"/>
  <cols>
    <col min="1" max="1" width="18.265625" bestFit="1" customWidth="1"/>
    <col min="2" max="2" width="8.59765625" bestFit="1" customWidth="1"/>
    <col min="5" max="5" width="12.86328125" customWidth="1"/>
    <col min="6" max="6" width="13.8632812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4.25"/>
  <cols>
    <col min="1" max="1" width="11.265625" bestFit="1" customWidth="1"/>
    <col min="2" max="2" width="9.132812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4.25"/>
  <cols>
    <col min="1" max="1" width="16.1328125" bestFit="1" customWidth="1"/>
    <col min="2" max="2" width="15.3984375" bestFit="1" customWidth="1"/>
    <col min="4" max="4" width="18.3984375" bestFit="1" customWidth="1"/>
    <col min="5" max="5" width="14.132812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4.25"/>
  <cols>
    <col min="3" max="3" width="11.86328125" bestFit="1" customWidth="1"/>
    <col min="5" max="5" width="8.7304687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4.25"/>
  <cols>
    <col min="1" max="1" width="16.3984375" bestFit="1" customWidth="1"/>
    <col min="2" max="2" width="19.86328125" bestFit="1" customWidth="1"/>
    <col min="6" max="6" width="19.86328125" bestFit="1" customWidth="1"/>
    <col min="7" max="7" width="5.86328125" bestFit="1" customWidth="1"/>
  </cols>
  <sheetData>
    <row r="1" spans="1:7">
      <c r="A1" s="1" t="s">
        <v>0</v>
      </c>
      <c r="B1" s="1" t="s">
        <v>756</v>
      </c>
      <c r="C1" s="1" t="s">
        <v>1</v>
      </c>
      <c r="F1" s="379" t="s">
        <v>757</v>
      </c>
      <c r="G1" s="379"/>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4.25"/>
  <cols>
    <col min="1" max="1" width="25.86328125" bestFit="1" customWidth="1"/>
    <col min="2" max="2" width="15.86328125" bestFit="1" customWidth="1"/>
    <col min="3" max="3" width="29.1328125" bestFit="1" customWidth="1"/>
    <col min="5" max="5" width="23.7304687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4.25"/>
  <cols>
    <col min="1" max="1" width="15.59765625" bestFit="1" customWidth="1"/>
    <col min="2" max="2" width="19.3984375" bestFit="1" customWidth="1"/>
  </cols>
  <sheetData>
    <row r="1" spans="1:2">
      <c r="A1" s="1" t="s">
        <v>787</v>
      </c>
      <c r="B1" s="1" t="s">
        <v>798</v>
      </c>
    </row>
    <row r="2" spans="1:2">
      <c r="A2" s="3" t="s">
        <v>788</v>
      </c>
      <c r="B2" s="7" t="str">
        <f ca="1">CHOOSE(RANDBETWEEN(1,4),"TEAM A","TEAM B","TEAM C","TEAM D")</f>
        <v>TEAM D</v>
      </c>
    </row>
    <row r="3" spans="1:2">
      <c r="A3" s="3" t="s">
        <v>789</v>
      </c>
      <c r="B3" s="7" t="str">
        <f t="shared" ref="B3:B10" ca="1" si="0">CHOOSE(RANDBETWEEN(1,4),"TEAM A","TEAM B","TEAM C","TEAM D")</f>
        <v>TEAM D</v>
      </c>
    </row>
    <row r="4" spans="1:2">
      <c r="A4" s="3" t="s">
        <v>790</v>
      </c>
      <c r="B4" s="7" t="str">
        <f t="shared" ca="1" si="0"/>
        <v>TEAM B</v>
      </c>
    </row>
    <row r="5" spans="1:2">
      <c r="A5" s="3" t="s">
        <v>791</v>
      </c>
      <c r="B5" s="7" t="str">
        <f t="shared" ca="1" si="0"/>
        <v>TEAM C</v>
      </c>
    </row>
    <row r="6" spans="1:2">
      <c r="A6" s="3" t="s">
        <v>792</v>
      </c>
      <c r="B6" s="7" t="str">
        <f t="shared" ca="1" si="0"/>
        <v>TEAM B</v>
      </c>
    </row>
    <row r="7" spans="1:2">
      <c r="A7" s="3" t="s">
        <v>793</v>
      </c>
      <c r="B7" s="7" t="str">
        <f t="shared" ca="1" si="0"/>
        <v>TEAM D</v>
      </c>
    </row>
    <row r="8" spans="1:2">
      <c r="A8" s="3" t="s">
        <v>794</v>
      </c>
      <c r="B8" s="7" t="str">
        <f t="shared" ca="1" si="0"/>
        <v>TEAM A</v>
      </c>
    </row>
    <row r="9" spans="1:2">
      <c r="A9" s="3" t="s">
        <v>795</v>
      </c>
      <c r="B9" s="7" t="str">
        <f t="shared" ca="1" si="0"/>
        <v>TEAM D</v>
      </c>
    </row>
    <row r="10" spans="1:2">
      <c r="A10" s="3" t="s">
        <v>796</v>
      </c>
      <c r="B10" s="7" t="str">
        <f t="shared" ca="1" si="0"/>
        <v>TEAM C</v>
      </c>
    </row>
    <row r="11" spans="1:2">
      <c r="A11" s="3" t="s">
        <v>797</v>
      </c>
      <c r="B11" s="7" t="str">
        <f ca="1">CHOOSE(RANDBETWEEN(1,4),"TEAM A","TEAM B","TEAM C","TEAM D")</f>
        <v>TEAM D</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4.25"/>
  <cols>
    <col min="1" max="1" width="8.59765625" bestFit="1" customWidth="1"/>
    <col min="2" max="2" width="18.59765625" bestFit="1" customWidth="1"/>
    <col min="3" max="3" width="15.265625" bestFit="1" customWidth="1"/>
    <col min="5" max="5" width="14.3984375" bestFit="1" customWidth="1"/>
    <col min="6" max="6" width="15.2656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4.25"/>
  <cols>
    <col min="1" max="1" width="7.3984375" bestFit="1" customWidth="1"/>
    <col min="2" max="2" width="10.1328125" bestFit="1" customWidth="1"/>
    <col min="3" max="3" width="11.8632812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4.25"/>
  <cols>
    <col min="3" max="3" width="14" bestFit="1" customWidth="1"/>
    <col min="4" max="4" width="13.132812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4.25"/>
  <cols>
    <col min="1" max="1" width="16.132812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4.25"/>
  <cols>
    <col min="2" max="4" width="22.398437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4.25"/>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4.25"/>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4.25"/>
  <cols>
    <col min="1" max="1" width="11.265625" bestFit="1" customWidth="1"/>
    <col min="20" max="20" width="9.132812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4.25"/>
  <cols>
    <col min="1" max="1" width="5.59765625" bestFit="1" customWidth="1"/>
    <col min="2" max="2" width="10.3984375" bestFit="1" customWidth="1"/>
    <col min="3" max="3" width="12" bestFit="1" customWidth="1"/>
    <col min="8" max="8" width="5.59765625" bestFit="1" customWidth="1"/>
    <col min="9" max="9" width="10.3984375" bestFit="1" customWidth="1"/>
    <col min="10" max="10" width="12" bestFit="1" customWidth="1"/>
  </cols>
  <sheetData>
    <row r="1" spans="1:10">
      <c r="A1" s="380" t="s">
        <v>854</v>
      </c>
      <c r="B1" s="380"/>
      <c r="C1" s="380"/>
      <c r="H1" s="380" t="s">
        <v>855</v>
      </c>
      <c r="I1" s="380"/>
      <c r="J1" s="380"/>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4.25"/>
  <cols>
    <col min="1" max="1" width="12.2656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4.25"/>
  <cols>
    <col min="1" max="1" width="10.1328125" bestFit="1" customWidth="1"/>
    <col min="2" max="9" width="17.1328125" bestFit="1" customWidth="1"/>
  </cols>
  <sheetData>
    <row r="1" spans="1:9">
      <c r="A1" s="381" t="s">
        <v>871</v>
      </c>
      <c r="B1" s="382">
        <v>2018</v>
      </c>
      <c r="C1" s="383"/>
      <c r="D1" s="383"/>
      <c r="E1" s="384"/>
      <c r="F1" s="382">
        <v>2019</v>
      </c>
      <c r="G1" s="383"/>
      <c r="H1" s="383"/>
      <c r="I1" s="384"/>
    </row>
    <row r="2" spans="1:9">
      <c r="A2" s="379"/>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4.25"/>
  <cols>
    <col min="1" max="1" width="17.3984375" bestFit="1" customWidth="1"/>
    <col min="2" max="2" width="15.7304687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4.25"/>
  <cols>
    <col min="1" max="1" width="18.3984375" bestFit="1" customWidth="1"/>
    <col min="2" max="2" width="16.3984375" bestFit="1" customWidth="1"/>
    <col min="5" max="5" width="32.265625" bestFit="1" customWidth="1"/>
    <col min="6" max="6" width="33.8632812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4.25"/>
  <cols>
    <col min="5" max="5" width="20.3984375" bestFit="1" customWidth="1"/>
    <col min="6" max="6" width="36.5976562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4.25"/>
  <cols>
    <col min="1" max="1" width="13.1328125" bestFit="1" customWidth="1"/>
    <col min="2" max="2" width="19.265625" bestFit="1" customWidth="1"/>
    <col min="4" max="4" width="23.265625" bestFit="1" customWidth="1"/>
    <col min="5" max="5" width="21.398437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4.25"/>
  <cols>
    <col min="1" max="1" width="11.86328125" bestFit="1" customWidth="1"/>
    <col min="2" max="2" width="12.132812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4.25"/>
  <cols>
    <col min="1" max="1" width="11" bestFit="1" customWidth="1"/>
    <col min="2" max="2" width="14.265625" bestFit="1" customWidth="1"/>
    <col min="5" max="5" width="25.3984375" bestFit="1" customWidth="1"/>
    <col min="6" max="6" width="13.73046875" bestFit="1" customWidth="1"/>
    <col min="7" max="7" width="19.1328125" bestFit="1" customWidth="1"/>
    <col min="8" max="8" width="38.5976562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4.25"/>
  <cols>
    <col min="1" max="1" width="12.1328125" bestFit="1" customWidth="1"/>
    <col min="4" max="4" width="20.73046875" bestFit="1" customWidth="1"/>
    <col min="5" max="5" width="15.398437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4.25"/>
  <cols>
    <col min="1" max="1" width="11.1328125" bestFit="1" customWidth="1"/>
    <col min="2" max="2" width="16.2656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4.25"/>
  <cols>
    <col min="1" max="1" width="17.1328125" bestFit="1" customWidth="1"/>
    <col min="2" max="2" width="22.7304687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4.25"/>
  <cols>
    <col min="1" max="1" width="9.3984375" bestFit="1" customWidth="1"/>
    <col min="2" max="2" width="17.3984375" customWidth="1"/>
  </cols>
  <sheetData>
    <row r="1" spans="1:3" ht="28.5">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4.25"/>
  <cols>
    <col min="1" max="1" width="9" bestFit="1" customWidth="1"/>
    <col min="2" max="2" width="15.132812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4.25"/>
  <cols>
    <col min="1" max="1" width="10.3984375" bestFit="1" customWidth="1"/>
    <col min="2" max="2" width="8.3984375" bestFit="1" customWidth="1"/>
    <col min="3" max="3" width="10.73046875" bestFit="1" customWidth="1"/>
    <col min="4" max="4" width="15" bestFit="1" customWidth="1"/>
    <col min="5" max="5" width="13.7304687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4.25"/>
  <cols>
    <col min="1" max="1" width="17.3984375" bestFit="1" customWidth="1"/>
    <col min="2" max="2" width="23.86328125" bestFit="1" customWidth="1"/>
    <col min="3" max="3" width="25.398437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4.25"/>
  <cols>
    <col min="1" max="2" width="13.86328125" bestFit="1" customWidth="1"/>
    <col min="3" max="3" width="28" bestFit="1" customWidth="1"/>
    <col min="4" max="4" width="40.8632812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4.25"/>
  <cols>
    <col min="1" max="1" width="8.59765625" bestFit="1" customWidth="1"/>
    <col min="2" max="2" width="15.73046875" bestFit="1" customWidth="1"/>
    <col min="3" max="3" width="8.1328125" bestFit="1" customWidth="1"/>
    <col min="4" max="4" width="14.1328125" bestFit="1" customWidth="1"/>
    <col min="5" max="5" width="13.132812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4.25"/>
  <cols>
    <col min="1" max="1" width="26.1328125" bestFit="1" customWidth="1"/>
    <col min="2" max="2" width="22.398437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4.25"/>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4.25"/>
  <cols>
    <col min="1" max="1" width="53.132812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4.25"/>
  <cols>
    <col min="1" max="1" width="16.265625" bestFit="1" customWidth="1"/>
    <col min="2" max="2" width="9.7304687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4.25"/>
  <cols>
    <col min="1" max="1" width="60.3984375" bestFit="1" customWidth="1"/>
    <col min="2" max="2" width="38.132812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4.25"/>
  <cols>
    <col min="1" max="1" width="28.73046875" bestFit="1" customWidth="1"/>
    <col min="2" max="2" width="33.132812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4.25"/>
  <cols>
    <col min="1" max="1" width="10.59765625" bestFit="1" customWidth="1"/>
    <col min="2" max="2" width="7.3984375" bestFit="1" customWidth="1"/>
    <col min="3" max="3" width="22.1328125" bestFit="1" customWidth="1"/>
    <col min="4" max="4" width="13.3984375" bestFit="1" customWidth="1"/>
    <col min="5" max="5" width="33.8632812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4.25"/>
  <cols>
    <col min="1" max="1" width="10" bestFit="1" customWidth="1"/>
    <col min="2" max="2" width="7.3984375" bestFit="1" customWidth="1"/>
    <col min="3" max="3" width="16.8632812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4.25"/>
  <cols>
    <col min="1" max="1" width="27.73046875" bestFit="1" customWidth="1"/>
    <col min="2" max="2" width="48.73046875" bestFit="1" customWidth="1"/>
    <col min="3" max="3" width="39.59765625" bestFit="1" customWidth="1"/>
  </cols>
  <sheetData>
    <row r="1" spans="1:3">
      <c r="A1" s="1" t="s">
        <v>1138</v>
      </c>
      <c r="B1" s="1" t="s">
        <v>1144</v>
      </c>
      <c r="C1" s="1" t="s">
        <v>1145</v>
      </c>
    </row>
    <row r="2" spans="1:3">
      <c r="A2" s="2" t="s">
        <v>1142</v>
      </c>
      <c r="B2" s="66">
        <f ca="1">EOMONTH(TODAY(),-1)+1</f>
        <v>45474</v>
      </c>
      <c r="C2" s="65" t="s">
        <v>1146</v>
      </c>
    </row>
    <row r="3" spans="1:3">
      <c r="A3" s="2" t="s">
        <v>1141</v>
      </c>
      <c r="B3" s="66">
        <f ca="1">EOMONTH(TODAY(),4)+1</f>
        <v>45627</v>
      </c>
      <c r="C3" s="65" t="s">
        <v>1147</v>
      </c>
    </row>
    <row r="4" spans="1:3">
      <c r="A4" s="2" t="s">
        <v>1140</v>
      </c>
      <c r="B4" s="66">
        <f ca="1">EOMONTH(TODAY(),-2)+1</f>
        <v>45444</v>
      </c>
      <c r="C4" s="65" t="s">
        <v>1148</v>
      </c>
    </row>
    <row r="5" spans="1:3">
      <c r="A5" s="2" t="s">
        <v>1139</v>
      </c>
      <c r="B5" s="66">
        <f ca="1">EOMONTH(TODAY(),-7)+1</f>
        <v>45292</v>
      </c>
      <c r="C5" s="65" t="s">
        <v>1149</v>
      </c>
    </row>
    <row r="6" spans="1:3">
      <c r="A6" s="2" t="s">
        <v>1143</v>
      </c>
      <c r="B6" s="66">
        <f ca="1">EOMONTH(TODAY(),23)+1</f>
        <v>46204</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4.25"/>
  <cols>
    <col min="1" max="1" width="17.3984375" bestFit="1" customWidth="1"/>
    <col min="2" max="2" width="44.132812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4.25"/>
  <cols>
    <col min="1" max="1" width="14.1328125" bestFit="1" customWidth="1"/>
    <col min="2" max="2" width="11.1328125" bestFit="1" customWidth="1"/>
    <col min="3" max="3" width="17.265625" bestFit="1" customWidth="1"/>
    <col min="6" max="6" width="9.86328125" bestFit="1" customWidth="1"/>
    <col min="7" max="7" width="10" bestFit="1" customWidth="1"/>
    <col min="8" max="8" width="9.86328125" bestFit="1" customWidth="1"/>
  </cols>
  <sheetData>
    <row r="1" spans="1:8">
      <c r="A1" s="1" t="s">
        <v>1152</v>
      </c>
      <c r="B1" s="20">
        <f>DATE(2022,3,15)</f>
        <v>44635</v>
      </c>
    </row>
    <row r="2" spans="1:8">
      <c r="F2" s="380" t="s">
        <v>1162</v>
      </c>
      <c r="G2" s="380"/>
      <c r="H2" s="380"/>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4.25"/>
  <cols>
    <col min="1" max="1" width="22.59765625" bestFit="1" customWidth="1"/>
    <col min="2" max="2" width="7.3984375" bestFit="1" customWidth="1"/>
    <col min="3" max="3" width="31.398437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4.25"/>
  <cols>
    <col min="1" max="1" width="22.59765625" bestFit="1" customWidth="1"/>
    <col min="2" max="2" width="13.59765625" bestFit="1" customWidth="1"/>
    <col min="3" max="3" width="24.59765625" bestFit="1" customWidth="1"/>
    <col min="4" max="4" width="53.2656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4.25"/>
  <cols>
    <col min="1" max="1" width="12.3984375" bestFit="1" customWidth="1"/>
    <col min="2" max="2" width="30.3984375" bestFit="1" customWidth="1"/>
    <col min="3" max="3" width="14.132812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4.25"/>
  <cols>
    <col min="1" max="1" width="49.59765625" bestFit="1" customWidth="1"/>
    <col min="2" max="2" width="13.265625" bestFit="1" customWidth="1"/>
    <col min="3" max="4" width="11" customWidth="1"/>
    <col min="5" max="5" width="23.73046875" customWidth="1"/>
    <col min="6" max="6" width="13.5976562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4.25"/>
  <cols>
    <col min="1" max="1" width="4.86328125" bestFit="1" customWidth="1"/>
    <col min="2" max="2" width="10.3984375" bestFit="1" customWidth="1"/>
    <col min="3" max="3" width="14.59765625" bestFit="1" customWidth="1"/>
    <col min="8" max="8" width="11.8632812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4.25"/>
  <cols>
    <col min="1" max="1" width="18.2656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4.25"/>
  <cols>
    <col min="1" max="1" width="13.73046875" bestFit="1" customWidth="1"/>
    <col min="2" max="2" width="31.86328125" bestFit="1" customWidth="1"/>
    <col min="3" max="3" width="30.398437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4.25"/>
  <cols>
    <col min="1" max="1" width="23.86328125" bestFit="1" customWidth="1"/>
    <col min="2" max="2" width="27.132812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4.25"/>
  <cols>
    <col min="1" max="1" width="10.3984375" bestFit="1" customWidth="1"/>
    <col min="2" max="2" width="16.3984375" bestFit="1" customWidth="1"/>
    <col min="4" max="4" width="17.59765625" bestFit="1" customWidth="1"/>
    <col min="5" max="5" width="9.398437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4.25"/>
  <cols>
    <col min="1" max="1" width="15.59765625" bestFit="1" customWidth="1"/>
    <col min="2" max="2" width="12.59765625" bestFit="1" customWidth="1"/>
    <col min="3" max="3" width="9.3984375" customWidth="1"/>
    <col min="4" max="4" width="13.59765625" bestFit="1" customWidth="1"/>
    <col min="7" max="7" width="13.59765625" bestFit="1" customWidth="1"/>
    <col min="9" max="9" width="24.2656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4.25"/>
  <cols>
    <col min="1" max="1" width="9.7304687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4.25"/>
  <cols>
    <col min="1" max="1" width="34.73046875" bestFit="1" customWidth="1"/>
    <col min="2" max="2" width="19.3984375" bestFit="1" customWidth="1"/>
    <col min="3" max="3" width="28.1328125" bestFit="1" customWidth="1"/>
  </cols>
  <sheetData>
    <row r="1" spans="1:3">
      <c r="A1" s="1" t="s">
        <v>1138</v>
      </c>
      <c r="B1" s="1" t="s">
        <v>1226</v>
      </c>
      <c r="C1" s="1" t="s">
        <v>1145</v>
      </c>
    </row>
    <row r="2" spans="1:3">
      <c r="A2" s="2" t="s">
        <v>1227</v>
      </c>
      <c r="B2" s="78">
        <f ca="1">NOW()</f>
        <v>45485.458480555557</v>
      </c>
      <c r="C2" s="2" t="s">
        <v>1231</v>
      </c>
    </row>
    <row r="3" spans="1:3">
      <c r="A3" s="77" t="s">
        <v>1228</v>
      </c>
      <c r="B3" s="78">
        <f ca="1">NOW()-7</f>
        <v>45478.458480555557</v>
      </c>
      <c r="C3" s="2" t="s">
        <v>1232</v>
      </c>
    </row>
    <row r="4" spans="1:3">
      <c r="A4" s="2" t="s">
        <v>1229</v>
      </c>
      <c r="B4" s="78">
        <f ca="1">NOW()+0.25</f>
        <v>45485.708480555557</v>
      </c>
      <c r="C4" s="2" t="s">
        <v>1233</v>
      </c>
    </row>
    <row r="5" spans="1:3">
      <c r="A5" s="2" t="s">
        <v>1230</v>
      </c>
      <c r="B5" s="78">
        <f ca="1">NOW()-0.75</f>
        <v>45484.708480555557</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4.25"/>
  <cols>
    <col min="1" max="1" width="20.1328125" bestFit="1" customWidth="1"/>
    <col min="2" max="2" width="60.3984375" customWidth="1"/>
    <col min="4" max="4" width="8.73046875" customWidth="1"/>
  </cols>
  <sheetData>
    <row r="1" spans="1:2">
      <c r="A1" s="1" t="s">
        <v>1235</v>
      </c>
      <c r="B1" s="1" t="s">
        <v>1236</v>
      </c>
    </row>
    <row r="2" spans="1:2">
      <c r="A2" s="78">
        <f ca="1">NOW()</f>
        <v>45485.458480555557</v>
      </c>
      <c r="B2" s="2" t="s">
        <v>1237</v>
      </c>
    </row>
    <row r="3" spans="1:2">
      <c r="A3" s="78">
        <f ca="1">NOW()</f>
        <v>45485.458480555557</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4.25"/>
  <cols>
    <col min="1" max="1" width="20.1328125" bestFit="1" customWidth="1"/>
    <col min="2" max="2" width="13.59765625" bestFit="1" customWidth="1"/>
    <col min="4" max="4" width="10.1328125" bestFit="1" customWidth="1"/>
  </cols>
  <sheetData>
    <row r="1" spans="1:4">
      <c r="A1" s="1" t="s">
        <v>1235</v>
      </c>
      <c r="B1" s="78">
        <f ca="1">NOW()</f>
        <v>45485.458480555557</v>
      </c>
    </row>
    <row r="2" spans="1:4">
      <c r="A2" s="1" t="s">
        <v>1152</v>
      </c>
      <c r="B2" s="66">
        <f ca="1">TODAY()</f>
        <v>45485</v>
      </c>
    </row>
    <row r="3" spans="1:4">
      <c r="A3" s="1" t="s">
        <v>1240</v>
      </c>
      <c r="B3" s="80">
        <f ca="1">NOW()-TODAY()</f>
        <v>0.45848055555688916</v>
      </c>
      <c r="D3" s="81"/>
    </row>
    <row r="5" spans="1:4" ht="15.4">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4.25"/>
  <cols>
    <col min="1" max="1" width="24.86328125" bestFit="1" customWidth="1"/>
    <col min="2" max="2" width="20.265625" bestFit="1" customWidth="1"/>
    <col min="3" max="3" width="22.265625" bestFit="1" customWidth="1"/>
  </cols>
  <sheetData>
    <row r="1" spans="1:3">
      <c r="A1" s="68" t="s">
        <v>1242</v>
      </c>
      <c r="B1" s="68" t="s">
        <v>1241</v>
      </c>
      <c r="C1" s="1" t="s">
        <v>1243</v>
      </c>
    </row>
    <row r="2" spans="1:3">
      <c r="A2" s="77">
        <v>44722.666666666664</v>
      </c>
      <c r="B2" s="78">
        <f ca="1">NOW()</f>
        <v>45485.458480555557</v>
      </c>
      <c r="C2" s="78" t="str">
        <f ca="1">IF((A2-NOW())&gt;0,"Due","Deadline Missed")</f>
        <v>Deadline Missed</v>
      </c>
    </row>
    <row r="3" spans="1:3">
      <c r="A3" s="77">
        <v>44752.666666666664</v>
      </c>
      <c r="B3" s="78">
        <f ca="1">NOW()</f>
        <v>45485.458480555557</v>
      </c>
      <c r="C3" s="78" t="str">
        <f ca="1">IF((A3-NOW())&gt;0,"Due","Deadline Missed")</f>
        <v>Deadline Missed</v>
      </c>
    </row>
    <row r="4" spans="1:3">
      <c r="A4" s="77">
        <v>44783.666666666664</v>
      </c>
      <c r="B4" s="78">
        <f ca="1">NOW()</f>
        <v>45485.458480555557</v>
      </c>
      <c r="C4" s="78" t="str">
        <f ca="1">IF((A4-NOW())&gt;0,"Due","Deadline Missed")</f>
        <v>Deadline Missed</v>
      </c>
    </row>
    <row r="5" spans="1:3">
      <c r="A5" s="77">
        <v>44814.666666666664</v>
      </c>
      <c r="B5" s="78">
        <f ca="1">NOW()</f>
        <v>45485.458480555557</v>
      </c>
      <c r="C5" s="78" t="str">
        <f ca="1">IF((A5-NOW())&gt;0,"Due","Deadline Missed")</f>
        <v>Deadline Missed</v>
      </c>
    </row>
    <row r="6" spans="1:3">
      <c r="A6" s="77">
        <v>44844.666666666664</v>
      </c>
      <c r="B6" s="78">
        <f ca="1">NOW()</f>
        <v>45485.458480555557</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4.25"/>
  <cols>
    <col min="1" max="1" width="26.3984375" bestFit="1" customWidth="1"/>
    <col min="2" max="2" width="11.73046875" bestFit="1" customWidth="1"/>
    <col min="3" max="3" width="18.3984375" bestFit="1" customWidth="1"/>
  </cols>
  <sheetData>
    <row r="1" spans="1:3">
      <c r="A1" s="1" t="s">
        <v>1245</v>
      </c>
      <c r="B1" s="1" t="s">
        <v>1152</v>
      </c>
      <c r="C1" s="1" t="s">
        <v>1244</v>
      </c>
    </row>
    <row r="2" spans="1:3">
      <c r="A2" s="20">
        <v>44788</v>
      </c>
      <c r="B2" s="20">
        <v>44774</v>
      </c>
      <c r="C2" s="7">
        <f t="shared" ref="C2:C7" ca="1" si="0">_xlfn.DAYS(A2,NOW())</f>
        <v>-697</v>
      </c>
    </row>
    <row r="3" spans="1:3">
      <c r="A3" s="20">
        <v>44803</v>
      </c>
      <c r="B3" s="20">
        <v>44774</v>
      </c>
      <c r="C3" s="7">
        <f t="shared" ca="1" si="0"/>
        <v>-682</v>
      </c>
    </row>
    <row r="4" spans="1:3">
      <c r="A4" s="20">
        <v>44819</v>
      </c>
      <c r="B4" s="20">
        <v>44774</v>
      </c>
      <c r="C4" s="7">
        <f t="shared" ca="1" si="0"/>
        <v>-666</v>
      </c>
    </row>
    <row r="5" spans="1:3">
      <c r="A5" s="20">
        <v>44834</v>
      </c>
      <c r="B5" s="20">
        <v>44774</v>
      </c>
      <c r="C5" s="7">
        <f t="shared" ca="1" si="0"/>
        <v>-651</v>
      </c>
    </row>
    <row r="6" spans="1:3">
      <c r="A6" s="20">
        <v>44849</v>
      </c>
      <c r="B6" s="20">
        <v>44774</v>
      </c>
      <c r="C6" s="7">
        <f t="shared" ca="1" si="0"/>
        <v>-636</v>
      </c>
    </row>
    <row r="7" spans="1:3">
      <c r="A7" s="20">
        <v>44864</v>
      </c>
      <c r="B7" s="20">
        <v>44774</v>
      </c>
      <c r="C7" s="7">
        <f t="shared" ca="1" si="0"/>
        <v>-621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4.25"/>
  <cols>
    <col min="1" max="1" width="19.86328125" bestFit="1" customWidth="1"/>
    <col min="2" max="2" width="54.86328125" bestFit="1" customWidth="1"/>
  </cols>
  <sheetData>
    <row r="1" spans="1:2">
      <c r="A1" s="1" t="s">
        <v>1235</v>
      </c>
      <c r="B1" s="1" t="s">
        <v>1247</v>
      </c>
    </row>
    <row r="2" spans="1:2">
      <c r="A2" s="78">
        <f ca="1">NOW()</f>
        <v>45485.458480555557</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4.25"/>
  <cols>
    <col min="1" max="1" width="30.3984375" bestFit="1" customWidth="1"/>
    <col min="2" max="2" width="11.1328125" bestFit="1" customWidth="1"/>
  </cols>
  <sheetData>
    <row r="1" spans="1:2">
      <c r="A1" s="380" t="s">
        <v>1256</v>
      </c>
      <c r="B1" s="380"/>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4.25"/>
  <cols>
    <col min="1" max="1" width="30.59765625" bestFit="1" customWidth="1"/>
    <col min="2" max="2" width="22" bestFit="1" customWidth="1"/>
    <col min="3" max="3" width="8.86328125" bestFit="1" customWidth="1"/>
    <col min="5" max="5" width="18.2656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4.25"/>
  <cols>
    <col min="1" max="1" width="30.3984375" bestFit="1" customWidth="1"/>
    <col min="2" max="2" width="17.59765625" customWidth="1"/>
    <col min="3" max="3" width="11.132812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85" t="s">
        <v>1269</v>
      </c>
      <c r="B6" s="386"/>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4.25"/>
  <cols>
    <col min="1" max="1" width="22.1328125" bestFit="1" customWidth="1"/>
    <col min="2" max="2" width="15.59765625" bestFit="1" customWidth="1"/>
    <col min="3" max="3" width="10.1328125" bestFit="1" customWidth="1"/>
    <col min="7" max="7" width="22.1328125" bestFit="1" customWidth="1"/>
    <col min="8" max="8" width="20.86328125" bestFit="1" customWidth="1"/>
    <col min="9" max="9" width="8.2656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80" t="s">
        <v>1271</v>
      </c>
      <c r="B7" s="380"/>
      <c r="C7" s="84">
        <f>PMT(C2/52,C3*52,C4)</f>
        <v>-55.153527020513195</v>
      </c>
      <c r="G7" s="2" t="s">
        <v>1282</v>
      </c>
      <c r="H7" s="2" t="s">
        <v>1290</v>
      </c>
      <c r="I7" s="2" t="s">
        <v>1295</v>
      </c>
    </row>
    <row r="8" spans="1:9">
      <c r="A8" s="380" t="s">
        <v>1272</v>
      </c>
      <c r="B8" s="380"/>
      <c r="C8" s="84">
        <f>PMT(C2/12,C3*12,C4)</f>
        <v>-239.46244662442905</v>
      </c>
      <c r="G8" s="2" t="s">
        <v>1283</v>
      </c>
      <c r="H8" s="2" t="s">
        <v>1291</v>
      </c>
      <c r="I8" s="2" t="s">
        <v>1296</v>
      </c>
    </row>
    <row r="9" spans="1:9">
      <c r="A9" s="380" t="s">
        <v>1273</v>
      </c>
      <c r="B9" s="380"/>
      <c r="C9" s="84">
        <f>PMT(C2/4,C3*4,C4)</f>
        <v>-721.99576434370317</v>
      </c>
    </row>
    <row r="10" spans="1:9">
      <c r="A10" s="380" t="s">
        <v>1274</v>
      </c>
      <c r="B10" s="380"/>
      <c r="C10" s="84">
        <f>PMT(C2/2,C3*2,C4)</f>
        <v>-1454.7664654857379</v>
      </c>
    </row>
    <row r="11" spans="1:9">
      <c r="A11" s="380" t="s">
        <v>1269</v>
      </c>
      <c r="B11" s="380"/>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4.25"/>
  <cols>
    <col min="1" max="1" width="25.59765625" bestFit="1" customWidth="1"/>
    <col min="2" max="2" width="17.3984375" bestFit="1" customWidth="1"/>
    <col min="3" max="4" width="9.265625" customWidth="1"/>
    <col min="5" max="5" width="17.3984375" bestFit="1" customWidth="1"/>
    <col min="6" max="6" width="10.86328125" customWidth="1"/>
  </cols>
  <sheetData>
    <row r="1" spans="1:7">
      <c r="A1" s="390" t="s">
        <v>1275</v>
      </c>
      <c r="B1" s="391"/>
      <c r="C1" s="391"/>
      <c r="D1" s="391"/>
      <c r="E1" s="391"/>
      <c r="F1" s="392"/>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82" t="s">
        <v>757</v>
      </c>
      <c r="F7" s="384"/>
    </row>
    <row r="8" spans="1:7">
      <c r="A8" s="90"/>
      <c r="B8" s="14"/>
      <c r="C8" s="6"/>
      <c r="D8" s="6"/>
      <c r="E8" s="90"/>
      <c r="F8" s="91"/>
      <c r="G8" s="6"/>
    </row>
    <row r="9" spans="1:7">
      <c r="A9" s="382" t="s">
        <v>1286</v>
      </c>
      <c r="B9" s="384"/>
      <c r="C9" s="6"/>
      <c r="D9" s="14"/>
      <c r="E9" s="387" t="s">
        <v>1277</v>
      </c>
      <c r="F9" s="388"/>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89" t="s">
        <v>1278</v>
      </c>
      <c r="F16" s="389"/>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4.25"/>
  <cols>
    <col min="1" max="1" width="30.3984375" bestFit="1" customWidth="1"/>
    <col min="2" max="2" width="11.1328125" bestFit="1" customWidth="1"/>
  </cols>
  <sheetData>
    <row r="1" spans="1:2">
      <c r="A1" s="380" t="s">
        <v>1256</v>
      </c>
      <c r="B1" s="380"/>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4.25"/>
  <cols>
    <col min="1" max="1" width="47.3984375" bestFit="1" customWidth="1"/>
    <col min="2" max="2" width="13" bestFit="1" customWidth="1"/>
    <col min="3" max="3" width="29.5976562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4.25"/>
  <cols>
    <col min="1" max="1" width="7.1328125" bestFit="1" customWidth="1"/>
    <col min="2" max="2" width="8.1328125" bestFit="1" customWidth="1"/>
    <col min="3" max="3" width="10.1328125" bestFit="1" customWidth="1"/>
    <col min="5" max="5" width="93.1328125" bestFit="1" customWidth="1"/>
    <col min="6" max="6" width="11.7304687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4.25"/>
  <cols>
    <col min="1" max="1" width="14.59765625" bestFit="1" customWidth="1"/>
    <col min="2" max="2" width="11.86328125" bestFit="1" customWidth="1"/>
    <col min="3" max="3" width="15.3984375" bestFit="1" customWidth="1"/>
    <col min="8" max="8" width="14.59765625" bestFit="1" customWidth="1"/>
    <col min="9" max="9" width="11.86328125" bestFit="1" customWidth="1"/>
    <col min="10" max="10" width="15.398437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4.25"/>
  <cols>
    <col min="1" max="1" width="16.86328125" bestFit="1" customWidth="1"/>
    <col min="2" max="2" width="11.86328125" bestFit="1" customWidth="1"/>
    <col min="3" max="3" width="9" bestFit="1" customWidth="1"/>
    <col min="4" max="4" width="9.59765625" bestFit="1" customWidth="1"/>
    <col min="5" max="5" width="10.86328125" bestFit="1" customWidth="1"/>
    <col min="6" max="6" width="8.59765625" bestFit="1" customWidth="1"/>
    <col min="7" max="7" width="11" bestFit="1" customWidth="1"/>
    <col min="8" max="8" width="8.86328125" bestFit="1" customWidth="1"/>
    <col min="9" max="9" width="9.73046875" bestFit="1" customWidth="1"/>
    <col min="10" max="10" width="10.73046875" bestFit="1" customWidth="1"/>
    <col min="11" max="11" width="8.5976562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4.25"/>
  <cols>
    <col min="1" max="1" width="16.1328125" bestFit="1" customWidth="1"/>
    <col min="2" max="2" width="18.1328125" bestFit="1" customWidth="1"/>
    <col min="3" max="3" width="22.1328125" bestFit="1" customWidth="1"/>
    <col min="5" max="5" width="14.3984375" bestFit="1" customWidth="1"/>
    <col min="6" max="6" width="28.1328125" bestFit="1" customWidth="1"/>
  </cols>
  <sheetData>
    <row r="1" spans="1:6">
      <c r="A1" s="1" t="s">
        <v>155</v>
      </c>
      <c r="B1" s="1" t="s">
        <v>369</v>
      </c>
      <c r="C1" s="1" t="s">
        <v>1337</v>
      </c>
      <c r="E1" s="1" t="s">
        <v>240</v>
      </c>
      <c r="F1" s="1" t="s">
        <v>1367</v>
      </c>
    </row>
    <row r="2" spans="1:6" ht="15.75">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4.25"/>
  <cols>
    <col min="1" max="1" width="26.59765625" bestFit="1" customWidth="1"/>
    <col min="2" max="2" width="8.3984375" bestFit="1" customWidth="1"/>
    <col min="3" max="3" width="11.7304687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4.25"/>
  <cols>
    <col min="1" max="1" width="11.59765625" bestFit="1" customWidth="1"/>
    <col min="2" max="2" width="15" bestFit="1" customWidth="1"/>
    <col min="4" max="4" width="18.59765625" bestFit="1" customWidth="1"/>
    <col min="5" max="5" width="19.1328125" bestFit="1" customWidth="1"/>
    <col min="6" max="6" width="39.8632812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73046875" defaultRowHeight="14.25"/>
  <cols>
    <col min="2" max="2" width="13" bestFit="1" customWidth="1"/>
    <col min="3" max="3" width="14.3984375" bestFit="1" customWidth="1"/>
    <col min="6" max="6" width="12.73046875" bestFit="1" customWidth="1"/>
    <col min="7" max="7" width="69.1328125" bestFit="1" customWidth="1"/>
    <col min="9" max="9" width="14.59765625" bestFit="1" customWidth="1"/>
    <col min="10" max="10" width="26.5976562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5.75">
      <c r="B6" s="7">
        <v>4</v>
      </c>
      <c r="C6" s="2" t="s">
        <v>1389</v>
      </c>
      <c r="F6" s="7">
        <v>3</v>
      </c>
      <c r="G6" s="2" t="s">
        <v>1408</v>
      </c>
      <c r="I6" s="7" t="s">
        <v>1403</v>
      </c>
      <c r="J6" s="2" t="s">
        <v>1418</v>
      </c>
    </row>
    <row r="7" spans="2:10" ht="15.75">
      <c r="B7" s="7">
        <v>5</v>
      </c>
      <c r="C7" s="2" t="s">
        <v>1390</v>
      </c>
      <c r="F7" s="7">
        <v>4</v>
      </c>
      <c r="G7" s="2" t="s">
        <v>1409</v>
      </c>
      <c r="I7" s="7" t="s">
        <v>1402</v>
      </c>
      <c r="J7" s="2" t="s">
        <v>1419</v>
      </c>
    </row>
    <row r="8" spans="2:10" ht="15.75">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4.25"/>
  <cols>
    <col min="1" max="1" width="17.265625" bestFit="1" customWidth="1"/>
    <col min="2" max="2" width="36.7304687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4.25"/>
  <cols>
    <col min="1" max="1" width="22.73046875" bestFit="1" customWidth="1"/>
    <col min="2" max="2" width="15.7304687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4.25"/>
  <cols>
    <col min="2" max="2" width="12.2656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4.25"/>
  <cols>
    <col min="1" max="1" width="11.265625" bestFit="1" customWidth="1"/>
    <col min="2" max="2" width="11.265625" customWidth="1"/>
    <col min="3" max="3" width="8.1328125" bestFit="1" customWidth="1"/>
    <col min="7" max="7" width="17.2656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4.25"/>
  <cols>
    <col min="1" max="1" width="34.1328125" bestFit="1" customWidth="1"/>
    <col min="2" max="2" width="12.5976562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4.25"/>
  <cols>
    <col min="1" max="1" width="12.59765625" bestFit="1" customWidth="1"/>
    <col min="2" max="2" width="45.59765625" bestFit="1" customWidth="1"/>
    <col min="3" max="3" width="22.86328125" bestFit="1" customWidth="1"/>
    <col min="4" max="4" width="30.398437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4.25"/>
  <cols>
    <col min="1" max="1" width="7.86328125" bestFit="1" customWidth="1"/>
    <col min="2" max="2" width="22.1328125" bestFit="1" customWidth="1"/>
    <col min="3" max="3" width="10.3984375" bestFit="1" customWidth="1"/>
    <col min="4" max="4" width="39.132812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75">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4.25"/>
  <cols>
    <col min="1" max="1" width="15.265625" bestFit="1" customWidth="1"/>
    <col min="2" max="2" width="8.1328125" bestFit="1" customWidth="1"/>
    <col min="3" max="3" width="10.3984375" bestFit="1" customWidth="1"/>
    <col min="4" max="4" width="25.132812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4.25"/>
  <cols>
    <col min="1" max="1" width="11.265625" bestFit="1" customWidth="1"/>
    <col min="3" max="3" width="9.86328125" bestFit="1" customWidth="1"/>
    <col min="4" max="4" width="10.3984375" bestFit="1" customWidth="1"/>
    <col min="5" max="5" width="19.8632812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4.25"/>
  <cols>
    <col min="1" max="1" width="14.3984375" bestFit="1" customWidth="1"/>
    <col min="2" max="2" width="8.3984375" bestFit="1" customWidth="1"/>
    <col min="3" max="3" width="8.3984375" customWidth="1"/>
    <col min="4" max="4" width="12.5976562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4.25"/>
  <cols>
    <col min="1" max="1" width="7.59765625" bestFit="1" customWidth="1"/>
    <col min="2" max="2" width="10.398437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4.25"/>
  <cols>
    <col min="1" max="1" width="14.1328125" bestFit="1" customWidth="1"/>
    <col min="2" max="2" width="11.59765625" bestFit="1" customWidth="1"/>
    <col min="4" max="4" width="28.59765625" bestFit="1" customWidth="1"/>
    <col min="6" max="6" width="31.398437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4.25"/>
  <cols>
    <col min="1" max="1" width="36.59765625" bestFit="1" customWidth="1"/>
    <col min="2" max="2" width="8.398437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5.75">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4.25"/>
  <cols>
    <col min="1" max="1" width="17.59765625" bestFit="1" customWidth="1"/>
    <col min="2" max="2" width="25.86328125" bestFit="1" customWidth="1"/>
    <col min="5" max="5" width="5" bestFit="1" customWidth="1"/>
    <col min="6" max="6" width="28" customWidth="1"/>
  </cols>
  <sheetData>
    <row r="1" spans="1:6">
      <c r="A1" s="98" t="s">
        <v>1531</v>
      </c>
      <c r="B1" s="98" t="s">
        <v>1532</v>
      </c>
      <c r="E1" s="393" t="s">
        <v>1542</v>
      </c>
      <c r="F1" s="393"/>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xmlns:xlrd2="http://schemas.microsoft.com/office/spreadsheetml/2017/richdata2"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4.25"/>
  <cols>
    <col min="1" max="1" width="26.86328125" bestFit="1" customWidth="1"/>
    <col min="3" max="3" width="33.5976562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4.25"/>
  <cols>
    <col min="1" max="1" width="38.3984375" style="14" bestFit="1" customWidth="1"/>
    <col min="2" max="2" width="9.398437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4.25"/>
  <cols>
    <col min="1" max="1" width="18.3984375" bestFit="1" customWidth="1"/>
    <col min="2" max="2" width="25.73046875" bestFit="1" customWidth="1"/>
    <col min="3" max="3" width="22.398437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4.25"/>
  <cols>
    <col min="1" max="1" width="23.73046875" customWidth="1"/>
    <col min="2" max="2" width="49.1328125" bestFit="1" customWidth="1"/>
    <col min="3" max="3" width="20.59765625" customWidth="1"/>
    <col min="4" max="4" width="46.7304687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45"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4.25"/>
  <cols>
    <col min="1" max="1" width="31.59765625" bestFit="1" customWidth="1"/>
    <col min="2" max="2" width="10.3984375" bestFit="1" customWidth="1"/>
    <col min="3" max="3" width="9.1328125" bestFit="1" customWidth="1"/>
    <col min="4" max="4" width="12" bestFit="1" customWidth="1"/>
    <col min="5" max="5" width="26.132812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4.25"/>
  <cols>
    <col min="1" max="1" width="27.59765625" bestFit="1" customWidth="1"/>
    <col min="2" max="2" width="29.8632812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4.25"/>
  <cols>
    <col min="1" max="1" width="44.1328125" customWidth="1"/>
    <col min="2" max="2" width="11.1328125" bestFit="1" customWidth="1"/>
  </cols>
  <sheetData>
    <row r="1" spans="1:2">
      <c r="A1" s="98" t="s">
        <v>1606</v>
      </c>
      <c r="B1" s="98" t="s">
        <v>1607</v>
      </c>
    </row>
    <row r="2" spans="1:2" ht="28.5">
      <c r="A2" s="107" t="s">
        <v>1608</v>
      </c>
      <c r="B2" s="7">
        <f>(LEN(TRIM(A2))-LEN(SUBSTITUTE(A2," ","")))+1</f>
        <v>17</v>
      </c>
    </row>
    <row r="3" spans="1:2" ht="28.5">
      <c r="A3" s="107" t="s">
        <v>1609</v>
      </c>
      <c r="B3" s="7">
        <f>(LEN(TRIM(A3))-LEN(SUBSTITUTE(A3," ","")))+1</f>
        <v>12</v>
      </c>
    </row>
    <row r="4" spans="1:2" ht="28.5">
      <c r="A4" s="107" t="s">
        <v>1610</v>
      </c>
      <c r="B4" s="7">
        <f>(LEN(TRIM(A4))-LEN(SUBSTITUTE(A4," ","")))+1</f>
        <v>14</v>
      </c>
    </row>
    <row r="5" spans="1:2" ht="28.5">
      <c r="A5" s="107" t="s">
        <v>1611</v>
      </c>
      <c r="B5" s="7">
        <f>(LEN(TRIM(A5))-LEN(SUBSTITUTE(A5," ","")))+1</f>
        <v>18</v>
      </c>
    </row>
    <row r="6" spans="1:2" ht="28.5">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4.25"/>
  <cols>
    <col min="1" max="1" width="18.59765625" bestFit="1" customWidth="1"/>
    <col min="2" max="2" width="14.73046875" bestFit="1" customWidth="1"/>
    <col min="4" max="4" width="14.1328125" bestFit="1" customWidth="1"/>
    <col min="5" max="5" width="14.7304687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4.25"/>
  <cols>
    <col min="1" max="1" width="37.73046875" bestFit="1" customWidth="1"/>
    <col min="2" max="2" width="69.265625" bestFit="1" customWidth="1"/>
    <col min="3" max="3" width="36.8632812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4.25"/>
  <cols>
    <col min="1" max="1" width="9.3984375" bestFit="1" customWidth="1"/>
    <col min="2" max="2" width="22.1328125" bestFit="1" customWidth="1"/>
    <col min="3" max="3" width="8.398437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4.25"/>
  <cols>
    <col min="1" max="1" width="29.73046875" bestFit="1" customWidth="1"/>
    <col min="2" max="3" width="10.398437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4.25"/>
  <cols>
    <col min="1" max="1" width="13" bestFit="1" customWidth="1"/>
    <col min="2" max="2" width="10.59765625" bestFit="1" customWidth="1"/>
    <col min="4" max="4" width="9.398437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4.25"/>
  <cols>
    <col min="1" max="1" width="10.3984375" bestFit="1" customWidth="1"/>
    <col min="2" max="2" width="18.86328125" bestFit="1" customWidth="1"/>
    <col min="5" max="5" width="11.1328125" bestFit="1" customWidth="1"/>
    <col min="6" max="6" width="11.3984375" bestFit="1" customWidth="1"/>
  </cols>
  <sheetData>
    <row r="1" spans="1:6">
      <c r="A1" s="98" t="s">
        <v>670</v>
      </c>
      <c r="B1" s="98" t="s">
        <v>1661</v>
      </c>
      <c r="E1" s="394" t="s">
        <v>1662</v>
      </c>
      <c r="F1" s="395"/>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4.25"/>
  <cols>
    <col min="1" max="1" width="17.3984375" bestFit="1" customWidth="1"/>
    <col min="2" max="2" width="23" bestFit="1" customWidth="1"/>
    <col min="3" max="3" width="16.59765625" bestFit="1" customWidth="1"/>
    <col min="5" max="5" width="23.1328125" bestFit="1" customWidth="1"/>
    <col min="6" max="6" width="22.3984375" bestFit="1" customWidth="1"/>
    <col min="7" max="7" width="8.3984375" bestFit="1" customWidth="1"/>
  </cols>
  <sheetData>
    <row r="1" spans="1:7">
      <c r="A1" s="396" t="s">
        <v>1670</v>
      </c>
      <c r="B1" s="397"/>
      <c r="C1" s="397"/>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4.25"/>
  <cols>
    <col min="1" max="1" width="9.3984375" bestFit="1" customWidth="1"/>
    <col min="2" max="2" width="14.3984375" bestFit="1" customWidth="1"/>
    <col min="3" max="3" width="9.3984375" bestFit="1" customWidth="1"/>
    <col min="4" max="4" width="16.398437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4.25"/>
  <cols>
    <col min="1" max="1" width="9.86328125" bestFit="1" customWidth="1"/>
    <col min="2" max="2" width="29.1328125" bestFit="1" customWidth="1"/>
    <col min="3" max="3" width="23.132812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4.25"/>
  <cols>
    <col min="1" max="1" width="14.59765625" bestFit="1" customWidth="1"/>
    <col min="2" max="2" width="17.3984375" customWidth="1"/>
    <col min="3" max="3" width="15.73046875" bestFit="1" customWidth="1"/>
  </cols>
  <sheetData>
    <row r="1" spans="1:4" ht="42.75">
      <c r="A1" s="1" t="s">
        <v>1682</v>
      </c>
      <c r="B1" s="8" t="s">
        <v>1675</v>
      </c>
      <c r="C1" s="8" t="s">
        <v>1697</v>
      </c>
    </row>
    <row r="2" spans="1:4">
      <c r="A2" s="2">
        <v>1</v>
      </c>
      <c r="B2" s="376">
        <v>5</v>
      </c>
      <c r="C2" s="7">
        <f>MROUND(A2,5)</f>
        <v>0</v>
      </c>
    </row>
    <row r="3" spans="1:4">
      <c r="A3" s="2">
        <v>2</v>
      </c>
      <c r="B3" s="377"/>
      <c r="C3" s="7">
        <f t="shared" ref="C3:C11" si="0">MROUND(A3,5)</f>
        <v>0</v>
      </c>
    </row>
    <row r="4" spans="1:4">
      <c r="A4" s="2">
        <v>3</v>
      </c>
      <c r="B4" s="377"/>
      <c r="C4" s="7">
        <f t="shared" si="0"/>
        <v>5</v>
      </c>
    </row>
    <row r="5" spans="1:4">
      <c r="A5" s="2">
        <v>4</v>
      </c>
      <c r="B5" s="377"/>
      <c r="C5" s="7">
        <f t="shared" si="0"/>
        <v>5</v>
      </c>
    </row>
    <row r="6" spans="1:4">
      <c r="A6" s="2">
        <v>5</v>
      </c>
      <c r="B6" s="377"/>
      <c r="C6" s="7">
        <f t="shared" si="0"/>
        <v>5</v>
      </c>
    </row>
    <row r="7" spans="1:4">
      <c r="A7" s="2">
        <v>6</v>
      </c>
      <c r="B7" s="377"/>
      <c r="C7" s="7">
        <f t="shared" si="0"/>
        <v>5</v>
      </c>
    </row>
    <row r="8" spans="1:4">
      <c r="A8" s="2">
        <v>7</v>
      </c>
      <c r="B8" s="377"/>
      <c r="C8" s="7">
        <f t="shared" si="0"/>
        <v>5</v>
      </c>
    </row>
    <row r="9" spans="1:4">
      <c r="A9" s="2">
        <v>8</v>
      </c>
      <c r="B9" s="377"/>
      <c r="C9" s="7">
        <f t="shared" si="0"/>
        <v>10</v>
      </c>
    </row>
    <row r="10" spans="1:4">
      <c r="A10" s="2">
        <v>9</v>
      </c>
      <c r="B10" s="377"/>
      <c r="C10" s="7">
        <f t="shared" si="0"/>
        <v>10</v>
      </c>
    </row>
    <row r="11" spans="1:4" ht="15.75">
      <c r="A11" s="2">
        <v>10</v>
      </c>
      <c r="B11" s="378"/>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4.25"/>
  <cols>
    <col min="1" max="1" width="11.265625" bestFit="1" customWidth="1"/>
    <col min="2" max="2" width="16.265625" bestFit="1" customWidth="1"/>
    <col min="3" max="3" width="12.59765625" bestFit="1" customWidth="1"/>
    <col min="4" max="4" width="20.7304687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4.25"/>
  <cols>
    <col min="1" max="1" width="20.1328125" bestFit="1" customWidth="1"/>
    <col min="2" max="2" width="8.3984375" bestFit="1" customWidth="1"/>
    <col min="3" max="3" width="7.86328125" bestFit="1" customWidth="1"/>
    <col min="4" max="4" width="19.5976562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4.25"/>
  <cols>
    <col min="1" max="1" width="11.265625" bestFit="1" customWidth="1"/>
    <col min="2" max="2" width="17.1328125" bestFit="1" customWidth="1"/>
    <col min="3" max="3" width="16.8632812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4.25"/>
  <cols>
    <col min="1" max="1" width="16" bestFit="1" customWidth="1"/>
    <col min="2" max="2" width="16" customWidth="1"/>
    <col min="3" max="3" width="24.8632812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4.25"/>
  <cols>
    <col min="1" max="1" width="7.86328125" bestFit="1" customWidth="1"/>
    <col min="3" max="3" width="51.265625" bestFit="1" customWidth="1"/>
    <col min="4" max="4" width="13.3984375" customWidth="1"/>
    <col min="5" max="5" width="30.59765625" bestFit="1" customWidth="1"/>
  </cols>
  <sheetData>
    <row r="1" spans="1:5" ht="42.75">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4.25"/>
  <cols>
    <col min="1" max="1" width="10.265625" bestFit="1" customWidth="1"/>
    <col min="2" max="2" width="8.86328125" bestFit="1" customWidth="1"/>
    <col min="3" max="3" width="11.86328125" bestFit="1" customWidth="1"/>
  </cols>
  <sheetData>
    <row r="1" spans="1:3" ht="15.75">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4.25"/>
  <cols>
    <col min="2" max="2" width="20.86328125" bestFit="1" customWidth="1"/>
    <col min="3" max="3" width="14.86328125" bestFit="1" customWidth="1"/>
    <col min="4" max="4" width="11.86328125" bestFit="1" customWidth="1"/>
  </cols>
  <sheetData>
    <row r="1" spans="2:4">
      <c r="B1" s="390" t="s">
        <v>1716</v>
      </c>
      <c r="C1" s="391"/>
      <c r="D1" s="392"/>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4.25"/>
  <cols>
    <col min="1" max="1" width="17.1328125" bestFit="1" customWidth="1"/>
    <col min="2" max="3" width="8.73046875" customWidth="1"/>
  </cols>
  <sheetData>
    <row r="1" spans="1:3" ht="15.75">
      <c r="A1" s="1" t="s">
        <v>1729</v>
      </c>
      <c r="B1" s="1" t="s">
        <v>1731</v>
      </c>
      <c r="C1" s="1" t="s">
        <v>1730</v>
      </c>
    </row>
    <row r="2" spans="1:3" ht="15.75">
      <c r="A2" s="2" t="s">
        <v>1735</v>
      </c>
      <c r="B2" s="115">
        <f>((-4+POWER(POWER(4,2)-(4*1*(-5)),1/2)))/(2*1)</f>
        <v>1</v>
      </c>
      <c r="C2" s="7">
        <f>((-4-POWER(POWER(4,2)-(4*1*(-5)),1/2)))/(2*1)</f>
        <v>-5</v>
      </c>
    </row>
    <row r="3" spans="1:3" ht="15.75">
      <c r="A3" s="2" t="s">
        <v>1732</v>
      </c>
      <c r="B3" s="18">
        <f>((-(-5)+POWER(POWER((-5),2)-(4*2*3),1/2)))/(2*2)</f>
        <v>1.5</v>
      </c>
      <c r="C3" s="18">
        <f>((-(-5)-POWER(POWER((-5),2)-(4*2*3),1/2)))/(2*2)</f>
        <v>1</v>
      </c>
    </row>
    <row r="4" spans="1:3" ht="15.75">
      <c r="A4" s="2" t="s">
        <v>1733</v>
      </c>
      <c r="B4" s="18">
        <f>((-1+POWER(POWER(1,2)-(4*2*(-300)),1/2)))/(2*2)</f>
        <v>12</v>
      </c>
      <c r="C4" s="18">
        <f>((-1-POWER(POWER(1,2)-(4*2*(-300)),1/2)))/(2*2)</f>
        <v>-12.5</v>
      </c>
    </row>
    <row r="5" spans="1:3" ht="15.75">
      <c r="A5" s="2" t="s">
        <v>1734</v>
      </c>
      <c r="B5" s="18">
        <f>((-(-45)+POWER(POWER((-45),2)-(4*1*324),1/2)))/(2*1)</f>
        <v>36</v>
      </c>
      <c r="C5" s="18">
        <f>((-(-45)-POWER(POWER((-45),2)-(4*1*324),1/2)))/(2*1)</f>
        <v>9</v>
      </c>
    </row>
    <row r="6" spans="1:3" ht="15.75">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4.25"/>
  <cols>
    <col min="1" max="1" width="12" bestFit="1" customWidth="1"/>
    <col min="2" max="2" width="6.8632812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4.25"/>
  <cols>
    <col min="1" max="2" width="10.398437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4.25"/>
  <cols>
    <col min="1" max="1" width="12" bestFit="1" customWidth="1"/>
    <col min="2" max="2" width="6.1328125" bestFit="1" customWidth="1"/>
    <col min="3" max="3" width="11.8632812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4.25"/>
  <cols>
    <col min="1" max="1" width="14.1328125" bestFit="1" customWidth="1"/>
    <col min="2" max="2" width="68.73046875" bestFit="1" customWidth="1"/>
    <col min="3" max="3" width="14.265625" customWidth="1"/>
    <col min="4" max="4" width="33.132812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76" t="s">
        <v>1749</v>
      </c>
      <c r="C6" s="398" t="str">
        <f>A6&amp;CHAR(10)&amp;A7</f>
        <v>Georgia
ZIP Code: 30006</v>
      </c>
      <c r="D6" s="400" t="s">
        <v>1755</v>
      </c>
    </row>
    <row r="7" spans="1:6">
      <c r="A7" s="2" t="s">
        <v>1744</v>
      </c>
      <c r="B7" s="378"/>
      <c r="C7" s="399"/>
      <c r="D7" s="401"/>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4.25"/>
  <cols>
    <col min="1" max="1" width="8.86328125" bestFit="1" customWidth="1"/>
    <col min="2" max="2" width="9.3984375" bestFit="1" customWidth="1"/>
    <col min="3" max="3" width="40.1328125" bestFit="1" customWidth="1"/>
    <col min="4" max="4" width="40.1328125" customWidth="1"/>
    <col min="5" max="5" width="19.398437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4.25"/>
  <cols>
    <col min="1" max="1" width="11.1328125" bestFit="1" customWidth="1"/>
    <col min="2" max="2" width="41.3984375" customWidth="1"/>
    <col min="3" max="3" width="42.265625" bestFit="1" customWidth="1"/>
    <col min="4" max="4" width="39.398437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42.75">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4.25"/>
  <cols>
    <col min="1" max="1" width="15.86328125" bestFit="1" customWidth="1"/>
    <col min="2" max="2" width="20.265625" bestFit="1" customWidth="1"/>
    <col min="3" max="3" width="9.86328125" bestFit="1" customWidth="1"/>
    <col min="4" max="4" width="9.1328125" bestFit="1" customWidth="1"/>
    <col min="5" max="5" width="8" bestFit="1" customWidth="1"/>
    <col min="6" max="6" width="44.59765625" bestFit="1" customWidth="1"/>
  </cols>
  <sheetData>
    <row r="1" spans="1:6">
      <c r="A1" s="1" t="s">
        <v>1779</v>
      </c>
      <c r="B1" s="1" t="s">
        <v>1775</v>
      </c>
      <c r="C1" s="1" t="s">
        <v>1776</v>
      </c>
      <c r="D1" s="1" t="s">
        <v>352</v>
      </c>
      <c r="E1" s="1" t="s">
        <v>1089</v>
      </c>
      <c r="F1" s="25" t="s">
        <v>1788</v>
      </c>
    </row>
    <row r="2" spans="1:6" ht="57">
      <c r="A2" s="3" t="s">
        <v>1770</v>
      </c>
      <c r="B2" s="3" t="s">
        <v>1777</v>
      </c>
      <c r="C2" s="3" t="s">
        <v>1778</v>
      </c>
      <c r="D2" s="3" t="s">
        <v>347</v>
      </c>
      <c r="E2" s="3">
        <v>91763</v>
      </c>
      <c r="F2" s="116" t="str">
        <f>B2&amp;CHAR(10)&amp;C2&amp;CHAR(10)&amp;D2&amp;CHAR(10)&amp;E2</f>
        <v>4781 Canoga St #APT 4
Montclair
California
91763</v>
      </c>
    </row>
    <row r="3" spans="1:6" ht="57">
      <c r="A3" s="3" t="s">
        <v>1771</v>
      </c>
      <c r="B3" s="3" t="s">
        <v>1780</v>
      </c>
      <c r="C3" s="3" t="s">
        <v>1781</v>
      </c>
      <c r="D3" s="3" t="s">
        <v>347</v>
      </c>
      <c r="E3" s="3">
        <v>93021</v>
      </c>
      <c r="F3" s="116" t="str">
        <f>B3&amp;CHAR(10)&amp;C3&amp;CHAR(10)&amp;D3&amp;CHAR(10)&amp;E3</f>
        <v>4564 N Isle Royale St
Moorpark
California
93021</v>
      </c>
    </row>
    <row r="4" spans="1:6" ht="57">
      <c r="A4" s="3" t="s">
        <v>1772</v>
      </c>
      <c r="B4" s="3" t="s">
        <v>1782</v>
      </c>
      <c r="C4" s="3" t="s">
        <v>1783</v>
      </c>
      <c r="D4" s="3" t="s">
        <v>347</v>
      </c>
      <c r="E4" s="3">
        <v>93003</v>
      </c>
      <c r="F4" s="116" t="str">
        <f>B4&amp;CHAR(10)&amp;C4&amp;CHAR(10)&amp;D4&amp;CHAR(10)&amp;E4</f>
        <v>477 S Borchard Dr
Ventura
California
93003</v>
      </c>
    </row>
    <row r="5" spans="1:6" ht="57">
      <c r="A5" s="3" t="s">
        <v>1773</v>
      </c>
      <c r="B5" s="3" t="s">
        <v>1784</v>
      </c>
      <c r="C5" s="3" t="s">
        <v>1785</v>
      </c>
      <c r="D5" s="3" t="s">
        <v>347</v>
      </c>
      <c r="E5" s="3">
        <v>95765</v>
      </c>
      <c r="F5" s="116" t="str">
        <f>B5&amp;CHAR(10)&amp;C5&amp;CHAR(10)&amp;D5&amp;CHAR(10)&amp;E5</f>
        <v>4563 Scenic Dr
Rocklin
California
95765</v>
      </c>
    </row>
    <row r="6" spans="1:6" ht="57">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4.25"/>
  <cols>
    <col min="1" max="2" width="22.8632812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4.25"/>
  <cols>
    <col min="1" max="1" width="9.86328125" bestFit="1" customWidth="1"/>
    <col min="2" max="2" width="13.86328125" bestFit="1" customWidth="1"/>
    <col min="3" max="3" width="17.5976562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4.25"/>
  <cols>
    <col min="1" max="1" width="32.1328125" bestFit="1" customWidth="1"/>
    <col min="2" max="2" width="24.8632812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4.25"/>
  <cols>
    <col min="1" max="1" width="56" bestFit="1" customWidth="1"/>
    <col min="2" max="2" width="21.1328125" bestFit="1" customWidth="1"/>
    <col min="3" max="3" width="33.8632812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4.25"/>
  <cols>
    <col min="1" max="1" width="14.1328125" bestFit="1" customWidth="1"/>
    <col min="2" max="2" width="8.3984375" bestFit="1" customWidth="1"/>
    <col min="3" max="3" width="8.1328125" bestFit="1" customWidth="1"/>
    <col min="5" max="5" width="67" bestFit="1" customWidth="1"/>
    <col min="6" max="6" width="9.1328125" customWidth="1"/>
  </cols>
  <sheetData>
    <row r="1" spans="1:8">
      <c r="A1" s="1" t="s">
        <v>533</v>
      </c>
      <c r="B1" s="1" t="s">
        <v>136</v>
      </c>
      <c r="C1" s="1" t="s">
        <v>357</v>
      </c>
      <c r="E1" s="1" t="s">
        <v>1138</v>
      </c>
      <c r="F1" s="385" t="s">
        <v>1816</v>
      </c>
      <c r="G1" s="381"/>
      <c r="H1" s="381"/>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4.25"/>
  <cols>
    <col min="1" max="1" width="31.1328125" bestFit="1" customWidth="1"/>
    <col min="2" max="13" width="9.398437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4.25"/>
  <cols>
    <col min="2" max="11" width="12.86328125" customWidth="1"/>
  </cols>
  <sheetData>
    <row r="1" spans="1:11" s="121" customFormat="1" ht="28.5">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85" t="s">
        <v>1842</v>
      </c>
      <c r="C10" s="381"/>
      <c r="D10" s="381"/>
      <c r="E10" s="381"/>
      <c r="F10" s="381"/>
      <c r="G10" s="381"/>
      <c r="H10" s="381"/>
      <c r="I10" s="381"/>
      <c r="J10" s="381"/>
      <c r="K10" s="381"/>
    </row>
    <row r="11" spans="1:11">
      <c r="B11" s="7">
        <f t="array" ref="B11:K11">COLUMN(B1:K8)</f>
        <v>2</v>
      </c>
      <c r="C11" s="7">
        <v>3</v>
      </c>
      <c r="D11" s="7">
        <v>4</v>
      </c>
      <c r="E11" s="7">
        <v>5</v>
      </c>
      <c r="F11" s="7">
        <v>6</v>
      </c>
      <c r="G11" s="7">
        <v>7</v>
      </c>
      <c r="H11" s="7">
        <v>8</v>
      </c>
      <c r="I11" s="7">
        <v>9</v>
      </c>
      <c r="J11" s="7">
        <v>10</v>
      </c>
      <c r="K11" s="7">
        <v>11</v>
      </c>
    </row>
    <row r="14" spans="1:11" ht="57">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4.25"/>
  <cols>
    <col min="1" max="1" width="14.86328125" bestFit="1" customWidth="1"/>
    <col min="2" max="2" width="11.265625" bestFit="1" customWidth="1"/>
    <col min="3" max="3" width="13.86328125" bestFit="1" customWidth="1"/>
    <col min="4" max="4" width="13.73046875" bestFit="1" customWidth="1"/>
    <col min="5" max="5" width="7.86328125" bestFit="1" customWidth="1"/>
    <col min="6" max="6" width="14.73046875" bestFit="1" customWidth="1"/>
    <col min="9" max="9" width="12.86328125" bestFit="1" customWidth="1"/>
    <col min="10" max="10" width="22.86328125" bestFit="1" customWidth="1"/>
    <col min="11" max="11" width="13.73046875" bestFit="1" customWidth="1"/>
  </cols>
  <sheetData>
    <row r="1" spans="1:11">
      <c r="A1" s="1" t="s">
        <v>155</v>
      </c>
      <c r="B1" s="1" t="s">
        <v>156</v>
      </c>
      <c r="C1" s="1" t="s">
        <v>369</v>
      </c>
      <c r="D1" s="1" t="s">
        <v>158</v>
      </c>
      <c r="E1" s="1" t="s">
        <v>1844</v>
      </c>
      <c r="F1" s="1" t="s">
        <v>237</v>
      </c>
      <c r="I1" s="379" t="s">
        <v>1869</v>
      </c>
      <c r="J1" s="379"/>
      <c r="K1" s="379"/>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4.25"/>
  <cols>
    <col min="1" max="1" width="37.59765625" bestFit="1" customWidth="1"/>
    <col min="4" max="4" width="7.59765625" bestFit="1" customWidth="1"/>
    <col min="5" max="5" width="11.8632812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4.25"/>
  <cols>
    <col min="1" max="1" width="34.59765625" bestFit="1" customWidth="1"/>
    <col min="2" max="2" width="72.73046875" bestFit="1" customWidth="1"/>
    <col min="3" max="3" width="44.265625" bestFit="1" customWidth="1"/>
    <col min="4" max="4" width="27.5976562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2.75">
      <c r="A5" s="123" t="str">
        <f>"This cell "&amp;CHAR(10)&amp;"contained "&amp;CHAR(10)&amp;"line breaks."</f>
        <v>This cell 
contained 
line breaks.</v>
      </c>
      <c r="B5" s="124" t="s">
        <v>1915</v>
      </c>
      <c r="C5" s="47" t="str">
        <f>CLEAN(A5)</f>
        <v>This cell contained line breaks.</v>
      </c>
      <c r="D5" s="124" t="s">
        <v>1881</v>
      </c>
    </row>
    <row r="9" spans="1:4">
      <c r="C9" s="122"/>
    </row>
    <row r="13" spans="1:4" ht="14.65">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4.25"/>
  <cols>
    <col min="1" max="1" width="14" bestFit="1" customWidth="1"/>
    <col min="2" max="2" width="24.86328125" bestFit="1" customWidth="1"/>
    <col min="3" max="3" width="15.86328125" bestFit="1" customWidth="1"/>
    <col min="6" max="6" width="12.59765625" customWidth="1"/>
    <col min="7" max="7" width="15.2656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4.25"/>
  <cols>
    <col min="1" max="1" width="14.86328125" customWidth="1"/>
    <col min="2" max="2" width="22.59765625" bestFit="1" customWidth="1"/>
    <col min="3" max="3" width="34.398437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4.25"/>
  <cols>
    <col min="1" max="1" width="26.86328125" bestFit="1" customWidth="1"/>
    <col min="2" max="2" width="30.398437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4.25"/>
  <cols>
    <col min="1" max="1" width="34.86328125" customWidth="1"/>
    <col min="2" max="2" width="14.5976562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28.5">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4.25"/>
  <cols>
    <col min="1" max="2" width="42.1328125" bestFit="1" customWidth="1"/>
    <col min="3" max="3" width="64.265625" bestFit="1" customWidth="1"/>
  </cols>
  <sheetData>
    <row r="1" spans="1:3" ht="28.5">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42.75">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4.25"/>
  <cols>
    <col min="1" max="1" width="10.59765625" customWidth="1"/>
    <col min="2" max="2" width="7.86328125" customWidth="1"/>
    <col min="3" max="3" width="40.86328125" customWidth="1"/>
    <col min="4" max="4" width="13.3984375" customWidth="1"/>
    <col min="5" max="5" width="29.5976562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4.25"/>
  <cols>
    <col min="1" max="1" width="10.3984375" bestFit="1" customWidth="1"/>
    <col min="2" max="2" width="7.3984375" bestFit="1" customWidth="1"/>
    <col min="3" max="3" width="12.8632812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4.25"/>
  <cols>
    <col min="1" max="1" width="7.1328125" bestFit="1" customWidth="1"/>
    <col min="2" max="2" width="18.86328125" bestFit="1" customWidth="1"/>
    <col min="3" max="3" width="17.59765625" bestFit="1" customWidth="1"/>
    <col min="4" max="4" width="11.3984375" customWidth="1"/>
    <col min="5" max="5" width="10.3984375" bestFit="1" customWidth="1"/>
    <col min="6" max="6" width="9.398437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4.25"/>
  <cols>
    <col min="1" max="1" width="9.265625" bestFit="1" customWidth="1"/>
    <col min="2" max="2" width="10.59765625" bestFit="1" customWidth="1"/>
    <col min="4" max="4" width="7.132812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4.25"/>
  <cols>
    <col min="1" max="1" width="14.86328125" bestFit="1" customWidth="1"/>
    <col min="2" max="2" width="7.73046875" bestFit="1" customWidth="1"/>
    <col min="3" max="3" width="11.86328125" bestFit="1" customWidth="1"/>
    <col min="4" max="4" width="18.3984375" bestFit="1" customWidth="1"/>
    <col min="6" max="6" width="9.3984375" bestFit="1" customWidth="1"/>
    <col min="7" max="7" width="10.3984375" bestFit="1" customWidth="1"/>
    <col min="9" max="9" width="10.398437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4.25"/>
  <cols>
    <col min="1" max="1" width="20.86328125" bestFit="1" customWidth="1"/>
    <col min="2" max="2" width="19.86328125" bestFit="1" customWidth="1"/>
    <col min="3" max="3" width="23.5976562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4.25"/>
  <cols>
    <col min="1" max="1" width="22.3984375" bestFit="1" customWidth="1"/>
    <col min="2" max="2" width="18.5976562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4.25"/>
  <cols>
    <col min="2" max="6" width="17" bestFit="1" customWidth="1"/>
    <col min="7" max="7" width="15.8632812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4.25"/>
  <cols>
    <col min="2" max="2" width="42.1328125" bestFit="1" customWidth="1"/>
    <col min="4" max="4" width="23.3984375" customWidth="1"/>
  </cols>
  <sheetData>
    <row r="1" spans="1:5" ht="36.950000000000003"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4.25"/>
  <cols>
    <col min="1" max="1" width="41.1328125" bestFit="1" customWidth="1"/>
    <col min="2" max="2" width="11.8632812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4.25"/>
  <cols>
    <col min="1" max="1" width="19.59765625" bestFit="1" customWidth="1"/>
    <col min="2" max="2" width="20.8632812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80" t="s">
        <v>2033</v>
      </c>
      <c r="B13" s="7">
        <f t="array" ref="B13:B14">_xlfn.MODE.MULT(B2:B9)</f>
        <v>45</v>
      </c>
    </row>
    <row r="14" spans="1:2">
      <c r="A14" s="380"/>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4.25"/>
  <cols>
    <col min="1" max="1" width="11.73046875" bestFit="1" customWidth="1"/>
    <col min="2" max="2" width="13.59765625" bestFit="1" customWidth="1"/>
    <col min="5" max="5" width="19.7304687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4.25"/>
  <cols>
    <col min="1" max="1" width="15.1328125" customWidth="1"/>
    <col min="2" max="2" width="11.1328125" customWidth="1"/>
    <col min="3" max="3" width="14.3984375" customWidth="1"/>
    <col min="4" max="4" width="102.59765625" bestFit="1" customWidth="1"/>
    <col min="6" max="6" width="11.265625" customWidth="1"/>
    <col min="7" max="7" width="14" customWidth="1"/>
  </cols>
  <sheetData>
    <row r="1" spans="1:7">
      <c r="A1" s="1" t="s">
        <v>533</v>
      </c>
      <c r="B1" s="1" t="s">
        <v>2040</v>
      </c>
      <c r="C1" s="1" t="s">
        <v>2039</v>
      </c>
      <c r="D1" s="25" t="s">
        <v>1475</v>
      </c>
      <c r="F1" s="382" t="s">
        <v>757</v>
      </c>
      <c r="G1" s="384"/>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xmlns:xlrd2="http://schemas.microsoft.com/office/spreadsheetml/2017/richdata2"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4.25"/>
  <cols>
    <col min="1" max="1" width="13.73046875" bestFit="1" customWidth="1"/>
    <col min="2" max="2" width="31.3984375" bestFit="1" customWidth="1"/>
    <col min="3" max="3" width="19.8632812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4.25"/>
  <cols>
    <col min="1" max="1" width="14.3984375" bestFit="1" customWidth="1"/>
    <col min="2" max="2" width="13.1328125" bestFit="1" customWidth="1"/>
    <col min="3" max="3" width="5.8632812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4.25"/>
  <cols>
    <col min="1" max="1" width="30.73046875" bestFit="1" customWidth="1"/>
    <col min="2" max="2" width="10.3984375" bestFit="1" customWidth="1"/>
    <col min="3" max="3" width="21.3984375" bestFit="1" customWidth="1"/>
    <col min="5" max="5" width="10.398437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4.25"/>
  <cols>
    <col min="1" max="1" width="31.1328125" bestFit="1" customWidth="1"/>
    <col min="2" max="2" width="10.8632812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4.25"/>
  <cols>
    <col min="1" max="1" width="9.86328125" bestFit="1" customWidth="1"/>
    <col min="3" max="4" width="13.86328125" bestFit="1" customWidth="1"/>
    <col min="5" max="5" width="107.59765625" customWidth="1"/>
  </cols>
  <sheetData>
    <row r="1" spans="1:5">
      <c r="A1" s="1" t="s">
        <v>32</v>
      </c>
      <c r="C1" s="1" t="s">
        <v>2116</v>
      </c>
      <c r="D1" s="380" t="s">
        <v>32</v>
      </c>
      <c r="E1" s="380"/>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4.25"/>
  <cols>
    <col min="1" max="1" width="5.73046875" bestFit="1" customWidth="1"/>
    <col min="2" max="4" width="23" bestFit="1" customWidth="1"/>
    <col min="5" max="5" width="51.265625" style="121" customWidth="1"/>
    <col min="6" max="6" width="30.86328125" bestFit="1" customWidth="1"/>
    <col min="7" max="7" width="34.398437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c r="A4" s="2" t="s">
        <v>1987</v>
      </c>
      <c r="B4" s="2">
        <v>100</v>
      </c>
      <c r="C4" s="2">
        <v>200</v>
      </c>
      <c r="D4" s="2">
        <v>300</v>
      </c>
      <c r="E4" s="107" t="s">
        <v>2123</v>
      </c>
      <c r="F4" s="7" t="b">
        <f>_xlfn.XOR(C4&gt;B4,D4&gt;C4)</f>
        <v>0</v>
      </c>
      <c r="G4" s="65" t="s">
        <v>2128</v>
      </c>
    </row>
    <row r="5" spans="1:7">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4.25"/>
  <cols>
    <col min="1" max="2" width="7" bestFit="1" customWidth="1"/>
    <col min="3" max="3" width="12.132812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4.25"/>
  <cols>
    <col min="1" max="5" width="13.1328125" bestFit="1" customWidth="1"/>
    <col min="6" max="6" width="12.132812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4.25"/>
  <cols>
    <col min="1" max="1" width="9.59765625" bestFit="1" customWidth="1"/>
    <col min="4" max="4" width="27.7304687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4.25"/>
  <cols>
    <col min="1" max="1" width="18" bestFit="1" customWidth="1"/>
    <col min="2" max="2" width="12.132812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4.25"/>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4.25"/>
  <cols>
    <col min="1" max="1" width="10.3984375" bestFit="1" customWidth="1"/>
    <col min="2" max="2" width="15.73046875" bestFit="1" customWidth="1"/>
    <col min="3" max="3" width="30.398437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4.25"/>
  <cols>
    <col min="3" max="3" width="12.265625" bestFit="1" customWidth="1"/>
    <col min="4" max="4" width="11.86328125" bestFit="1" customWidth="1"/>
    <col min="5" max="5" width="27.86328125" bestFit="1" customWidth="1"/>
    <col min="6" max="6" width="17.8632812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4.25"/>
  <cols>
    <col min="1" max="1" width="21.59765625" bestFit="1" customWidth="1"/>
    <col min="2" max="2" width="15.73046875" bestFit="1" customWidth="1"/>
    <col min="3" max="3" width="22.5976562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4.25"/>
  <cols>
    <col min="1" max="1" width="17.3984375" bestFit="1" customWidth="1"/>
    <col min="4" max="4" width="16.265625" bestFit="1" customWidth="1"/>
    <col min="5" max="5" width="17.3984375" bestFit="1" customWidth="1"/>
  </cols>
  <sheetData>
    <row r="1" spans="1:5">
      <c r="A1" s="1" t="s">
        <v>2198</v>
      </c>
      <c r="D1" s="385" t="s">
        <v>2209</v>
      </c>
      <c r="E1" s="381"/>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4.25"/>
  <cols>
    <col min="1" max="1" width="10.59765625" bestFit="1" customWidth="1"/>
    <col min="4" max="4" width="30.398437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4.25"/>
  <cols>
    <col min="1" max="1" width="15.86328125" bestFit="1" customWidth="1"/>
    <col min="2" max="2" width="14.265625" bestFit="1" customWidth="1"/>
    <col min="4" max="4" width="15.59765625" bestFit="1" customWidth="1"/>
    <col min="5" max="5" width="34.1328125" bestFit="1" customWidth="1"/>
  </cols>
  <sheetData>
    <row r="1" spans="1:5">
      <c r="A1" s="385" t="s">
        <v>2247</v>
      </c>
      <c r="B1" s="381"/>
      <c r="D1" s="385" t="s">
        <v>2248</v>
      </c>
      <c r="E1" s="381"/>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4.25"/>
  <cols>
    <col min="1" max="1" width="11.73046875" bestFit="1" customWidth="1"/>
    <col min="2" max="2" width="24.5976562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4.25"/>
  <cols>
    <col min="1" max="1" width="9.86328125" customWidth="1"/>
    <col min="2" max="2" width="11" customWidth="1"/>
    <col min="3" max="3" width="11.3984375" customWidth="1"/>
    <col min="4" max="4" width="20.59765625" customWidth="1"/>
    <col min="5" max="5" width="42.398437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406">
        <v>44866</v>
      </c>
      <c r="B5" s="406">
        <v>44895</v>
      </c>
      <c r="C5" s="20">
        <v>44876</v>
      </c>
      <c r="D5" s="402">
        <f>NETWORKDAYS(A5,B5,C5:C7)</f>
        <v>19</v>
      </c>
      <c r="E5" s="400" t="s">
        <v>2256</v>
      </c>
    </row>
    <row r="6" spans="1:5">
      <c r="A6" s="407"/>
      <c r="B6" s="407"/>
      <c r="C6" s="20">
        <v>44889</v>
      </c>
      <c r="D6" s="403"/>
      <c r="E6" s="405"/>
    </row>
    <row r="7" spans="1:5">
      <c r="A7" s="408"/>
      <c r="B7" s="408"/>
      <c r="C7" s="20">
        <v>44890</v>
      </c>
      <c r="D7" s="404"/>
      <c r="E7" s="401"/>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4.25"/>
  <cols>
    <col min="1" max="2" width="9.3984375" bestFit="1" customWidth="1"/>
    <col min="3" max="3" width="55.1328125" bestFit="1" customWidth="1"/>
    <col min="4" max="4" width="19.1328125" bestFit="1" customWidth="1"/>
    <col min="6" max="6" width="22.3984375" bestFit="1" customWidth="1"/>
    <col min="7" max="8" width="9.3984375" bestFit="1" customWidth="1"/>
  </cols>
  <sheetData>
    <row r="1" spans="1:8">
      <c r="A1" s="1" t="s">
        <v>1122</v>
      </c>
      <c r="B1" s="1" t="s">
        <v>2251</v>
      </c>
      <c r="C1" s="1" t="s">
        <v>1138</v>
      </c>
      <c r="D1" s="1" t="s">
        <v>2257</v>
      </c>
      <c r="E1" s="14"/>
      <c r="F1" s="380" t="s">
        <v>1669</v>
      </c>
      <c r="G1" s="380"/>
      <c r="H1" s="380"/>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t="e">
        <f>NETWORKDAYS("5/1/2022","6/15/2022","5/30/2022")</f>
        <v>#VALUE!</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4.25"/>
  <cols>
    <col min="1" max="1" width="16.59765625" bestFit="1" customWidth="1"/>
    <col min="2" max="2" width="16.265625" bestFit="1" customWidth="1"/>
    <col min="3" max="3" width="20.3984375" bestFit="1" customWidth="1"/>
    <col min="4" max="4" width="12.73046875" bestFit="1" customWidth="1"/>
    <col min="5" max="5" width="30" bestFit="1" customWidth="1"/>
    <col min="7" max="7" width="10.3984375" bestFit="1" customWidth="1"/>
    <col min="8" max="8" width="10.59765625" bestFit="1" customWidth="1"/>
  </cols>
  <sheetData>
    <row r="1" spans="1:8">
      <c r="A1" s="1" t="s">
        <v>2289</v>
      </c>
      <c r="B1" s="1" t="s">
        <v>2290</v>
      </c>
      <c r="C1" s="1" t="s">
        <v>2271</v>
      </c>
      <c r="D1" s="1" t="s">
        <v>2274</v>
      </c>
      <c r="E1" s="1" t="s">
        <v>2276</v>
      </c>
      <c r="G1" s="380" t="s">
        <v>1669</v>
      </c>
      <c r="H1" s="380"/>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4.25"/>
  <cols>
    <col min="1" max="1" width="9.3984375" bestFit="1" customWidth="1"/>
    <col min="2" max="2" width="22.3984375" bestFit="1" customWidth="1"/>
    <col min="10" max="10" width="10.398437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4.25"/>
  <cols>
    <col min="1" max="1" width="22.3984375" bestFit="1" customWidth="1"/>
    <col min="2" max="3" width="10.3984375" bestFit="1" customWidth="1"/>
    <col min="6" max="6" width="20.3984375" bestFit="1" customWidth="1"/>
    <col min="7" max="7" width="34.3984375" bestFit="1" customWidth="1"/>
    <col min="8" max="8" width="15" bestFit="1" customWidth="1"/>
  </cols>
  <sheetData>
    <row r="1" spans="1:15">
      <c r="A1" s="380" t="s">
        <v>2277</v>
      </c>
      <c r="B1" s="380"/>
      <c r="C1" s="380"/>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4.25"/>
  <cols>
    <col min="1" max="1" width="10" bestFit="1" customWidth="1"/>
    <col min="2" max="3" width="10.3984375" bestFit="1" customWidth="1"/>
    <col min="4" max="4" width="15.8632812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409">
        <v>44866</v>
      </c>
      <c r="B4" s="409">
        <v>44910</v>
      </c>
      <c r="C4" s="20">
        <v>44876</v>
      </c>
      <c r="D4" s="410">
        <v>31</v>
      </c>
    </row>
    <row r="5" spans="1:4">
      <c r="A5" s="409"/>
      <c r="B5" s="409"/>
      <c r="C5" s="20">
        <v>44889</v>
      </c>
      <c r="D5" s="410"/>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4.25"/>
  <cols>
    <col min="1" max="1" width="16.86328125" bestFit="1" customWidth="1"/>
    <col min="2" max="2" width="11.265625" bestFit="1" customWidth="1"/>
    <col min="6" max="6" width="20.59765625" bestFit="1" customWidth="1"/>
    <col min="7" max="7" width="11" bestFit="1" customWidth="1"/>
    <col min="8" max="8" width="41.86328125" bestFit="1" customWidth="1"/>
  </cols>
  <sheetData>
    <row r="1" spans="1:8">
      <c r="A1" s="1" t="s">
        <v>2296</v>
      </c>
      <c r="B1" s="1" t="s">
        <v>1188</v>
      </c>
      <c r="E1" s="411" t="s">
        <v>2320</v>
      </c>
      <c r="F1" s="379"/>
      <c r="G1" s="379"/>
      <c r="H1" s="379"/>
    </row>
    <row r="2" spans="1:8" ht="15.75">
      <c r="A2" s="3" t="s">
        <v>2297</v>
      </c>
      <c r="B2" s="2">
        <v>170</v>
      </c>
      <c r="E2" s="1" t="s">
        <v>2307</v>
      </c>
      <c r="F2" s="1" t="s">
        <v>2308</v>
      </c>
      <c r="G2" s="1" t="s">
        <v>2319</v>
      </c>
      <c r="H2" s="1" t="s">
        <v>2309</v>
      </c>
    </row>
    <row r="3" spans="1:8" ht="15.75">
      <c r="A3" s="3" t="s">
        <v>2298</v>
      </c>
      <c r="B3" s="2">
        <v>185</v>
      </c>
      <c r="E3" s="2">
        <v>0.2</v>
      </c>
      <c r="F3" s="2" t="s">
        <v>2314</v>
      </c>
      <c r="G3" s="7">
        <f>PERCENTILE($B$2:$B$11,E3)</f>
        <v>165.8</v>
      </c>
      <c r="H3" s="65" t="s">
        <v>2310</v>
      </c>
    </row>
    <row r="4" spans="1:8" ht="15.75">
      <c r="A4" s="3" t="s">
        <v>2299</v>
      </c>
      <c r="B4" s="2">
        <v>177</v>
      </c>
      <c r="E4" s="2">
        <v>0.3</v>
      </c>
      <c r="F4" s="2" t="s">
        <v>2315</v>
      </c>
      <c r="G4" s="7">
        <f>PERCENTILE($B$2:$B$11,E4)</f>
        <v>168.1</v>
      </c>
      <c r="H4" s="65" t="s">
        <v>2311</v>
      </c>
    </row>
    <row r="5" spans="1:8" ht="15.75">
      <c r="A5" s="3" t="s">
        <v>2300</v>
      </c>
      <c r="B5" s="2">
        <v>173</v>
      </c>
      <c r="E5" s="2">
        <v>0.5</v>
      </c>
      <c r="F5" s="2" t="s">
        <v>2316</v>
      </c>
      <c r="G5" s="7">
        <f>PERCENTILE($B$2:$B$11,E5)</f>
        <v>171.5</v>
      </c>
      <c r="H5" s="65" t="s">
        <v>2312</v>
      </c>
    </row>
    <row r="6" spans="1:8" ht="15.75">
      <c r="A6" s="3" t="s">
        <v>2301</v>
      </c>
      <c r="B6" s="2">
        <v>166</v>
      </c>
      <c r="E6" s="2">
        <v>0.7</v>
      </c>
      <c r="F6" s="2" t="s">
        <v>2317</v>
      </c>
      <c r="G6" s="7">
        <f>PERCENTILE($B$2:$B$11,E6)</f>
        <v>177.9</v>
      </c>
      <c r="H6" s="65" t="s">
        <v>2313</v>
      </c>
    </row>
    <row r="7" spans="1:8" ht="15.75">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4.25"/>
  <cols>
    <col min="1" max="1" width="18" bestFit="1" customWidth="1"/>
    <col min="2" max="2" width="27.86328125" bestFit="1" customWidth="1"/>
    <col min="7" max="7" width="17.8632812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5.75">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4.25"/>
  <cols>
    <col min="1" max="1" width="11.59765625" customWidth="1"/>
    <col min="2" max="2" width="11" bestFit="1" customWidth="1"/>
    <col min="5" max="5" width="12.86328125" bestFit="1" customWidth="1"/>
  </cols>
  <sheetData>
    <row r="1" spans="1:6" ht="15.75">
      <c r="A1" s="1" t="s">
        <v>902</v>
      </c>
      <c r="B1" s="1" t="s">
        <v>2334</v>
      </c>
      <c r="E1" s="1" t="s">
        <v>2342</v>
      </c>
      <c r="F1" s="7">
        <f>PERCENTILE(B2:B7,0.4)</f>
        <v>53</v>
      </c>
    </row>
    <row r="2" spans="1:6" ht="15.75">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4.25"/>
  <cols>
    <col min="1" max="1" width="16.1328125" bestFit="1" customWidth="1"/>
    <col min="2" max="2" width="27.3984375" bestFit="1" customWidth="1"/>
    <col min="3" max="3" width="5.1328125" bestFit="1" customWidth="1"/>
    <col min="7" max="7" width="12.59765625" bestFit="1" customWidth="1"/>
  </cols>
  <sheetData>
    <row r="1" spans="1:7" ht="15.75">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4.25"/>
  <cols>
    <col min="1" max="1" width="17.59765625" bestFit="1" customWidth="1"/>
    <col min="2" max="2" width="17.132812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5.75">
      <c r="A14" s="380" t="s">
        <v>2364</v>
      </c>
      <c r="B14" s="380"/>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4.25"/>
  <cols>
    <col min="1" max="1" width="12.86328125" bestFit="1" customWidth="1"/>
    <col min="2" max="2" width="13.5976562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5.75">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4.25"/>
  <cols>
    <col min="1" max="1" width="17.3984375" bestFit="1" customWidth="1"/>
    <col min="2" max="3" width="17.3984375" customWidth="1"/>
    <col min="4" max="4" width="13.265625" bestFit="1" customWidth="1"/>
    <col min="6" max="6" width="14.86328125" customWidth="1"/>
    <col min="7" max="7" width="45.1328125" customWidth="1"/>
  </cols>
  <sheetData>
    <row r="1" spans="1:7">
      <c r="A1" s="1" t="s">
        <v>0</v>
      </c>
      <c r="B1" s="1" t="s">
        <v>2378</v>
      </c>
      <c r="C1" s="1" t="s">
        <v>2379</v>
      </c>
      <c r="D1" s="1" t="s">
        <v>2366</v>
      </c>
      <c r="F1" s="380" t="s">
        <v>2380</v>
      </c>
      <c r="G1" s="380"/>
    </row>
    <row r="2" spans="1:7" ht="15.75">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4.25"/>
  <cols>
    <col min="1" max="1" width="9.86328125" bestFit="1" customWidth="1"/>
    <col min="2" max="2" width="39.1328125" bestFit="1" customWidth="1"/>
    <col min="3" max="3" width="37.265625" bestFit="1" customWidth="1"/>
    <col min="4" max="4" width="19.1328125" customWidth="1"/>
    <col min="5" max="5" width="37.132812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4.25"/>
  <cols>
    <col min="1" max="1" width="12.265625" bestFit="1" customWidth="1"/>
    <col min="2" max="2" width="8.3984375" bestFit="1" customWidth="1"/>
    <col min="3" max="3" width="32.86328125" bestFit="1" customWidth="1"/>
  </cols>
  <sheetData>
    <row r="1" spans="1:3">
      <c r="A1" s="1" t="s">
        <v>533</v>
      </c>
      <c r="B1" s="1" t="s">
        <v>136</v>
      </c>
      <c r="C1" s="1" t="s">
        <v>2397</v>
      </c>
    </row>
    <row r="2" spans="1:3" ht="15.75">
      <c r="A2" s="2" t="s">
        <v>544</v>
      </c>
      <c r="B2" s="2">
        <v>3.5283000000000002</v>
      </c>
      <c r="C2" s="96">
        <f>ROUNDDOWN(B2,2)</f>
        <v>3.52</v>
      </c>
    </row>
    <row r="3" spans="1:3" ht="15.75">
      <c r="A3" s="2" t="s">
        <v>545</v>
      </c>
      <c r="B3" s="2">
        <v>5.9744999999999999</v>
      </c>
      <c r="C3" s="96">
        <f t="shared" ref="C3:C9" si="0">ROUNDDOWN(B3,2)</f>
        <v>5.97</v>
      </c>
    </row>
    <row r="4" spans="1:3" ht="15.75">
      <c r="A4" s="2" t="s">
        <v>547</v>
      </c>
      <c r="B4" s="2">
        <v>11.9634</v>
      </c>
      <c r="C4" s="96">
        <f t="shared" si="0"/>
        <v>11.96</v>
      </c>
    </row>
    <row r="5" spans="1:3" ht="15.75">
      <c r="A5" s="2" t="s">
        <v>548</v>
      </c>
      <c r="B5" s="2">
        <v>2.4878999999999998</v>
      </c>
      <c r="C5" s="96">
        <f t="shared" si="0"/>
        <v>2.48</v>
      </c>
    </row>
    <row r="6" spans="1:3" ht="15.75">
      <c r="A6" s="2" t="s">
        <v>865</v>
      </c>
      <c r="B6" s="2">
        <v>4.3829000000000002</v>
      </c>
      <c r="C6" s="96">
        <f t="shared" si="0"/>
        <v>4.38</v>
      </c>
    </row>
    <row r="7" spans="1:3" ht="15.75">
      <c r="A7" s="2" t="s">
        <v>549</v>
      </c>
      <c r="B7" s="2">
        <v>30.953399999999998</v>
      </c>
      <c r="C7" s="96">
        <f t="shared" si="0"/>
        <v>30.95</v>
      </c>
    </row>
    <row r="8" spans="1:3" ht="15.75">
      <c r="A8" s="2" t="s">
        <v>546</v>
      </c>
      <c r="B8" s="2">
        <v>5.2698</v>
      </c>
      <c r="C8" s="96">
        <f t="shared" si="0"/>
        <v>5.26</v>
      </c>
    </row>
    <row r="9" spans="1:3" ht="15.75">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4.25"/>
  <cols>
    <col min="1" max="1" width="14.1328125" bestFit="1" customWidth="1"/>
    <col min="2" max="2" width="33.59765625" bestFit="1" customWidth="1"/>
    <col min="3" max="3" width="37.265625" bestFit="1" customWidth="1"/>
    <col min="4" max="4" width="47.8632812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4.25"/>
  <cols>
    <col min="1" max="1" width="10.86328125" bestFit="1" customWidth="1"/>
    <col min="2" max="2" width="9.86328125" bestFit="1" customWidth="1"/>
    <col min="3" max="3" width="21.73046875" bestFit="1" customWidth="1"/>
    <col min="4" max="4" width="21.73046875" customWidth="1"/>
    <col min="5" max="5" width="58.132812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4.25"/>
  <cols>
    <col min="1" max="1" width="11.265625" bestFit="1" customWidth="1"/>
    <col min="2" max="2" width="13.59765625" customWidth="1"/>
    <col min="5" max="5" width="11.2656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4.25"/>
  <cols>
    <col min="1" max="1" width="10.3984375" customWidth="1"/>
    <col min="2" max="2" width="9.59765625" bestFit="1" customWidth="1"/>
    <col min="3" max="3" width="20.8632812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4.25"/>
  <cols>
    <col min="1" max="1" width="27.1328125" bestFit="1" customWidth="1"/>
    <col min="2" max="2" width="17.86328125" bestFit="1" customWidth="1"/>
    <col min="3" max="3" width="27.132812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4.25"/>
  <cols>
    <col min="1" max="1" width="15.1328125" customWidth="1"/>
    <col min="2" max="2" width="26.398437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4.25"/>
  <cols>
    <col min="1" max="1" width="28.1328125" bestFit="1" customWidth="1"/>
    <col min="2" max="2" width="13.132812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4.25"/>
  <cols>
    <col min="1" max="1" width="30.86328125" bestFit="1" customWidth="1"/>
    <col min="3" max="3" width="16.265625" bestFit="1" customWidth="1"/>
    <col min="4" max="4" width="66.132812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4.25"/>
  <cols>
    <col min="1" max="1" width="33.1328125" bestFit="1" customWidth="1"/>
    <col min="3" max="3" width="13.59765625" bestFit="1" customWidth="1"/>
    <col min="4" max="4" width="24.8632812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4.25"/>
  <cols>
    <col min="1" max="1" width="27.1328125" bestFit="1" customWidth="1"/>
    <col min="5" max="5" width="21.3984375" bestFit="1" customWidth="1"/>
    <col min="6" max="6" width="16.398437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4.25"/>
  <cols>
    <col min="1" max="1" width="20.86328125" bestFit="1" customWidth="1"/>
    <col min="2" max="2" width="12.73046875" bestFit="1" customWidth="1"/>
    <col min="5" max="5" width="10.1328125" bestFit="1" customWidth="1"/>
    <col min="11" max="11" width="11.1328125" bestFit="1" customWidth="1"/>
    <col min="12" max="12" width="10.132812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4.25"/>
  <cols>
    <col min="1" max="1" width="36" bestFit="1" customWidth="1"/>
    <col min="2" max="2" width="12" customWidth="1"/>
    <col min="4" max="4" width="20.86328125" bestFit="1" customWidth="1"/>
    <col min="5" max="5" width="12.8632812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4.25"/>
  <cols>
    <col min="1" max="1" width="34.59765625" bestFit="1" customWidth="1"/>
    <col min="2" max="2" width="12.7304687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4.25"/>
  <cols>
    <col min="1" max="1" width="15.3984375" bestFit="1" customWidth="1"/>
    <col min="2" max="2" width="22.59765625" bestFit="1" customWidth="1"/>
    <col min="3" max="3" width="22.3984375" bestFit="1" customWidth="1"/>
    <col min="5" max="5" width="20.86328125" bestFit="1" customWidth="1"/>
    <col min="6" max="6" width="8.7304687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4.25"/>
  <cols>
    <col min="1" max="1" width="34.59765625" bestFit="1" customWidth="1"/>
    <col min="2" max="2" width="12.7304687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4.25"/>
  <cols>
    <col min="1" max="1" width="24.2656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4.25"/>
  <cols>
    <col min="1" max="1" width="8.1328125" customWidth="1"/>
    <col min="2" max="2" width="5.3984375" customWidth="1"/>
    <col min="3" max="3" width="33.3984375" bestFit="1" customWidth="1"/>
    <col min="4" max="4" width="38.59765625" bestFit="1" customWidth="1"/>
    <col min="5" max="5" width="17.3984375" customWidth="1"/>
    <col min="6" max="6" width="34.8632812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4.25"/>
  <cols>
    <col min="3" max="3" width="23.59765625" bestFit="1" customWidth="1"/>
    <col min="4" max="4" width="27.3984375" bestFit="1" customWidth="1"/>
    <col min="6" max="6" width="25.3984375" bestFit="1" customWidth="1"/>
    <col min="7" max="7" width="27.3984375" bestFit="1" customWidth="1"/>
    <col min="9" max="9" width="26.59765625" bestFit="1" customWidth="1"/>
    <col min="10" max="10" width="36.3984375" bestFit="1" customWidth="1"/>
    <col min="12" max="12" width="5.86328125" bestFit="1" customWidth="1"/>
    <col min="13" max="13" width="9" bestFit="1" customWidth="1"/>
    <col min="14" max="14" width="11.59765625" bestFit="1" customWidth="1"/>
    <col min="16" max="16" width="11.3984375" bestFit="1" customWidth="1"/>
    <col min="17" max="17" width="35.86328125" bestFit="1" customWidth="1"/>
    <col min="18" max="18" width="11.59765625" bestFit="1" customWidth="1"/>
    <col min="19" max="19" width="11.86328125" bestFit="1" customWidth="1"/>
  </cols>
  <sheetData>
    <row r="1" spans="3:19">
      <c r="C1" s="380" t="s">
        <v>2503</v>
      </c>
      <c r="D1" s="380"/>
      <c r="F1" s="380" t="s">
        <v>2527</v>
      </c>
      <c r="G1" s="380"/>
      <c r="I1" s="380" t="s">
        <v>2621</v>
      </c>
      <c r="J1" s="380"/>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80" t="s">
        <v>305</v>
      </c>
      <c r="D18" s="380"/>
      <c r="F18" s="380" t="s">
        <v>2560</v>
      </c>
      <c r="G18" s="380"/>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80" t="s">
        <v>2571</v>
      </c>
      <c r="D26" s="380"/>
      <c r="F26" s="380" t="s">
        <v>2580</v>
      </c>
      <c r="G26" s="380"/>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80" t="s">
        <v>1699</v>
      </c>
      <c r="D33" s="380"/>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80" t="s">
        <v>2605</v>
      </c>
      <c r="D39" s="380"/>
      <c r="F39" s="380" t="s">
        <v>2610</v>
      </c>
      <c r="G39" s="380"/>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80" t="s">
        <v>2673</v>
      </c>
      <c r="D44" s="380"/>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80" t="s">
        <v>2702</v>
      </c>
      <c r="G47" s="380"/>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80" t="s">
        <v>2707</v>
      </c>
      <c r="G52" s="380"/>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4.25"/>
  <cols>
    <col min="1" max="1" width="7.59765625" bestFit="1" customWidth="1"/>
    <col min="2" max="2" width="9.73046875" bestFit="1" customWidth="1"/>
    <col min="3" max="3" width="7.3984375" bestFit="1" customWidth="1"/>
    <col min="4" max="4" width="17" bestFit="1" customWidth="1"/>
    <col min="5" max="5" width="62.7304687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4.25"/>
  <cols>
    <col min="1" max="1" width="11" bestFit="1" customWidth="1"/>
    <col min="2" max="2" width="21.265625" bestFit="1" customWidth="1"/>
    <col min="3" max="3" width="22.86328125" bestFit="1" customWidth="1"/>
    <col min="5" max="5" width="10.86328125" bestFit="1" customWidth="1"/>
    <col min="8" max="8" width="12.132812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4.25"/>
  <cols>
    <col min="1" max="1" width="5.1328125" bestFit="1" customWidth="1"/>
    <col min="2" max="2" width="14.86328125" bestFit="1" customWidth="1"/>
    <col min="3" max="3" width="11.3984375" bestFit="1" customWidth="1"/>
    <col min="4" max="4" width="20.398437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4.25"/>
  <cols>
    <col min="1" max="1" width="11.3984375" bestFit="1" customWidth="1"/>
    <col min="2" max="2" width="26.73046875" bestFit="1" customWidth="1"/>
    <col min="5" max="5" width="11.3984375" bestFit="1" customWidth="1"/>
    <col min="6" max="6" width="30.132812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4.25"/>
  <cols>
    <col min="1" max="1" width="14.59765625" bestFit="1" customWidth="1"/>
    <col min="2" max="2" width="9.7304687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4.25"/>
  <cols>
    <col min="1" max="1" width="13.3984375" bestFit="1" customWidth="1"/>
    <col min="2" max="2" width="28.59765625" bestFit="1" customWidth="1"/>
    <col min="3" max="3" width="14.59765625" customWidth="1"/>
    <col min="4" max="4" width="28.132812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4.25"/>
  <cols>
    <col min="1" max="1" width="11.3984375" bestFit="1" customWidth="1"/>
    <col min="2" max="2" width="14.59765625" customWidth="1"/>
    <col min="3" max="3" width="33.5976562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4.25"/>
  <cols>
    <col min="1" max="1" width="16.1328125" bestFit="1" customWidth="1"/>
    <col min="2" max="2" width="22.265625" bestFit="1" customWidth="1"/>
    <col min="3" max="3" width="25.132812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4.25"/>
  <cols>
    <col min="1" max="1" width="9.86328125" bestFit="1" customWidth="1"/>
    <col min="2" max="2" width="17.59765625" bestFit="1" customWidth="1"/>
    <col min="5" max="5" width="13.59765625" bestFit="1" customWidth="1"/>
    <col min="6" max="6" width="17.5976562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4.25"/>
  <cols>
    <col min="1" max="1" width="11.265625" bestFit="1" customWidth="1"/>
    <col min="2" max="2" width="8.3984375" bestFit="1" customWidth="1"/>
    <col min="3" max="3" width="21.398437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4.25"/>
  <cols>
    <col min="1" max="1" width="8.86328125" bestFit="1" customWidth="1"/>
    <col min="2" max="2" width="14.3984375" bestFit="1" customWidth="1"/>
    <col min="3" max="3" width="37.1328125" bestFit="1" customWidth="1"/>
  </cols>
  <sheetData>
    <row r="1" spans="1:3">
      <c r="A1" s="1" t="s">
        <v>2877</v>
      </c>
      <c r="B1" s="1" t="s">
        <v>2878</v>
      </c>
      <c r="C1" s="1" t="s">
        <v>2879</v>
      </c>
    </row>
    <row r="2" spans="1:3" ht="14.65">
      <c r="A2" s="2" t="s">
        <v>131</v>
      </c>
      <c r="B2" s="2">
        <v>54</v>
      </c>
      <c r="C2" s="149" t="str">
        <f>REPT("tttt ",QUOTIENT(B2,5))&amp;REPT("I",MOD(B2,5))</f>
        <v>tttt tttt tttt tttt tttt tttt tttt tttt tttt tttt IIII</v>
      </c>
    </row>
    <row r="3" spans="1:3" ht="14.65">
      <c r="A3" s="2" t="s">
        <v>132</v>
      </c>
      <c r="B3" s="2">
        <v>23</v>
      </c>
      <c r="C3" s="149" t="str">
        <f>REPT("tttt ",QUOTIENT(B3,5))&amp;REPT("I",MOD(B3,5))</f>
        <v>tttt tttt tttt tttt III</v>
      </c>
    </row>
    <row r="4" spans="1:3" ht="14.65">
      <c r="A4" s="2" t="s">
        <v>133</v>
      </c>
      <c r="B4" s="2">
        <v>18</v>
      </c>
      <c r="C4" s="149" t="str">
        <f>REPT("tttt ",QUOTIENT(B4,5))&amp;REPT("I",MOD(B4,5))</f>
        <v>tttt tttt tttt III</v>
      </c>
    </row>
    <row r="5" spans="1:3" ht="14.65">
      <c r="A5" s="2" t="s">
        <v>134</v>
      </c>
      <c r="B5" s="2">
        <v>20</v>
      </c>
      <c r="C5" s="149" t="str">
        <f>REPT("tttt ",QUOTIENT(B5,5))&amp;REPT("I",MOD(B5,5))</f>
        <v xml:space="preserve">tttt tttt tttt tttt </v>
      </c>
    </row>
    <row r="6" spans="1:3" ht="14.65">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4.25"/>
  <cols>
    <col min="1" max="1" width="24.59765625" bestFit="1" customWidth="1"/>
    <col min="2" max="2" width="10.3984375" customWidth="1"/>
  </cols>
  <sheetData>
    <row r="1" spans="1:9">
      <c r="A1" s="385" t="s">
        <v>2888</v>
      </c>
      <c r="B1" s="381"/>
    </row>
    <row r="3" spans="1:9">
      <c r="A3" s="380" t="s">
        <v>1421</v>
      </c>
      <c r="B3" s="380"/>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4.25"/>
  <cols>
    <col min="3" max="3" width="24.59765625" bestFit="1" customWidth="1"/>
    <col min="4" max="4" width="5.59765625" bestFit="1" customWidth="1"/>
    <col min="5" max="5" width="1.59765625" customWidth="1"/>
    <col min="6" max="6" width="18.86328125" bestFit="1" customWidth="1"/>
    <col min="7" max="7" width="5.59765625" bestFit="1" customWidth="1"/>
  </cols>
  <sheetData>
    <row r="2" spans="3:7">
      <c r="C2" s="380" t="s">
        <v>2885</v>
      </c>
      <c r="D2" s="380"/>
      <c r="F2" s="380" t="s">
        <v>2890</v>
      </c>
      <c r="G2" s="380"/>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4.25"/>
  <cols>
    <col min="1" max="1" width="35" bestFit="1" customWidth="1"/>
    <col min="2" max="2" width="20.59765625" customWidth="1"/>
    <col min="3" max="3" width="10.3984375" bestFit="1" customWidth="1"/>
  </cols>
  <sheetData>
    <row r="1" spans="1:15">
      <c r="A1" s="380" t="s">
        <v>2888</v>
      </c>
      <c r="B1" s="380"/>
      <c r="C1" s="380"/>
    </row>
    <row r="3" spans="1:15">
      <c r="A3" s="380" t="s">
        <v>1421</v>
      </c>
      <c r="B3" s="380"/>
      <c r="C3" s="380"/>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4.25"/>
  <cols>
    <col min="1" max="1" width="37.73046875" bestFit="1" customWidth="1"/>
    <col min="2" max="2" width="15.86328125" bestFit="1" customWidth="1"/>
    <col min="3" max="3" width="12.8632812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4.25"/>
  <cols>
    <col min="1" max="1" width="37.73046875" bestFit="1" customWidth="1"/>
    <col min="2" max="2" width="15.86328125" bestFit="1" customWidth="1"/>
    <col min="3" max="3" width="10.398437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4.25"/>
  <cols>
    <col min="1" max="1" width="39.1328125" bestFit="1" customWidth="1"/>
    <col min="2" max="2" width="15.86328125" bestFit="1" customWidth="1"/>
    <col min="3" max="3" width="10.398437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4.25"/>
  <cols>
    <col min="1" max="1" width="35" bestFit="1" customWidth="1"/>
    <col min="2" max="2" width="10.3984375" bestFit="1" customWidth="1"/>
  </cols>
  <sheetData>
    <row r="1" spans="1:2">
      <c r="A1" s="380" t="s">
        <v>1421</v>
      </c>
      <c r="B1" s="380"/>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4.25"/>
  <cols>
    <col min="2" max="2" width="13.132812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4.25"/>
  <cols>
    <col min="1" max="2" width="13.2656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11" t="s">
        <v>2918</v>
      </c>
      <c r="B9" s="379"/>
    </row>
    <row r="10" spans="1:2">
      <c r="A10" s="1" t="s">
        <v>32</v>
      </c>
      <c r="B10" s="1" t="s">
        <v>2917</v>
      </c>
    </row>
    <row r="11" spans="1:2">
      <c r="A11" s="2">
        <v>7</v>
      </c>
      <c r="B11" s="7">
        <f>GROWTH(B2:B7,A2:A7,A11)</f>
        <v>3215.8036673485144</v>
      </c>
    </row>
    <row r="13" spans="1:2" ht="71.25">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4.25"/>
  <cols>
    <col min="2" max="2" width="21.398437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4.25"/>
  <cols>
    <col min="1" max="1" width="14.2656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4.25"/>
  <cols>
    <col min="1" max="1" width="37.86328125" customWidth="1"/>
    <col min="2" max="2" width="21.1328125" customWidth="1"/>
    <col min="4" max="4" width="33.3984375" customWidth="1"/>
    <col min="5" max="5" width="41.86328125" customWidth="1"/>
  </cols>
  <sheetData>
    <row r="1" spans="1:5">
      <c r="A1" s="382" t="s">
        <v>1421</v>
      </c>
      <c r="B1" s="384"/>
    </row>
    <row r="2" spans="1:5">
      <c r="A2" s="2" t="s">
        <v>2924</v>
      </c>
      <c r="B2" s="7" t="s">
        <v>2923</v>
      </c>
    </row>
    <row r="3" spans="1:5">
      <c r="A3" s="2" t="s">
        <v>1184</v>
      </c>
      <c r="B3" s="7">
        <v>10</v>
      </c>
    </row>
    <row r="4" spans="1:5">
      <c r="A4" s="2" t="s">
        <v>654</v>
      </c>
      <c r="B4" s="7">
        <v>2</v>
      </c>
    </row>
    <row r="5" spans="1:5">
      <c r="A5" s="14"/>
      <c r="B5" s="6"/>
    </row>
    <row r="6" spans="1:5">
      <c r="A6" s="382" t="s">
        <v>2925</v>
      </c>
      <c r="B6" s="384"/>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80" t="s">
        <v>2926</v>
      </c>
      <c r="B14" s="380"/>
      <c r="D14" s="380" t="s">
        <v>2927</v>
      </c>
      <c r="E14" s="380"/>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4.25"/>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4.25"/>
  <cols>
    <col min="2" max="2" width="17.59765625" bestFit="1" customWidth="1"/>
    <col min="5" max="5" width="46.3984375" bestFit="1" customWidth="1"/>
    <col min="6" max="6" width="17" bestFit="1" customWidth="1"/>
  </cols>
  <sheetData>
    <row r="1" spans="1:6">
      <c r="A1" s="1" t="s">
        <v>354</v>
      </c>
      <c r="B1" s="1" t="s">
        <v>2933</v>
      </c>
      <c r="E1" s="411" t="s">
        <v>721</v>
      </c>
      <c r="F1" s="379"/>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4.25"/>
  <cols>
    <col min="1" max="1" width="49.265625" bestFit="1" customWidth="1"/>
    <col min="2" max="2" width="12.3984375" customWidth="1"/>
    <col min="3" max="3" width="27.398437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11" t="s">
        <v>721</v>
      </c>
      <c r="B13" s="379"/>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4.25"/>
  <cols>
    <col min="1" max="1" width="18.3984375" bestFit="1" customWidth="1"/>
    <col min="2" max="2" width="15.59765625" bestFit="1" customWidth="1"/>
    <col min="4" max="4" width="44.73046875" bestFit="1" customWidth="1"/>
    <col min="5" max="5" width="7.265625" bestFit="1" customWidth="1"/>
  </cols>
  <sheetData>
    <row r="1" spans="1:5">
      <c r="A1" s="1" t="s">
        <v>2946</v>
      </c>
      <c r="B1" s="1" t="s">
        <v>2945</v>
      </c>
      <c r="D1" s="411" t="s">
        <v>721</v>
      </c>
      <c r="E1" s="379"/>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4.25"/>
  <cols>
    <col min="1" max="1" width="49" bestFit="1" customWidth="1"/>
    <col min="2" max="2" width="10.3984375" bestFit="1" customWidth="1"/>
    <col min="3" max="3" width="19.8632812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11" t="s">
        <v>721</v>
      </c>
      <c r="B13" s="379"/>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4.25"/>
  <cols>
    <col min="1" max="1" width="17" bestFit="1" customWidth="1"/>
    <col min="2" max="2" width="5.1328125" bestFit="1" customWidth="1"/>
    <col min="3" max="3" width="14.1328125" bestFit="1" customWidth="1"/>
    <col min="6" max="6" width="43.3984375" bestFit="1" customWidth="1"/>
    <col min="7" max="7" width="8.59765625" customWidth="1"/>
  </cols>
  <sheetData>
    <row r="1" spans="1:7">
      <c r="A1" s="1" t="s">
        <v>2987</v>
      </c>
      <c r="B1" s="1" t="s">
        <v>352</v>
      </c>
      <c r="C1" s="1" t="s">
        <v>2962</v>
      </c>
      <c r="F1" s="411" t="s">
        <v>721</v>
      </c>
      <c r="G1" s="379"/>
    </row>
    <row r="2" spans="1:7">
      <c r="A2" s="3" t="s">
        <v>2963</v>
      </c>
      <c r="B2" s="2" t="s">
        <v>2978</v>
      </c>
      <c r="C2" s="2">
        <v>69</v>
      </c>
      <c r="F2" s="1" t="s">
        <v>2283</v>
      </c>
      <c r="G2" s="1" t="s">
        <v>1727</v>
      </c>
    </row>
    <row r="3" spans="1:7">
      <c r="A3" s="3" t="s">
        <v>2964</v>
      </c>
      <c r="B3" s="2" t="s">
        <v>2981</v>
      </c>
      <c r="C3" s="2">
        <v>77</v>
      </c>
      <c r="F3" s="412" t="s">
        <v>352</v>
      </c>
      <c r="G3" s="2" t="s">
        <v>2981</v>
      </c>
    </row>
    <row r="4" spans="1:7">
      <c r="A4" s="3" t="s">
        <v>2965</v>
      </c>
      <c r="B4" s="2" t="s">
        <v>2344</v>
      </c>
      <c r="C4" s="2">
        <v>60</v>
      </c>
      <c r="F4" s="412"/>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4.25"/>
  <cols>
    <col min="1" max="1" width="7.1328125" bestFit="1" customWidth="1"/>
    <col min="2" max="2" width="12.59765625" bestFit="1" customWidth="1"/>
    <col min="3" max="3" width="15.1328125" bestFit="1" customWidth="1"/>
    <col min="6" max="6" width="49" bestFit="1" customWidth="1"/>
    <col min="7" max="7" width="9.3984375" bestFit="1" customWidth="1"/>
  </cols>
  <sheetData>
    <row r="1" spans="1:7">
      <c r="A1" s="1" t="s">
        <v>130</v>
      </c>
      <c r="B1" s="1" t="s">
        <v>2988</v>
      </c>
      <c r="C1" s="1" t="s">
        <v>2989</v>
      </c>
      <c r="F1" s="411" t="s">
        <v>721</v>
      </c>
      <c r="G1" s="379"/>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1798</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4.25"/>
  <cols>
    <col min="1" max="1" width="18.59765625" bestFit="1" customWidth="1"/>
    <col min="2" max="2" width="3.86328125" bestFit="1" customWidth="1"/>
    <col min="3" max="3" width="15.1328125" bestFit="1" customWidth="1"/>
    <col min="6" max="6" width="44.265625" bestFit="1" customWidth="1"/>
    <col min="7" max="7" width="9.3984375" bestFit="1" customWidth="1"/>
  </cols>
  <sheetData>
    <row r="1" spans="1:7">
      <c r="A1" s="1" t="s">
        <v>832</v>
      </c>
      <c r="B1" s="1" t="s">
        <v>899</v>
      </c>
      <c r="C1" s="1" t="s">
        <v>2993</v>
      </c>
      <c r="F1" s="411" t="s">
        <v>721</v>
      </c>
      <c r="G1" s="379"/>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4.25"/>
  <cols>
    <col min="1" max="1" width="29.59765625" bestFit="1" customWidth="1"/>
    <col min="2" max="2" width="9.86328125" customWidth="1"/>
  </cols>
  <sheetData>
    <row r="1" spans="1:4">
      <c r="A1" s="380" t="s">
        <v>3007</v>
      </c>
      <c r="B1" s="380"/>
    </row>
    <row r="3" spans="1:4">
      <c r="A3" s="380" t="s">
        <v>1421</v>
      </c>
      <c r="B3" s="380"/>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4.25"/>
  <cols>
    <col min="2" max="2" width="19.3984375" bestFit="1" customWidth="1"/>
    <col min="3" max="3" width="21.132812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4.25"/>
  <cols>
    <col min="1" max="1" width="34.1328125" bestFit="1" customWidth="1"/>
    <col min="2" max="2" width="15.3984375" bestFit="1" customWidth="1"/>
    <col min="3" max="3" width="10.86328125" bestFit="1" customWidth="1"/>
  </cols>
  <sheetData>
    <row r="1" spans="1:3">
      <c r="A1" s="380" t="s">
        <v>3015</v>
      </c>
      <c r="B1" s="380"/>
      <c r="C1" s="380"/>
    </row>
    <row r="3" spans="1:3">
      <c r="A3" s="380" t="s">
        <v>1421</v>
      </c>
      <c r="B3" s="380"/>
      <c r="C3" s="380"/>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4.25"/>
  <cols>
    <col min="1" max="1" width="34.1328125" bestFit="1" customWidth="1"/>
    <col min="2" max="2" width="15.3984375" bestFit="1" customWidth="1"/>
    <col min="3" max="3" width="10.86328125" bestFit="1" customWidth="1"/>
  </cols>
  <sheetData>
    <row r="1" spans="1:3">
      <c r="A1" s="380" t="s">
        <v>3007</v>
      </c>
      <c r="B1" s="380"/>
      <c r="C1" s="380"/>
    </row>
    <row r="3" spans="1:3">
      <c r="A3" s="380" t="s">
        <v>1421</v>
      </c>
      <c r="B3" s="380"/>
      <c r="C3" s="380"/>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4.25"/>
  <cols>
    <col min="3" max="3" width="32.86328125" bestFit="1" customWidth="1"/>
    <col min="4" max="4" width="16.265625" customWidth="1"/>
    <col min="5" max="5" width="10.59765625" customWidth="1"/>
    <col min="7" max="7" width="29.86328125" bestFit="1" customWidth="1"/>
    <col min="8" max="8" width="21.1328125" bestFit="1" customWidth="1"/>
  </cols>
  <sheetData>
    <row r="1" spans="3:9" ht="14.65" thickBot="1"/>
    <row r="2" spans="3:9" ht="14.65" thickBot="1">
      <c r="C2" s="418" t="s">
        <v>3023</v>
      </c>
      <c r="D2" s="419"/>
      <c r="E2" s="419"/>
      <c r="F2" s="419"/>
      <c r="G2" s="419"/>
      <c r="H2" s="419"/>
      <c r="I2" s="420"/>
    </row>
    <row r="3" spans="3:9" ht="14.65" thickBot="1">
      <c r="C3" s="155"/>
      <c r="G3" s="415" t="s">
        <v>757</v>
      </c>
      <c r="H3" s="416"/>
      <c r="I3" s="417"/>
    </row>
    <row r="4" spans="3:9" ht="14.6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4.65" thickBot="1">
      <c r="C6" s="157" t="s">
        <v>3024</v>
      </c>
      <c r="D6" s="2" t="s">
        <v>3019</v>
      </c>
      <c r="E6" s="158">
        <v>-2000</v>
      </c>
      <c r="G6" s="166" t="s">
        <v>3028</v>
      </c>
      <c r="H6" s="168">
        <v>1</v>
      </c>
      <c r="I6" s="156"/>
    </row>
    <row r="7" spans="3:9" ht="14.65" thickBot="1">
      <c r="C7" s="157" t="s">
        <v>3025</v>
      </c>
      <c r="D7" s="2" t="s">
        <v>1264</v>
      </c>
      <c r="E7" s="158">
        <v>-15000</v>
      </c>
      <c r="G7" s="155"/>
      <c r="I7" s="156"/>
    </row>
    <row r="8" spans="3:9" ht="14.6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4.65" thickBot="1">
      <c r="C11" s="155"/>
      <c r="E11" s="156"/>
      <c r="G11" s="166" t="s">
        <v>3014</v>
      </c>
      <c r="H11" s="171" t="s">
        <v>1290</v>
      </c>
      <c r="I11" s="168">
        <v>2</v>
      </c>
    </row>
    <row r="12" spans="3:9" ht="14.65" thickBot="1">
      <c r="C12" s="160" t="str">
        <f>"Number Of Periods ("&amp;IF(E10=12,"months",(IF(E10=4,"quarters","semi-annuals")))&amp;")"</f>
        <v>Number Of Periods (semi-annuals)</v>
      </c>
      <c r="D12" s="413">
        <f>NPER(E5/E10,E6,E7,E8,E9)</f>
        <v>14.560279771016853</v>
      </c>
      <c r="E12" s="414"/>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4.25"/>
  <cols>
    <col min="1" max="1" width="24" bestFit="1" customWidth="1"/>
    <col min="2" max="2" width="11.86328125" bestFit="1" customWidth="1"/>
  </cols>
  <sheetData>
    <row r="1" spans="1:2">
      <c r="A1" s="380" t="s">
        <v>3007</v>
      </c>
      <c r="B1" s="380"/>
    </row>
    <row r="3" spans="1:2">
      <c r="A3" s="380" t="s">
        <v>1421</v>
      </c>
      <c r="B3" s="380"/>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4.25"/>
  <cols>
    <col min="1" max="1" width="26.86328125" bestFit="1" customWidth="1"/>
    <col min="2" max="2" width="11.86328125" bestFit="1" customWidth="1"/>
  </cols>
  <sheetData>
    <row r="1" spans="1:2">
      <c r="A1" s="380" t="s">
        <v>3007</v>
      </c>
      <c r="B1" s="380"/>
    </row>
    <row r="3" spans="1:2">
      <c r="A3" s="380" t="s">
        <v>1421</v>
      </c>
      <c r="B3" s="380"/>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4.25"/>
  <cols>
    <col min="1" max="1" width="8.73046875" customWidth="1"/>
  </cols>
  <sheetData>
    <row r="1" spans="1:5">
      <c r="A1" s="380" t="s">
        <v>3031</v>
      </c>
      <c r="B1" s="380"/>
      <c r="C1" s="380"/>
      <c r="D1" s="380"/>
      <c r="E1" s="380"/>
    </row>
    <row r="3" spans="1:5">
      <c r="A3" s="380" t="s">
        <v>3032</v>
      </c>
      <c r="B3" s="380"/>
      <c r="D3" s="380" t="s">
        <v>3033</v>
      </c>
      <c r="E3" s="380"/>
    </row>
    <row r="5" spans="1:5">
      <c r="A5" s="2">
        <v>2</v>
      </c>
      <c r="B5" s="2">
        <v>4</v>
      </c>
      <c r="D5" s="2">
        <v>3</v>
      </c>
      <c r="E5" s="2">
        <v>6</v>
      </c>
    </row>
    <row r="6" spans="1:5">
      <c r="A6" s="2">
        <v>6</v>
      </c>
      <c r="B6" s="2">
        <v>8</v>
      </c>
      <c r="D6" s="2">
        <v>9</v>
      </c>
      <c r="E6" s="2">
        <v>12</v>
      </c>
    </row>
    <row r="9" spans="1:5">
      <c r="A9" s="380" t="s">
        <v>3034</v>
      </c>
      <c r="B9" s="380"/>
      <c r="C9" s="380"/>
      <c r="D9" s="380"/>
      <c r="E9" s="380"/>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4.25"/>
  <sheetData>
    <row r="1" spans="2:10" ht="14.65" thickBot="1"/>
    <row r="2" spans="2:10">
      <c r="B2" s="424" t="s">
        <v>3035</v>
      </c>
      <c r="C2" s="425"/>
      <c r="D2" s="425"/>
      <c r="E2" s="425"/>
      <c r="F2" s="425"/>
      <c r="G2" s="425"/>
      <c r="H2" s="426"/>
    </row>
    <row r="3" spans="2:10" ht="14.65" thickBot="1">
      <c r="B3" s="155"/>
      <c r="H3" s="156"/>
    </row>
    <row r="4" spans="2:10" ht="14.65" thickBot="1">
      <c r="B4" s="427" t="s">
        <v>1421</v>
      </c>
      <c r="C4" s="428"/>
      <c r="D4" s="428"/>
      <c r="E4" s="422"/>
      <c r="F4" s="428"/>
      <c r="G4" s="428"/>
      <c r="H4" s="429"/>
    </row>
    <row r="5" spans="2:10">
      <c r="B5" s="421" t="s">
        <v>3032</v>
      </c>
      <c r="C5" s="422"/>
      <c r="D5" s="423"/>
      <c r="F5" s="421" t="s">
        <v>3033</v>
      </c>
      <c r="G5" s="422"/>
      <c r="H5" s="423"/>
    </row>
    <row r="6" spans="2:10">
      <c r="B6" s="157">
        <v>1</v>
      </c>
      <c r="C6" s="2">
        <v>2</v>
      </c>
      <c r="D6" s="159">
        <v>3</v>
      </c>
      <c r="F6" s="157">
        <v>10</v>
      </c>
      <c r="G6" s="2">
        <v>100</v>
      </c>
      <c r="H6" s="159">
        <v>1000</v>
      </c>
    </row>
    <row r="7" spans="2:10">
      <c r="B7" s="157">
        <v>4</v>
      </c>
      <c r="C7" s="2">
        <v>5</v>
      </c>
      <c r="D7" s="159">
        <v>6</v>
      </c>
      <c r="F7" s="157">
        <v>100</v>
      </c>
      <c r="G7" s="2">
        <v>1000</v>
      </c>
      <c r="H7" s="159">
        <v>10</v>
      </c>
    </row>
    <row r="8" spans="2:10" ht="14.65" thickBot="1">
      <c r="B8" s="174">
        <v>7</v>
      </c>
      <c r="C8" s="171">
        <v>8</v>
      </c>
      <c r="D8" s="168">
        <v>9</v>
      </c>
      <c r="E8" s="169"/>
      <c r="F8" s="174">
        <v>1000</v>
      </c>
      <c r="G8" s="171">
        <v>10</v>
      </c>
      <c r="H8" s="168">
        <v>100</v>
      </c>
    </row>
    <row r="9" spans="2:10" ht="14.65" thickBot="1">
      <c r="B9" s="155"/>
      <c r="H9" s="156"/>
    </row>
    <row r="10" spans="2:10" ht="27.95" customHeight="1">
      <c r="B10" s="430" t="s">
        <v>3036</v>
      </c>
      <c r="C10" s="431"/>
      <c r="D10" s="432"/>
      <c r="H10" s="156"/>
    </row>
    <row r="11" spans="2:10">
      <c r="B11" s="175">
        <f t="array" ref="B11:D13">MMULT(B6:D8,F6:H8)</f>
        <v>3210</v>
      </c>
      <c r="C11" s="7">
        <v>2130</v>
      </c>
      <c r="D11" s="178">
        <v>1320</v>
      </c>
      <c r="H11" s="156"/>
      <c r="J11" s="121"/>
    </row>
    <row r="12" spans="2:10">
      <c r="B12" s="175">
        <v>6540</v>
      </c>
      <c r="C12" s="7">
        <v>5460</v>
      </c>
      <c r="D12" s="178">
        <v>4650</v>
      </c>
      <c r="H12" s="156"/>
    </row>
    <row r="13" spans="2:10" ht="14.6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4.25"/>
  <cols>
    <col min="4" max="4" width="8.73046875" customWidth="1"/>
  </cols>
  <sheetData>
    <row r="1" spans="3:7" ht="14.65" thickBot="1"/>
    <row r="2" spans="3:7" ht="14.65" thickBot="1">
      <c r="C2" s="427" t="s">
        <v>1421</v>
      </c>
      <c r="D2" s="428"/>
      <c r="E2" s="422"/>
      <c r="F2" s="428"/>
      <c r="G2" s="429"/>
    </row>
    <row r="3" spans="3:7">
      <c r="C3" s="421" t="s">
        <v>3037</v>
      </c>
      <c r="D3" s="423"/>
      <c r="F3" s="421" t="s">
        <v>3038</v>
      </c>
      <c r="G3" s="423"/>
    </row>
    <row r="4" spans="3:7">
      <c r="C4" s="157">
        <v>4</v>
      </c>
      <c r="D4" s="159">
        <v>8</v>
      </c>
      <c r="F4" s="157">
        <v>11</v>
      </c>
      <c r="G4" s="159">
        <v>22</v>
      </c>
    </row>
    <row r="5" spans="3:7" ht="14.65" thickBot="1">
      <c r="C5" s="174">
        <v>5</v>
      </c>
      <c r="D5" s="168">
        <v>10</v>
      </c>
      <c r="E5" s="169"/>
      <c r="F5" s="174">
        <v>12</v>
      </c>
      <c r="G5" s="168">
        <v>24</v>
      </c>
    </row>
    <row r="6" spans="3:7" ht="14.65" thickBot="1"/>
    <row r="7" spans="3:7">
      <c r="C7" s="421" t="s">
        <v>3041</v>
      </c>
      <c r="D7" s="422"/>
      <c r="E7" s="422"/>
      <c r="F7" s="422"/>
      <c r="G7" s="423"/>
    </row>
    <row r="8" spans="3:7" ht="45.6" customHeight="1">
      <c r="C8" s="433" t="s">
        <v>3040</v>
      </c>
      <c r="D8" s="434"/>
      <c r="F8" s="433" t="s">
        <v>3035</v>
      </c>
      <c r="G8" s="434"/>
    </row>
    <row r="9" spans="3:7" ht="14.65" thickBot="1">
      <c r="C9" s="155"/>
      <c r="D9" s="156"/>
      <c r="F9" s="155"/>
      <c r="G9" s="156"/>
    </row>
    <row r="10" spans="3:7">
      <c r="C10" s="421" t="s">
        <v>3039</v>
      </c>
      <c r="D10" s="423"/>
      <c r="F10" s="421" t="s">
        <v>3039</v>
      </c>
      <c r="G10" s="423"/>
    </row>
    <row r="11" spans="3:7">
      <c r="C11" s="175">
        <f>C4*F4+D4*F5</f>
        <v>140</v>
      </c>
      <c r="D11" s="178">
        <f>C4*G4+D4*G5</f>
        <v>280</v>
      </c>
      <c r="F11" s="175">
        <f t="array" ref="F11:G12">MMULT(C4:D5,F4:G5)</f>
        <v>140</v>
      </c>
      <c r="G11" s="178">
        <v>280</v>
      </c>
    </row>
    <row r="12" spans="3:7" ht="14.6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4.25"/>
  <cols>
    <col min="1" max="1" width="11.1328125" bestFit="1" customWidth="1"/>
    <col min="2" max="2" width="20.1328125" bestFit="1" customWidth="1"/>
    <col min="3" max="3" width="18.3984375" bestFit="1" customWidth="1"/>
    <col min="4" max="4" width="18.265625" bestFit="1" customWidth="1"/>
    <col min="6" max="6" width="11.1328125" bestFit="1" customWidth="1"/>
    <col min="7" max="7" width="15.265625" bestFit="1" customWidth="1"/>
    <col min="8" max="8" width="8.3984375" bestFit="1" customWidth="1"/>
  </cols>
  <sheetData>
    <row r="1" spans="1:8">
      <c r="A1" s="424" t="s">
        <v>1421</v>
      </c>
      <c r="B1" s="425"/>
      <c r="C1" s="425"/>
      <c r="D1" s="425"/>
      <c r="E1" s="425"/>
      <c r="F1" s="425"/>
      <c r="G1" s="425"/>
      <c r="H1" s="426"/>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4.65" thickBot="1">
      <c r="A5" s="182"/>
      <c r="B5" s="169"/>
      <c r="C5" s="169"/>
      <c r="D5" s="169"/>
      <c r="E5" s="169"/>
      <c r="F5" s="171" t="s">
        <v>3051</v>
      </c>
      <c r="G5" s="171">
        <v>15</v>
      </c>
      <c r="H5" s="168">
        <v>5</v>
      </c>
    </row>
    <row r="6" spans="1:8" ht="14.65" thickBot="1"/>
    <row r="7" spans="1:8">
      <c r="A7" s="421" t="s">
        <v>3052</v>
      </c>
      <c r="B7" s="422"/>
      <c r="C7" s="423"/>
    </row>
    <row r="8" spans="1:8">
      <c r="A8" s="180" t="s">
        <v>32</v>
      </c>
      <c r="B8" s="1" t="s">
        <v>3044</v>
      </c>
      <c r="C8" s="181" t="s">
        <v>3042</v>
      </c>
    </row>
    <row r="9" spans="1:8">
      <c r="A9" s="157" t="s">
        <v>307</v>
      </c>
      <c r="B9" s="7">
        <f t="array" ref="B9:C10">MMULT(B3:D4,G3:H5)</f>
        <v>1580</v>
      </c>
      <c r="C9" s="178">
        <v>745</v>
      </c>
    </row>
    <row r="10" spans="1:8" ht="14.6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4.25"/>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80" t="s">
        <v>3056</v>
      </c>
      <c r="B13" s="380"/>
      <c r="C13" s="380"/>
      <c r="D13" s="380"/>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4.25"/>
  <sheetData>
    <row r="1" spans="2:6" ht="14.65" thickBot="1"/>
    <row r="2" spans="2:6" ht="14.65" thickBot="1">
      <c r="B2" s="418" t="s">
        <v>3059</v>
      </c>
      <c r="C2" s="419"/>
      <c r="D2" s="419"/>
      <c r="E2" s="419"/>
      <c r="F2" s="420"/>
    </row>
    <row r="3" spans="2:6" ht="14.65" thickBot="1">
      <c r="B3" s="155"/>
      <c r="F3" s="156"/>
    </row>
    <row r="4" spans="2:6">
      <c r="B4" s="421" t="s">
        <v>1421</v>
      </c>
      <c r="C4" s="422"/>
      <c r="D4" s="422"/>
      <c r="E4" s="422"/>
      <c r="F4" s="423"/>
    </row>
    <row r="5" spans="2:6">
      <c r="B5" s="183" t="s">
        <v>3032</v>
      </c>
      <c r="D5" s="435" t="s">
        <v>3033</v>
      </c>
      <c r="E5" s="435"/>
      <c r="F5" s="436"/>
    </row>
    <row r="6" spans="2:6">
      <c r="B6" s="157">
        <v>1</v>
      </c>
      <c r="D6" s="2">
        <v>1</v>
      </c>
      <c r="E6" s="2">
        <v>2</v>
      </c>
      <c r="F6" s="159">
        <v>3</v>
      </c>
    </row>
    <row r="7" spans="2:6">
      <c r="B7" s="157">
        <v>2</v>
      </c>
      <c r="F7" s="156"/>
    </row>
    <row r="8" spans="2:6" ht="14.65" thickBot="1">
      <c r="B8" s="174">
        <v>3</v>
      </c>
      <c r="C8" s="169"/>
      <c r="D8" s="169"/>
      <c r="E8" s="169"/>
      <c r="F8" s="170"/>
    </row>
    <row r="9" spans="2:6" ht="14.65" thickBot="1">
      <c r="B9" s="184"/>
      <c r="F9" s="156"/>
    </row>
    <row r="10" spans="2:6">
      <c r="B10" s="421" t="s">
        <v>1738</v>
      </c>
      <c r="C10" s="422"/>
      <c r="D10" s="422"/>
      <c r="E10" s="422"/>
      <c r="F10" s="423"/>
    </row>
    <row r="11" spans="2:6" ht="29.1" customHeight="1">
      <c r="B11" s="437" t="s">
        <v>3058</v>
      </c>
      <c r="C11" s="438"/>
      <c r="D11" s="439"/>
      <c r="F11" s="156"/>
    </row>
    <row r="12" spans="2:6">
      <c r="B12" s="175">
        <f t="array" ref="B12:D14">MMULT(B6:B8,D6:F6)</f>
        <v>1</v>
      </c>
      <c r="C12" s="7">
        <v>2</v>
      </c>
      <c r="D12" s="178">
        <v>3</v>
      </c>
      <c r="F12" s="156"/>
    </row>
    <row r="13" spans="2:6">
      <c r="B13" s="175">
        <v>2</v>
      </c>
      <c r="C13" s="7">
        <v>4</v>
      </c>
      <c r="D13" s="178">
        <v>6</v>
      </c>
      <c r="F13" s="156"/>
    </row>
    <row r="14" spans="2:6" ht="14.6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4.25"/>
  <cols>
    <col min="1" max="1" width="42" bestFit="1" customWidth="1"/>
    <col min="2" max="2" width="10.3984375" bestFit="1" customWidth="1"/>
  </cols>
  <sheetData>
    <row r="1" spans="1:2">
      <c r="A1" s="385" t="s">
        <v>3060</v>
      </c>
      <c r="B1" s="381"/>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4.25"/>
  <cols>
    <col min="4" max="4" width="24.59765625" bestFit="1" customWidth="1"/>
    <col min="5" max="5" width="5.59765625" bestFit="1" customWidth="1"/>
    <col min="6" max="6" width="0.73046875" customWidth="1"/>
    <col min="7" max="7" width="18.86328125" bestFit="1" customWidth="1"/>
    <col min="8" max="8" width="5.59765625" bestFit="1" customWidth="1"/>
  </cols>
  <sheetData>
    <row r="2" spans="4:8">
      <c r="D2" s="380" t="s">
        <v>2885</v>
      </c>
      <c r="E2" s="380"/>
      <c r="G2" s="380" t="s">
        <v>2890</v>
      </c>
      <c r="H2" s="380"/>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4.25"/>
  <cols>
    <col min="2" max="2" width="45.1328125" bestFit="1" customWidth="1"/>
    <col min="3" max="3" width="15.59765625" bestFit="1" customWidth="1"/>
    <col min="4" max="4" width="10.3984375" bestFit="1" customWidth="1"/>
  </cols>
  <sheetData>
    <row r="1" spans="2:4">
      <c r="B1" s="380" t="s">
        <v>3067</v>
      </c>
      <c r="C1" s="380"/>
      <c r="D1" s="380"/>
    </row>
    <row r="3" spans="2:4">
      <c r="B3" s="380" t="s">
        <v>1421</v>
      </c>
      <c r="C3" s="380"/>
      <c r="D3" s="380"/>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4.25"/>
  <cols>
    <col min="1" max="1" width="45.1328125" bestFit="1" customWidth="1"/>
    <col min="2" max="2" width="15.59765625" bestFit="1" customWidth="1"/>
    <col min="3" max="3" width="9.3984375" bestFit="1" customWidth="1"/>
  </cols>
  <sheetData>
    <row r="1" spans="1:3">
      <c r="A1" s="380" t="s">
        <v>3071</v>
      </c>
      <c r="B1" s="380"/>
      <c r="C1" s="380"/>
    </row>
    <row r="3" spans="1:3">
      <c r="A3" s="380" t="s">
        <v>1421</v>
      </c>
      <c r="B3" s="380"/>
      <c r="C3" s="380"/>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4.25"/>
  <cols>
    <col min="1" max="1" width="45.1328125" bestFit="1" customWidth="1"/>
    <col min="2" max="2" width="15.59765625" bestFit="1" customWidth="1"/>
    <col min="3" max="3" width="10.3984375" bestFit="1" customWidth="1"/>
  </cols>
  <sheetData>
    <row r="1" spans="1:3">
      <c r="A1" s="380" t="s">
        <v>3067</v>
      </c>
      <c r="B1" s="380"/>
      <c r="C1" s="380"/>
    </row>
    <row r="3" spans="1:3">
      <c r="A3" s="380" t="s">
        <v>1421</v>
      </c>
      <c r="B3" s="380"/>
      <c r="C3" s="380"/>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4.25"/>
  <cols>
    <col min="1" max="1" width="45.1328125" bestFit="1" customWidth="1"/>
    <col min="2" max="2" width="15.59765625" bestFit="1" customWidth="1"/>
    <col min="3" max="3" width="10.3984375" customWidth="1"/>
  </cols>
  <sheetData>
    <row r="1" spans="1:3">
      <c r="A1" s="380" t="s">
        <v>3067</v>
      </c>
      <c r="B1" s="380"/>
      <c r="C1" s="380"/>
    </row>
    <row r="3" spans="1:3">
      <c r="A3" s="380" t="s">
        <v>1421</v>
      </c>
      <c r="B3" s="380"/>
      <c r="C3" s="380"/>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4.25"/>
  <cols>
    <col min="1" max="1" width="45.1328125" bestFit="1" customWidth="1"/>
    <col min="2" max="2" width="15.59765625" bestFit="1" customWidth="1"/>
    <col min="3" max="3" width="10.3984375" bestFit="1" customWidth="1"/>
  </cols>
  <sheetData>
    <row r="1" spans="1:3">
      <c r="A1" s="380" t="s">
        <v>3067</v>
      </c>
      <c r="B1" s="380"/>
      <c r="C1" s="380"/>
    </row>
    <row r="3" spans="1:3">
      <c r="A3" s="380" t="s">
        <v>1421</v>
      </c>
      <c r="B3" s="380"/>
      <c r="C3" s="380"/>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4.25"/>
  <cols>
    <col min="1" max="1" width="6.3984375" bestFit="1" customWidth="1"/>
    <col min="2" max="2" width="13.1328125" bestFit="1" customWidth="1"/>
    <col min="3" max="3" width="9.73046875" bestFit="1" customWidth="1"/>
    <col min="4" max="4" width="9.3984375" bestFit="1" customWidth="1"/>
    <col min="5" max="5" width="11.86328125" bestFit="1" customWidth="1"/>
    <col min="8" max="8" width="16.86328125" bestFit="1" customWidth="1"/>
  </cols>
  <sheetData>
    <row r="1" spans="1:8">
      <c r="A1" s="380" t="s">
        <v>3080</v>
      </c>
      <c r="B1" s="380"/>
      <c r="C1" s="380"/>
      <c r="D1" s="380"/>
      <c r="E1" s="380"/>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4.25"/>
  <cols>
    <col min="1" max="1" width="6.3984375" bestFit="1" customWidth="1"/>
    <col min="2" max="2" width="13.1328125" bestFit="1" customWidth="1"/>
    <col min="3" max="3" width="9.73046875" bestFit="1" customWidth="1"/>
    <col min="4" max="4" width="9.3984375" bestFit="1" customWidth="1"/>
    <col min="5" max="5" width="11.86328125" bestFit="1" customWidth="1"/>
  </cols>
  <sheetData>
    <row r="1" spans="1:5">
      <c r="A1" s="380" t="s">
        <v>3080</v>
      </c>
      <c r="B1" s="380"/>
      <c r="C1" s="380"/>
      <c r="D1" s="380"/>
      <c r="E1" s="380"/>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4.25"/>
  <cols>
    <col min="1" max="1" width="6.3984375" bestFit="1" customWidth="1"/>
    <col min="2" max="2" width="16.1328125" bestFit="1" customWidth="1"/>
    <col min="3" max="3" width="15.73046875" bestFit="1" customWidth="1"/>
    <col min="4" max="4" width="19.1328125" customWidth="1"/>
  </cols>
  <sheetData>
    <row r="1" spans="1:4">
      <c r="A1" s="380" t="s">
        <v>3085</v>
      </c>
      <c r="B1" s="380"/>
      <c r="C1" s="380"/>
      <c r="D1" s="380"/>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4.25"/>
  <cols>
    <col min="1" max="1" width="6.3984375" bestFit="1" customWidth="1"/>
    <col min="2" max="2" width="7.265625" bestFit="1" customWidth="1"/>
    <col min="3" max="3" width="13.1328125" bestFit="1" customWidth="1"/>
    <col min="4" max="4" width="9.73046875" bestFit="1" customWidth="1"/>
    <col min="5" max="5" width="9.3984375" bestFit="1" customWidth="1"/>
    <col min="6" max="6" width="11.86328125" bestFit="1" customWidth="1"/>
  </cols>
  <sheetData>
    <row r="1" spans="1:6">
      <c r="C1" s="382" t="s">
        <v>3080</v>
      </c>
      <c r="D1" s="383"/>
      <c r="E1" s="383"/>
      <c r="F1" s="384"/>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4.25"/>
  <cols>
    <col min="1" max="1" width="5.59765625" bestFit="1" customWidth="1"/>
    <col min="2" max="2" width="7.265625" bestFit="1" customWidth="1"/>
    <col min="3" max="3" width="9.73046875" bestFit="1" customWidth="1"/>
    <col min="4" max="4" width="9.3984375" bestFit="1" customWidth="1"/>
    <col min="5" max="5" width="11.86328125" bestFit="1" customWidth="1"/>
  </cols>
  <sheetData>
    <row r="1" spans="1:5">
      <c r="C1" s="382" t="s">
        <v>3080</v>
      </c>
      <c r="D1" s="383"/>
      <c r="E1" s="384"/>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4.25"/>
  <cols>
    <col min="6" max="6" width="38.8632812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4.25"/>
  <cols>
    <col min="1" max="1" width="11.265625" bestFit="1" customWidth="1"/>
    <col min="2" max="2" width="14.3984375" bestFit="1" customWidth="1"/>
    <col min="3" max="3" width="14" bestFit="1" customWidth="1"/>
    <col min="6" max="6" width="11.265625" bestFit="1" customWidth="1"/>
    <col min="7" max="7" width="14.2656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4.25"/>
  <cols>
    <col min="2" max="2" width="22.3984375" bestFit="1" customWidth="1"/>
    <col min="3" max="3" width="23.86328125" bestFit="1" customWidth="1"/>
    <col min="6" max="6" width="20.265625" bestFit="1" customWidth="1"/>
    <col min="7" max="7" width="24.1328125" bestFit="1" customWidth="1"/>
  </cols>
  <sheetData>
    <row r="1" spans="2:7">
      <c r="B1" s="1" t="s">
        <v>130</v>
      </c>
      <c r="C1" s="1" t="s">
        <v>3110</v>
      </c>
      <c r="F1" s="382" t="s">
        <v>3111</v>
      </c>
      <c r="G1" s="384"/>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xmlns:xlrd2="http://schemas.microsoft.com/office/spreadsheetml/2017/richdata2"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4.25"/>
  <cols>
    <col min="1" max="1" width="15" bestFit="1" customWidth="1"/>
    <col min="2" max="2" width="13.1328125" bestFit="1" customWidth="1"/>
    <col min="5" max="5" width="6.73046875" bestFit="1" customWidth="1"/>
    <col min="6" max="6" width="15" bestFit="1" customWidth="1"/>
    <col min="7" max="11" width="8.73046875" customWidth="1"/>
  </cols>
  <sheetData>
    <row r="1" spans="1:11">
      <c r="A1" s="1" t="s">
        <v>3117</v>
      </c>
      <c r="B1" s="1" t="s">
        <v>3118</v>
      </c>
      <c r="E1" s="380" t="s">
        <v>757</v>
      </c>
      <c r="F1" s="1" t="s">
        <v>3116</v>
      </c>
      <c r="G1" s="2">
        <v>35</v>
      </c>
      <c r="H1" s="2">
        <v>45</v>
      </c>
      <c r="I1" s="2">
        <v>55</v>
      </c>
      <c r="J1" s="2">
        <v>65</v>
      </c>
      <c r="K1" s="2">
        <v>75</v>
      </c>
    </row>
    <row r="2" spans="1:11">
      <c r="A2" s="2">
        <v>64</v>
      </c>
      <c r="B2" s="7" t="str">
        <f>LOOKUP(A2,F1:K2)</f>
        <v>C</v>
      </c>
      <c r="E2" s="380"/>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4.25"/>
  <cols>
    <col min="1" max="1" width="17.73046875" bestFit="1" customWidth="1"/>
    <col min="2" max="2" width="14.265625" bestFit="1" customWidth="1"/>
    <col min="3" max="3" width="14.3984375" bestFit="1" customWidth="1"/>
    <col min="6" max="6" width="17.7304687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xmlns:xlrd2="http://schemas.microsoft.com/office/spreadsheetml/2017/richdata2"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4.25"/>
  <cols>
    <col min="1" max="1" width="8.1328125" bestFit="1" customWidth="1"/>
    <col min="2" max="2" width="17.1328125" bestFit="1" customWidth="1"/>
    <col min="6" max="6" width="8.1328125" bestFit="1" customWidth="1"/>
    <col min="7" max="7" width="17.132812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4.25"/>
  <cols>
    <col min="1" max="2" width="16" customWidth="1"/>
    <col min="3" max="3" width="14.132812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4.25"/>
  <cols>
    <col min="3" max="3" width="12.265625" bestFit="1" customWidth="1"/>
    <col min="7" max="7" width="12.2656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4.25"/>
  <cols>
    <col min="3" max="3" width="12.26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xmlns:xlrd2="http://schemas.microsoft.com/office/spreadsheetml/2017/richdata2"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4.25"/>
  <cols>
    <col min="3" max="3" width="12.2656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4.25"/>
  <cols>
    <col min="1" max="1" width="6.59765625" bestFit="1" customWidth="1"/>
    <col min="2" max="2" width="7.265625" bestFit="1" customWidth="1"/>
    <col min="3" max="3" width="25.8632812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4.25"/>
  <cols>
    <col min="1" max="1" width="6.59765625" bestFit="1" customWidth="1"/>
    <col min="2" max="2" width="7.3984375" bestFit="1" customWidth="1"/>
    <col min="3" max="3" width="17.132812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4.25"/>
  <cols>
    <col min="1" max="1" width="6.59765625" bestFit="1" customWidth="1"/>
    <col min="2" max="2" width="10.398437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4.25"/>
  <cols>
    <col min="1" max="1" width="7.59765625" customWidth="1"/>
    <col min="2" max="2" width="24.59765625" customWidth="1"/>
    <col min="3" max="3" width="13.8632812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4.25"/>
  <cols>
    <col min="1" max="1" width="9.1328125" bestFit="1" customWidth="1"/>
    <col min="2" max="2" width="17.2656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4.25"/>
  <cols>
    <col min="1" max="1" width="12.3984375" bestFit="1" customWidth="1"/>
    <col min="2" max="2" width="19.86328125" bestFit="1" customWidth="1"/>
    <col min="3" max="3" width="6.398437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4.25"/>
  <cols>
    <col min="1" max="1" width="5.59765625" bestFit="1" customWidth="1"/>
    <col min="2" max="2" width="14.265625" bestFit="1" customWidth="1"/>
    <col min="3" max="3" width="14.86328125" bestFit="1" customWidth="1"/>
    <col min="4" max="4" width="11.1328125" bestFit="1" customWidth="1"/>
    <col min="5" max="5" width="11.8632812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4.25"/>
  <cols>
    <col min="1" max="1" width="12.59765625" bestFit="1" customWidth="1"/>
    <col min="2" max="2" width="9.132812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4.25"/>
  <cols>
    <col min="1" max="1" width="12.73046875" bestFit="1" customWidth="1"/>
    <col min="2" max="2" width="11.86328125" customWidth="1"/>
    <col min="3" max="3" width="7.86328125" bestFit="1" customWidth="1"/>
    <col min="9" max="9" width="4.1328125" customWidth="1"/>
  </cols>
  <sheetData>
    <row r="1" spans="1:10" ht="29.1" customHeight="1">
      <c r="A1" s="421" t="s">
        <v>3213</v>
      </c>
      <c r="B1" s="422"/>
      <c r="C1" s="423"/>
      <c r="E1" s="421" t="s">
        <v>3219</v>
      </c>
      <c r="F1" s="422"/>
      <c r="G1" s="422"/>
      <c r="H1" s="423"/>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4.65" thickBot="1">
      <c r="A5" s="157" t="s">
        <v>3215</v>
      </c>
      <c r="B5" s="2" t="s">
        <v>3216</v>
      </c>
      <c r="C5" s="159">
        <v>1</v>
      </c>
      <c r="E5" s="176">
        <v>4</v>
      </c>
      <c r="F5" s="177">
        <v>11</v>
      </c>
      <c r="G5" s="177">
        <v>15</v>
      </c>
      <c r="H5" s="179">
        <v>19</v>
      </c>
    </row>
    <row r="6" spans="1:10">
      <c r="A6" s="157" t="s">
        <v>3217</v>
      </c>
      <c r="B6" s="2" t="s">
        <v>2182</v>
      </c>
      <c r="C6" s="159">
        <v>3</v>
      </c>
    </row>
    <row r="7" spans="1:10" ht="14.6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4.25"/>
  <cols>
    <col min="1" max="1" width="26.86328125" bestFit="1" customWidth="1"/>
    <col min="2" max="2" width="10.265625" customWidth="1"/>
    <col min="4" max="4" width="3" customWidth="1"/>
    <col min="6" max="8" width="9.86328125" bestFit="1" customWidth="1"/>
  </cols>
  <sheetData>
    <row r="1" spans="1:8" ht="14.65" thickBot="1">
      <c r="A1" s="415" t="s">
        <v>3224</v>
      </c>
      <c r="B1" s="417"/>
      <c r="D1" s="418" t="s">
        <v>3234</v>
      </c>
      <c r="E1" s="419"/>
      <c r="F1" s="419"/>
      <c r="G1" s="419"/>
      <c r="H1" s="420"/>
    </row>
    <row r="2" spans="1:8" ht="14.65" thickBot="1">
      <c r="A2" s="155"/>
      <c r="B2" s="156"/>
      <c r="D2" s="193"/>
      <c r="E2" s="194"/>
      <c r="F2" s="443" t="s">
        <v>1296</v>
      </c>
      <c r="G2" s="379"/>
      <c r="H2" s="444"/>
    </row>
    <row r="3" spans="1:8">
      <c r="A3" s="187" t="s">
        <v>2887</v>
      </c>
      <c r="B3" s="188" t="s">
        <v>1727</v>
      </c>
      <c r="D3" s="195"/>
      <c r="E3" s="196">
        <f>B4*(1+B5/B6)^(B6*B7)</f>
        <v>6410.1861585429251</v>
      </c>
      <c r="F3" s="2">
        <v>5</v>
      </c>
      <c r="G3" s="2">
        <v>6</v>
      </c>
      <c r="H3" s="159">
        <v>7</v>
      </c>
    </row>
    <row r="4" spans="1:8" ht="14.45" customHeight="1">
      <c r="A4" s="157" t="s">
        <v>3025</v>
      </c>
      <c r="B4" s="190">
        <v>5000</v>
      </c>
      <c r="D4" s="440" t="s">
        <v>3227</v>
      </c>
      <c r="E4" s="83">
        <v>6000</v>
      </c>
      <c r="F4" s="67">
        <f t="dataTable" ref="F4:H8" dt2D="1" dtr="1" r1="B7" r2="B4"/>
        <v>7692.2233902515109</v>
      </c>
      <c r="G4" s="67">
        <v>8084.1063024861051</v>
      </c>
      <c r="H4" s="197">
        <v>8495.9538217153549</v>
      </c>
    </row>
    <row r="5" spans="1:8">
      <c r="A5" s="157" t="s">
        <v>1252</v>
      </c>
      <c r="B5" s="191">
        <v>0.05</v>
      </c>
      <c r="D5" s="441"/>
      <c r="E5" s="83">
        <v>7000</v>
      </c>
      <c r="F5" s="67">
        <v>8974.2606219600948</v>
      </c>
      <c r="G5" s="67">
        <v>9431.4573529004556</v>
      </c>
      <c r="H5" s="197">
        <v>9911.9461253345817</v>
      </c>
    </row>
    <row r="6" spans="1:8">
      <c r="A6" s="157" t="s">
        <v>3225</v>
      </c>
      <c r="B6" s="159">
        <v>4</v>
      </c>
      <c r="D6" s="441"/>
      <c r="E6" s="83">
        <v>8000</v>
      </c>
      <c r="F6" s="67">
        <v>10256.297853668681</v>
      </c>
      <c r="G6" s="67">
        <v>10778.808403314808</v>
      </c>
      <c r="H6" s="197">
        <v>11327.938428953807</v>
      </c>
    </row>
    <row r="7" spans="1:8" ht="14.65" thickBot="1">
      <c r="A7" s="174" t="s">
        <v>1296</v>
      </c>
      <c r="B7" s="168">
        <v>5</v>
      </c>
      <c r="D7" s="441"/>
      <c r="E7" s="83">
        <v>9000</v>
      </c>
      <c r="F7" s="67">
        <v>11538.335085377266</v>
      </c>
      <c r="G7" s="67">
        <v>12126.159453729158</v>
      </c>
      <c r="H7" s="197">
        <v>12743.930732573033</v>
      </c>
    </row>
    <row r="8" spans="1:8" ht="14.65" thickBot="1">
      <c r="A8" s="155"/>
      <c r="B8" s="156"/>
      <c r="D8" s="442"/>
      <c r="E8" s="198">
        <v>10000</v>
      </c>
      <c r="F8" s="199">
        <v>12820.37231708585</v>
      </c>
      <c r="G8" s="199">
        <v>13473.510504143509</v>
      </c>
      <c r="H8" s="192">
        <v>14159.923036192258</v>
      </c>
    </row>
    <row r="9" spans="1:8" ht="14.6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4.25"/>
  <cols>
    <col min="1" max="1" width="26.3984375" bestFit="1" customWidth="1"/>
    <col min="2" max="2" width="10.86328125" bestFit="1" customWidth="1"/>
    <col min="3" max="3" width="12.59765625" bestFit="1" customWidth="1"/>
  </cols>
  <sheetData>
    <row r="1" spans="1:3">
      <c r="A1" s="421" t="s">
        <v>3011</v>
      </c>
      <c r="B1" s="422"/>
      <c r="C1" s="423"/>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4.6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4.25"/>
  <cols>
    <col min="1" max="1" width="26.3984375" bestFit="1" customWidth="1"/>
    <col min="2" max="2" width="13.3984375" bestFit="1" customWidth="1"/>
    <col min="3" max="3" width="8.86328125" bestFit="1" customWidth="1"/>
    <col min="5" max="8" width="9.59765625" bestFit="1" customWidth="1"/>
  </cols>
  <sheetData>
    <row r="1" spans="1:8" ht="14.65" thickBot="1">
      <c r="A1" s="448" t="s">
        <v>3011</v>
      </c>
      <c r="B1" s="449"/>
      <c r="D1" s="418" t="s">
        <v>3230</v>
      </c>
      <c r="E1" s="419"/>
      <c r="F1" s="419"/>
      <c r="G1" s="419"/>
      <c r="H1" s="420"/>
    </row>
    <row r="2" spans="1:8">
      <c r="A2" s="180" t="s">
        <v>3231</v>
      </c>
      <c r="B2" s="189" t="s">
        <v>3232</v>
      </c>
      <c r="D2" s="193"/>
      <c r="E2" s="194"/>
      <c r="F2" s="443" t="s">
        <v>1259</v>
      </c>
      <c r="G2" s="379"/>
      <c r="H2" s="444"/>
    </row>
    <row r="3" spans="1:8">
      <c r="A3" s="157" t="s">
        <v>1259</v>
      </c>
      <c r="B3" s="190"/>
      <c r="D3" s="195"/>
      <c r="E3" s="202">
        <f>PMT(10%/12,'Two-var_Calculation Sheet'!C6,'Two-var_Calculation Sheet'!C4)</f>
        <v>-1062.3522355634138</v>
      </c>
      <c r="F3" s="83">
        <v>20000</v>
      </c>
      <c r="G3" s="83">
        <v>30000</v>
      </c>
      <c r="H3" s="190">
        <v>40000</v>
      </c>
    </row>
    <row r="4" spans="1:8" ht="14.65" thickBot="1">
      <c r="A4" s="174" t="s">
        <v>3229</v>
      </c>
      <c r="B4" s="168"/>
      <c r="D4" s="445" t="s">
        <v>3229</v>
      </c>
      <c r="E4" s="2">
        <v>70</v>
      </c>
      <c r="F4" s="67">
        <f t="dataTable" ref="F4:H8" dt2D="1" dtr="1" r1="B3" r2="B4"/>
        <v>-378.25971154428231</v>
      </c>
      <c r="G4" s="67">
        <v>-567.38956731642338</v>
      </c>
      <c r="H4" s="197">
        <v>-756.51942308856462</v>
      </c>
    </row>
    <row r="5" spans="1:8">
      <c r="D5" s="446"/>
      <c r="E5" s="2">
        <v>80</v>
      </c>
      <c r="F5" s="67">
        <v>-343.52741635471938</v>
      </c>
      <c r="G5" s="67">
        <v>-515.29112453207904</v>
      </c>
      <c r="H5" s="197">
        <v>-687.05483270943876</v>
      </c>
    </row>
    <row r="6" spans="1:8">
      <c r="D6" s="446"/>
      <c r="E6" s="2">
        <v>90</v>
      </c>
      <c r="F6" s="67">
        <v>-316.75852041732435</v>
      </c>
      <c r="G6" s="67">
        <v>-475.13778062598647</v>
      </c>
      <c r="H6" s="197">
        <v>-633.5170408346487</v>
      </c>
    </row>
    <row r="7" spans="1:8">
      <c r="D7" s="446"/>
      <c r="E7" s="2">
        <v>100</v>
      </c>
      <c r="F7" s="67">
        <v>-295.56146094958666</v>
      </c>
      <c r="G7" s="67">
        <v>-443.34219142437996</v>
      </c>
      <c r="H7" s="197">
        <v>-591.12292189917332</v>
      </c>
    </row>
    <row r="8" spans="1:8" ht="14.65" thickBot="1">
      <c r="D8" s="447"/>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4.25"/>
  <cols>
    <col min="1" max="1" width="41.59765625" bestFit="1" customWidth="1"/>
    <col min="2" max="2" width="11.3984375" bestFit="1" customWidth="1"/>
    <col min="5" max="5" width="10.86328125" bestFit="1" customWidth="1"/>
    <col min="6" max="7" width="12.3984375" bestFit="1" customWidth="1"/>
    <col min="8" max="8" width="13.59765625" bestFit="1" customWidth="1"/>
  </cols>
  <sheetData>
    <row r="1" spans="1:8" ht="14.65" thickBot="1">
      <c r="A1" s="380" t="s">
        <v>3235</v>
      </c>
      <c r="B1" s="380"/>
      <c r="D1" s="418" t="s">
        <v>3241</v>
      </c>
      <c r="E1" s="419"/>
      <c r="F1" s="419"/>
      <c r="G1" s="419"/>
      <c r="H1" s="420"/>
    </row>
    <row r="2" spans="1:8">
      <c r="A2" s="155"/>
      <c r="B2" s="156"/>
      <c r="D2" s="193"/>
      <c r="E2" s="194"/>
      <c r="F2" s="443" t="s">
        <v>3239</v>
      </c>
      <c r="G2" s="379"/>
      <c r="H2" s="444"/>
    </row>
    <row r="3" spans="1:8">
      <c r="A3" s="1" t="s">
        <v>2887</v>
      </c>
      <c r="B3" s="1" t="s">
        <v>1727</v>
      </c>
      <c r="D3" s="195"/>
      <c r="E3" s="196">
        <f>FV(B7/12,B5*B6,-B4)</f>
        <v>776411.3972283433</v>
      </c>
      <c r="F3" s="2">
        <v>15</v>
      </c>
      <c r="G3" s="2">
        <v>20</v>
      </c>
      <c r="H3" s="159">
        <v>25</v>
      </c>
    </row>
    <row r="4" spans="1:8">
      <c r="A4" s="2" t="s">
        <v>3236</v>
      </c>
      <c r="B4" s="83">
        <v>5000</v>
      </c>
      <c r="D4" s="445" t="s">
        <v>1291</v>
      </c>
      <c r="E4" s="82">
        <v>0.06</v>
      </c>
      <c r="F4" s="67">
        <f t="dataTable" ref="F4:H8" dt2D="1" dtr="1" r1="B5" r2="B7"/>
        <v>1454093.5622471459</v>
      </c>
      <c r="G4" s="67">
        <v>2310204.4758073268</v>
      </c>
      <c r="H4" s="197">
        <v>3464969.8121621022</v>
      </c>
    </row>
    <row r="5" spans="1:8">
      <c r="A5" s="14" t="s">
        <v>3240</v>
      </c>
      <c r="B5" s="2">
        <v>10</v>
      </c>
      <c r="D5" s="446"/>
      <c r="E5" s="82">
        <v>7.0000000000000007E-2</v>
      </c>
      <c r="F5" s="67">
        <v>1584811.4836065881</v>
      </c>
      <c r="G5" s="67">
        <v>2604633.2991275843</v>
      </c>
      <c r="H5" s="197">
        <v>4050358.4651155462</v>
      </c>
    </row>
    <row r="6" spans="1:8">
      <c r="A6" s="2" t="s">
        <v>3237</v>
      </c>
      <c r="B6" s="2">
        <v>12</v>
      </c>
      <c r="D6" s="446"/>
      <c r="E6" s="82">
        <v>0.08</v>
      </c>
      <c r="F6" s="67">
        <v>1730191.1080575096</v>
      </c>
      <c r="G6" s="67">
        <v>2945102.0781072858</v>
      </c>
      <c r="H6" s="197">
        <v>4755131.972804484</v>
      </c>
    </row>
    <row r="7" spans="1:8">
      <c r="A7" s="2" t="s">
        <v>3238</v>
      </c>
      <c r="B7" s="82">
        <v>0.05</v>
      </c>
      <c r="D7" s="446"/>
      <c r="E7" s="82">
        <v>0.09</v>
      </c>
      <c r="F7" s="67">
        <v>1892028.8449859724</v>
      </c>
      <c r="G7" s="67">
        <v>3339434.3496484295</v>
      </c>
      <c r="H7" s="197">
        <v>5605609.6865892326</v>
      </c>
    </row>
    <row r="8" spans="1:8" ht="14.65" thickBot="1">
      <c r="A8" s="2" t="s">
        <v>1260</v>
      </c>
      <c r="B8" s="84">
        <f>FV(B7/12,B5*B6,-B4)</f>
        <v>776411.3972283433</v>
      </c>
      <c r="D8" s="447"/>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4.25"/>
  <cols>
    <col min="1" max="1" width="21.73046875" bestFit="1" customWidth="1"/>
    <col min="2" max="2" width="9" bestFit="1" customWidth="1"/>
    <col min="4" max="4" width="4.1328125" customWidth="1"/>
    <col min="5" max="5" width="10.86328125" bestFit="1" customWidth="1"/>
    <col min="6" max="8" width="12.3984375" bestFit="1" customWidth="1"/>
  </cols>
  <sheetData>
    <row r="1" spans="1:8" ht="14.65" thickBot="1">
      <c r="A1" s="385" t="s">
        <v>3242</v>
      </c>
      <c r="B1" s="381"/>
      <c r="D1" s="418" t="s">
        <v>3247</v>
      </c>
      <c r="E1" s="419"/>
      <c r="F1" s="419"/>
      <c r="G1" s="419"/>
      <c r="H1" s="420"/>
    </row>
    <row r="2" spans="1:8">
      <c r="A2" s="2" t="s">
        <v>3243</v>
      </c>
      <c r="B2" s="83">
        <v>950000</v>
      </c>
      <c r="D2" s="193"/>
      <c r="E2" s="194"/>
      <c r="F2" s="443" t="s">
        <v>3245</v>
      </c>
      <c r="G2" s="379"/>
      <c r="H2" s="444"/>
    </row>
    <row r="3" spans="1:8">
      <c r="A3" s="2" t="s">
        <v>3244</v>
      </c>
      <c r="B3" s="82">
        <v>0.03</v>
      </c>
      <c r="D3" s="195"/>
      <c r="E3" s="196">
        <f>B2+(B2*B3)-(B2*B4)</f>
        <v>883500</v>
      </c>
      <c r="F3" s="82">
        <v>0.15</v>
      </c>
      <c r="G3" s="82">
        <v>0.2</v>
      </c>
      <c r="H3" s="191">
        <v>0.25</v>
      </c>
    </row>
    <row r="4" spans="1:8">
      <c r="A4" s="2" t="s">
        <v>3245</v>
      </c>
      <c r="B4" s="82">
        <v>0.1</v>
      </c>
      <c r="D4" s="445" t="s">
        <v>3244</v>
      </c>
      <c r="E4" s="15">
        <v>3.5000000000000003E-2</v>
      </c>
      <c r="F4" s="67">
        <f t="dataTable" ref="F4:H8" dt2D="1" dtr="1" r1="B4" r2="B3"/>
        <v>840750</v>
      </c>
      <c r="G4" s="67">
        <v>793250</v>
      </c>
      <c r="H4" s="197">
        <v>745750</v>
      </c>
    </row>
    <row r="5" spans="1:8">
      <c r="A5" s="2" t="s">
        <v>3246</v>
      </c>
      <c r="B5" s="87">
        <f>B2+(B2*B3)-(B2*B4)</f>
        <v>883500</v>
      </c>
      <c r="D5" s="446"/>
      <c r="E5" s="82">
        <v>0.04</v>
      </c>
      <c r="F5" s="67">
        <v>845500</v>
      </c>
      <c r="G5" s="67">
        <v>798000</v>
      </c>
      <c r="H5" s="197">
        <v>750500</v>
      </c>
    </row>
    <row r="6" spans="1:8">
      <c r="D6" s="446"/>
      <c r="E6" s="15">
        <v>4.4999999999999998E-2</v>
      </c>
      <c r="F6" s="67">
        <v>850250</v>
      </c>
      <c r="G6" s="67">
        <v>802750</v>
      </c>
      <c r="H6" s="197">
        <v>755250</v>
      </c>
    </row>
    <row r="7" spans="1:8">
      <c r="D7" s="446"/>
      <c r="E7" s="82">
        <v>0.05</v>
      </c>
      <c r="F7" s="67">
        <v>855000</v>
      </c>
      <c r="G7" s="67">
        <v>807500</v>
      </c>
      <c r="H7" s="197">
        <v>760000</v>
      </c>
    </row>
    <row r="8" spans="1:8" ht="14.65" thickBot="1">
      <c r="D8" s="447"/>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4.25"/>
  <cols>
    <col min="1" max="1" width="20.59765625" bestFit="1" customWidth="1"/>
    <col min="2" max="2" width="13.1328125" bestFit="1" customWidth="1"/>
    <col min="4" max="4" width="13.86328125" bestFit="1" customWidth="1"/>
    <col min="5" max="5" width="20.59765625" bestFit="1" customWidth="1"/>
    <col min="6" max="6" width="31.1328125" bestFit="1" customWidth="1"/>
  </cols>
  <sheetData>
    <row r="1" spans="1:6" ht="14.65" thickBot="1">
      <c r="A1" s="418" t="s">
        <v>3248</v>
      </c>
      <c r="B1" s="420"/>
      <c r="D1" s="448" t="s">
        <v>3258</v>
      </c>
      <c r="E1" s="449"/>
    </row>
    <row r="2" spans="1:6" ht="15.75">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50" t="s">
        <v>3260</v>
      </c>
    </row>
    <row r="5" spans="1:6" ht="14.65" thickBot="1">
      <c r="A5" s="174" t="s">
        <v>3252</v>
      </c>
      <c r="B5" s="168">
        <v>30</v>
      </c>
      <c r="D5" s="157">
        <v>30</v>
      </c>
      <c r="E5" s="178">
        <v>18000</v>
      </c>
      <c r="F5" s="451"/>
    </row>
    <row r="6" spans="1:6" ht="14.65" thickBot="1">
      <c r="A6" s="155"/>
      <c r="B6" s="156"/>
      <c r="D6" s="157">
        <v>40</v>
      </c>
      <c r="E6" s="178">
        <v>24000</v>
      </c>
      <c r="F6" s="451"/>
    </row>
    <row r="7" spans="1:6" ht="16.149999999999999" thickBot="1">
      <c r="A7" s="200" t="s">
        <v>3256</v>
      </c>
      <c r="B7" s="206">
        <f>B3*B4*B5</f>
        <v>6000</v>
      </c>
      <c r="D7" s="174">
        <v>50</v>
      </c>
      <c r="E7" s="179">
        <v>30000</v>
      </c>
      <c r="F7" s="452"/>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4.25"/>
  <cols>
    <col min="1" max="1" width="26.86328125" bestFit="1" customWidth="1"/>
    <col min="2" max="2" width="9.59765625" bestFit="1" customWidth="1"/>
    <col min="3" max="3" width="8.73046875"/>
    <col min="4" max="4" width="24.86328125" customWidth="1"/>
    <col min="5" max="5" width="28.1328125" customWidth="1"/>
  </cols>
  <sheetData>
    <row r="1" spans="1:5" ht="14.65" thickBot="1">
      <c r="A1" s="418" t="s">
        <v>3261</v>
      </c>
      <c r="B1" s="420"/>
      <c r="D1" s="448" t="s">
        <v>3262</v>
      </c>
      <c r="E1" s="449"/>
    </row>
    <row r="2" spans="1:5" ht="14.6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4.65" thickBot="1">
      <c r="A7" s="174" t="s">
        <v>1296</v>
      </c>
      <c r="B7" s="168">
        <v>6</v>
      </c>
      <c r="D7" s="212">
        <v>9000</v>
      </c>
      <c r="E7" s="197">
        <v>12139.651372943734</v>
      </c>
    </row>
    <row r="8" spans="1:5" ht="14.65" thickBot="1">
      <c r="A8" s="184"/>
      <c r="B8" s="209"/>
      <c r="D8" s="213">
        <v>10000</v>
      </c>
      <c r="E8" s="192">
        <v>13488.501525493037</v>
      </c>
    </row>
    <row r="9" spans="1:5" ht="14.6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4.25"/>
  <cols>
    <col min="1" max="1" width="23.86328125" bestFit="1" customWidth="1"/>
    <col min="2" max="2" width="12" customWidth="1"/>
    <col min="4" max="4" width="5.59765625" customWidth="1"/>
    <col min="6" max="6" width="15.59765625" bestFit="1" customWidth="1"/>
    <col min="7" max="7" width="19.3984375" bestFit="1" customWidth="1"/>
    <col min="8" max="8" width="17.3984375" bestFit="1" customWidth="1"/>
    <col min="9" max="9" width="15.73046875" bestFit="1" customWidth="1"/>
    <col min="12" max="12" width="11.86328125" bestFit="1" customWidth="1"/>
  </cols>
  <sheetData>
    <row r="1" spans="1:12" ht="14.65" thickBot="1">
      <c r="A1" s="424" t="s">
        <v>3269</v>
      </c>
      <c r="B1" s="426"/>
      <c r="D1" s="448" t="s">
        <v>3270</v>
      </c>
      <c r="E1" s="456"/>
      <c r="F1" s="456"/>
      <c r="G1" s="456"/>
      <c r="H1" s="456"/>
      <c r="I1" s="449"/>
    </row>
    <row r="2" spans="1:12">
      <c r="A2" s="424" t="s">
        <v>1421</v>
      </c>
      <c r="B2" s="426"/>
      <c r="D2" s="217"/>
      <c r="E2" s="216"/>
      <c r="F2" s="208" t="s">
        <v>1259</v>
      </c>
      <c r="G2" s="207" t="s">
        <v>3022</v>
      </c>
      <c r="H2" s="207" t="s">
        <v>3271</v>
      </c>
      <c r="I2" s="207" t="s">
        <v>3267</v>
      </c>
    </row>
    <row r="3" spans="1:12" ht="15" customHeight="1">
      <c r="A3" s="180" t="s">
        <v>2887</v>
      </c>
      <c r="B3" s="181" t="s">
        <v>1727</v>
      </c>
      <c r="D3" s="453" t="s">
        <v>3268</v>
      </c>
      <c r="E3" s="2"/>
      <c r="F3" s="53">
        <f>B11</f>
        <v>450000</v>
      </c>
      <c r="G3" s="53">
        <f>B12</f>
        <v>3157.4451263586848</v>
      </c>
      <c r="H3" s="53">
        <f>B13</f>
        <v>789361.28158967115</v>
      </c>
      <c r="I3" s="158">
        <f>B14</f>
        <v>339361.28158967115</v>
      </c>
    </row>
    <row r="4" spans="1:12" ht="14.45" customHeight="1">
      <c r="A4" s="157" t="s">
        <v>3263</v>
      </c>
      <c r="B4" s="190">
        <v>500000</v>
      </c>
      <c r="D4" s="454"/>
      <c r="E4" s="15">
        <v>7.0000000000000007E-2</v>
      </c>
      <c r="F4" s="67">
        <f t="dataTable" ref="F4:I8" dt2D="0" dtr="0" r1="B7"/>
        <v>450000</v>
      </c>
      <c r="G4" s="67">
        <v>3425.1552253977675</v>
      </c>
      <c r="H4" s="67">
        <v>856288.80634944187</v>
      </c>
      <c r="I4" s="197">
        <v>406288.80634944187</v>
      </c>
    </row>
    <row r="5" spans="1:12">
      <c r="A5" s="157" t="s">
        <v>3264</v>
      </c>
      <c r="B5" s="191">
        <v>0.1</v>
      </c>
      <c r="D5" s="454"/>
      <c r="E5" s="15">
        <v>0.08</v>
      </c>
      <c r="F5" s="67">
        <v>450000</v>
      </c>
      <c r="G5" s="67">
        <v>3703.3524142052602</v>
      </c>
      <c r="H5" s="67">
        <v>925838.10355131503</v>
      </c>
      <c r="I5" s="197">
        <v>475838.10355131503</v>
      </c>
    </row>
    <row r="6" spans="1:12">
      <c r="A6" s="157" t="s">
        <v>3265</v>
      </c>
      <c r="B6" s="159">
        <v>250</v>
      </c>
      <c r="D6" s="454"/>
      <c r="E6" s="15">
        <v>0.09</v>
      </c>
      <c r="F6" s="67">
        <v>450000</v>
      </c>
      <c r="G6" s="67">
        <v>3991.3981866079657</v>
      </c>
      <c r="H6" s="67">
        <v>997849.54665199143</v>
      </c>
      <c r="I6" s="197">
        <v>547849.54665199143</v>
      </c>
    </row>
    <row r="7" spans="1:12" ht="14.65" thickBot="1">
      <c r="A7" s="174" t="s">
        <v>3268</v>
      </c>
      <c r="B7" s="215">
        <v>0.06</v>
      </c>
      <c r="D7" s="454"/>
      <c r="E7" s="15">
        <v>0.1</v>
      </c>
      <c r="F7" s="67">
        <v>450000</v>
      </c>
      <c r="G7" s="67">
        <v>4288.6257072282742</v>
      </c>
      <c r="H7" s="67">
        <v>1072156.4268070685</v>
      </c>
      <c r="I7" s="197">
        <v>622156.42680706852</v>
      </c>
    </row>
    <row r="8" spans="1:12" ht="14.65" thickBot="1">
      <c r="A8" s="155"/>
      <c r="B8" s="156"/>
      <c r="D8" s="455"/>
      <c r="E8" s="205">
        <v>0.11</v>
      </c>
      <c r="F8" s="199">
        <v>450000</v>
      </c>
      <c r="G8" s="199">
        <v>4594.3535880089439</v>
      </c>
      <c r="H8" s="199">
        <v>1148588.397002236</v>
      </c>
      <c r="I8" s="192">
        <v>698588.39700223599</v>
      </c>
    </row>
    <row r="9" spans="1:12">
      <c r="A9" s="424" t="s">
        <v>3266</v>
      </c>
      <c r="B9" s="426"/>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4.6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4.25"/>
  <cols>
    <col min="1" max="1" width="15.59765625" bestFit="1" customWidth="1"/>
    <col min="2" max="2" width="9.59765625" bestFit="1" customWidth="1"/>
    <col min="3" max="3" width="9.59765625" customWidth="1"/>
    <col min="4" max="4" width="6.1328125" customWidth="1"/>
    <col min="5" max="6" width="20.59765625" customWidth="1"/>
  </cols>
  <sheetData>
    <row r="1" spans="1:6" ht="14.65" thickBot="1">
      <c r="A1" s="424" t="s">
        <v>3272</v>
      </c>
      <c r="B1" s="426"/>
      <c r="D1" s="418" t="s">
        <v>3276</v>
      </c>
      <c r="E1" s="419"/>
      <c r="F1" s="420"/>
    </row>
    <row r="2" spans="1:6">
      <c r="A2" s="155"/>
      <c r="B2" s="156"/>
      <c r="D2" s="155"/>
      <c r="F2" s="207" t="s">
        <v>3275</v>
      </c>
    </row>
    <row r="3" spans="1:6" ht="14.45" customHeight="1">
      <c r="A3" s="180" t="s">
        <v>2887</v>
      </c>
      <c r="B3" s="181" t="s">
        <v>1727</v>
      </c>
      <c r="D3" s="457" t="s">
        <v>3228</v>
      </c>
      <c r="E3" s="43" t="s">
        <v>3254</v>
      </c>
      <c r="F3" s="214">
        <f>B8</f>
        <v>6453.437438767497</v>
      </c>
    </row>
    <row r="4" spans="1:6" ht="14.45" customHeight="1">
      <c r="A4" s="157" t="s">
        <v>1259</v>
      </c>
      <c r="B4" s="190">
        <v>200000</v>
      </c>
      <c r="D4" s="457"/>
      <c r="E4" s="218">
        <v>0.11</v>
      </c>
      <c r="F4" s="197">
        <f t="dataTable" ref="F4:F8" dt2D="0" dtr="0" r1="B7"/>
        <v>6547.7434234004086</v>
      </c>
    </row>
    <row r="5" spans="1:6">
      <c r="A5" s="157" t="s">
        <v>3273</v>
      </c>
      <c r="B5" s="159">
        <v>3</v>
      </c>
      <c r="D5" s="457"/>
      <c r="E5" s="219">
        <v>0.115</v>
      </c>
      <c r="F5" s="197">
        <v>6595.2012865650177</v>
      </c>
    </row>
    <row r="6" spans="1:6">
      <c r="A6" s="157" t="s">
        <v>3274</v>
      </c>
      <c r="B6" s="159">
        <v>12</v>
      </c>
      <c r="D6" s="457"/>
      <c r="E6" s="218">
        <v>0.12</v>
      </c>
      <c r="F6" s="197">
        <v>6642.8619625702386</v>
      </c>
    </row>
    <row r="7" spans="1:6">
      <c r="A7" s="157" t="s">
        <v>3228</v>
      </c>
      <c r="B7" s="191">
        <v>0.1</v>
      </c>
      <c r="D7" s="457"/>
      <c r="E7" s="219">
        <v>0.125</v>
      </c>
      <c r="F7" s="197">
        <v>6690.7251153433044</v>
      </c>
    </row>
    <row r="8" spans="1:6" ht="14.65" thickBot="1">
      <c r="A8" s="174" t="s">
        <v>3275</v>
      </c>
      <c r="B8" s="210">
        <f>PMT(B7/12,B5*B6,-B4)</f>
        <v>6453.437438767497</v>
      </c>
      <c r="D8" s="458"/>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4.25"/>
  <cols>
    <col min="1" max="1" width="19.86328125" bestFit="1" customWidth="1"/>
    <col min="2" max="2" width="9.73046875" bestFit="1" customWidth="1"/>
    <col min="3" max="3" width="6.73046875" customWidth="1"/>
    <col min="5" max="5" width="12.59765625" customWidth="1"/>
    <col min="6" max="6" width="8.3984375" bestFit="1" customWidth="1"/>
    <col min="7" max="7" width="8.73046875" customWidth="1"/>
  </cols>
  <sheetData>
    <row r="1" spans="1:11">
      <c r="A1" s="380" t="s">
        <v>3277</v>
      </c>
      <c r="B1" s="380"/>
      <c r="C1" s="380"/>
      <c r="E1" s="443" t="s">
        <v>3280</v>
      </c>
      <c r="F1" s="379"/>
      <c r="G1" s="379"/>
      <c r="H1" s="379"/>
      <c r="I1" s="379"/>
      <c r="J1" s="379"/>
      <c r="K1" s="379"/>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4.25"/>
  <cols>
    <col min="1" max="1" width="17" bestFit="1" customWidth="1"/>
    <col min="2" max="2" width="7.59765625" bestFit="1" customWidth="1"/>
  </cols>
  <sheetData>
    <row r="1" spans="1:2">
      <c r="A1" s="380" t="s">
        <v>3281</v>
      </c>
      <c r="B1" s="380"/>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4.25"/>
  <cols>
    <col min="1" max="1" width="20.73046875" bestFit="1" customWidth="1"/>
    <col min="2" max="2" width="20.73046875" customWidth="1"/>
    <col min="3" max="3" width="9.86328125" customWidth="1"/>
  </cols>
  <sheetData>
    <row r="1" spans="1:3">
      <c r="A1" s="382" t="s">
        <v>3290</v>
      </c>
      <c r="B1" s="383"/>
      <c r="C1" s="384"/>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4.25"/>
  <cols>
    <col min="1" max="1" width="20.73046875" bestFit="1" customWidth="1"/>
    <col min="2" max="2" width="8.1328125" customWidth="1"/>
  </cols>
  <sheetData>
    <row r="1" spans="1:2">
      <c r="A1" s="382" t="s">
        <v>3290</v>
      </c>
      <c r="B1" s="384"/>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4.25"/>
  <cols>
    <col min="1" max="1" width="19.59765625" bestFit="1" customWidth="1"/>
    <col min="2" max="2" width="22" bestFit="1" customWidth="1"/>
  </cols>
  <sheetData>
    <row r="1" spans="1:2">
      <c r="A1" s="380" t="s">
        <v>3298</v>
      </c>
      <c r="B1" s="380"/>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4.25"/>
  <cols>
    <col min="1" max="1" width="21.1328125" bestFit="1" customWidth="1"/>
    <col min="2" max="2" width="19.73046875" bestFit="1" customWidth="1"/>
  </cols>
  <sheetData>
    <row r="1" spans="1:2">
      <c r="A1" s="411" t="s">
        <v>3309</v>
      </c>
      <c r="B1" s="379"/>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4.25"/>
  <cols>
    <col min="1" max="1" width="21.1328125" bestFit="1" customWidth="1"/>
    <col min="2" max="2" width="21.1328125" customWidth="1"/>
    <col min="3" max="3" width="19.73046875" bestFit="1" customWidth="1"/>
  </cols>
  <sheetData>
    <row r="1" spans="1:3">
      <c r="A1" s="411" t="s">
        <v>3309</v>
      </c>
      <c r="B1" s="379"/>
      <c r="C1" s="379"/>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4.25"/>
  <cols>
    <col min="1" max="1" width="17.1328125" bestFit="1" customWidth="1"/>
    <col min="2" max="2" width="12.59765625" customWidth="1"/>
    <col min="3" max="3" width="108.59765625" bestFit="1" customWidth="1"/>
  </cols>
  <sheetData>
    <row r="1" spans="1:3">
      <c r="A1" s="411" t="s">
        <v>3326</v>
      </c>
      <c r="B1" s="379"/>
      <c r="C1" s="379"/>
    </row>
    <row r="2" spans="1:3">
      <c r="A2" s="1" t="s">
        <v>3282</v>
      </c>
      <c r="B2" s="1" t="s">
        <v>3319</v>
      </c>
      <c r="C2" s="1" t="s">
        <v>3327</v>
      </c>
    </row>
    <row r="3" spans="1:3">
      <c r="A3" s="2" t="s">
        <v>3320</v>
      </c>
      <c r="B3" s="53">
        <v>50000</v>
      </c>
      <c r="C3" s="223" t="str">
        <f t="shared" ref="C3:C8" si="0">REPT("g",(B3/1000))</f>
        <v>gggggggggggggggggggggggggggggggggggggggggggggggggg</v>
      </c>
    </row>
    <row r="4" spans="1:3">
      <c r="A4" s="2" t="s">
        <v>3322</v>
      </c>
      <c r="B4" s="53">
        <v>40000</v>
      </c>
      <c r="C4" s="223" t="str">
        <f t="shared" si="0"/>
        <v>gggggggggggggggggggggggggggggggggggggggg</v>
      </c>
    </row>
    <row r="5" spans="1:3">
      <c r="A5" s="2" t="s">
        <v>3321</v>
      </c>
      <c r="B5" s="53">
        <v>30000</v>
      </c>
      <c r="C5" s="223" t="str">
        <f t="shared" si="0"/>
        <v>gggggggggggggggggggggggggggggg</v>
      </c>
    </row>
    <row r="6" spans="1:3">
      <c r="A6" s="2" t="s">
        <v>3323</v>
      </c>
      <c r="B6" s="53">
        <v>20000</v>
      </c>
      <c r="C6" s="223" t="str">
        <f t="shared" si="0"/>
        <v>gggggggggggggggggggg</v>
      </c>
    </row>
    <row r="7" spans="1:3">
      <c r="A7" s="2" t="s">
        <v>3324</v>
      </c>
      <c r="B7" s="53">
        <v>15000</v>
      </c>
      <c r="C7" s="223" t="str">
        <f t="shared" si="0"/>
        <v>ggggggggggggggg</v>
      </c>
    </row>
    <row r="8" spans="1:3">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4.25"/>
  <cols>
    <col min="1" max="1" width="17.73046875" bestFit="1" customWidth="1"/>
    <col min="2" max="2" width="26.3984375" bestFit="1" customWidth="1"/>
    <col min="3" max="3" width="21.3984375" bestFit="1" customWidth="1"/>
    <col min="4" max="4" width="23.86328125" bestFit="1" customWidth="1"/>
    <col min="7" max="7" width="12.1328125" customWidth="1"/>
    <col min="8" max="8" width="25.7304687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4.25"/>
  <cols>
    <col min="1" max="1" width="9.59765625" customWidth="1"/>
    <col min="2" max="3" width="13.265625" customWidth="1"/>
    <col min="6" max="6" width="40.5976562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4.25"/>
  <cols>
    <col min="1" max="1" width="41.59765625" bestFit="1" customWidth="1"/>
    <col min="2" max="2" width="9.86328125" bestFit="1" customWidth="1"/>
    <col min="3" max="3" width="7.59765625" bestFit="1" customWidth="1"/>
  </cols>
  <sheetData>
    <row r="1" spans="1:3">
      <c r="A1" s="380" t="s">
        <v>1716</v>
      </c>
      <c r="B1" s="380"/>
      <c r="C1" s="380"/>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4.25"/>
  <cols>
    <col min="4" max="4" width="76.398437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4.25"/>
  <cols>
    <col min="1" max="1" width="6.1328125" bestFit="1" customWidth="1"/>
    <col min="2" max="2" width="15.73046875" bestFit="1" customWidth="1"/>
    <col min="3" max="3" width="22.59765625" bestFit="1" customWidth="1"/>
    <col min="4" max="4" width="15.86328125" bestFit="1" customWidth="1"/>
    <col min="5" max="5" width="24.132812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4.25"/>
  <cols>
    <col min="1" max="1" width="16.86328125" bestFit="1" customWidth="1"/>
    <col min="2" max="2" width="15" bestFit="1" customWidth="1"/>
    <col min="3" max="3" width="12.265625" bestFit="1" customWidth="1"/>
    <col min="6" max="6" width="15" bestFit="1" customWidth="1"/>
    <col min="7" max="7" width="12.265625" bestFit="1" customWidth="1"/>
    <col min="8" max="8" width="45.132812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xmlns:xlrd2="http://schemas.microsoft.com/office/spreadsheetml/2017/richdata2"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4.25"/>
  <cols>
    <col min="1" max="1" width="6.59765625" bestFit="1" customWidth="1"/>
    <col min="2" max="2" width="14" bestFit="1" customWidth="1"/>
    <col min="3" max="3" width="16.86328125" bestFit="1" customWidth="1"/>
    <col min="4" max="4" width="15.1328125" bestFit="1" customWidth="1"/>
    <col min="5" max="5" width="22.7304687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4.25"/>
  <cols>
    <col min="1" max="1" width="19" bestFit="1" customWidth="1"/>
    <col min="2" max="2" width="21.59765625" bestFit="1" customWidth="1"/>
  </cols>
  <sheetData>
    <row r="1" spans="1:2" ht="15.75">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4.25"/>
  <cols>
    <col min="1" max="1" width="23.59765625" bestFit="1" customWidth="1"/>
    <col min="2" max="2" width="24.73046875" bestFit="1" customWidth="1"/>
    <col min="3" max="3" width="26.398437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4.25"/>
  <cols>
    <col min="1" max="1" width="6.59765625" customWidth="1"/>
    <col min="2" max="2" width="12.86328125" customWidth="1"/>
    <col min="3" max="3" width="8.1328125" bestFit="1" customWidth="1"/>
    <col min="5" max="5" width="35.3984375" bestFit="1" customWidth="1"/>
    <col min="6" max="6" width="10.73046875" customWidth="1"/>
    <col min="7" max="7" width="61.7304687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4.25"/>
  <cols>
    <col min="2" max="2" width="18.3984375" bestFit="1" customWidth="1"/>
    <col min="3" max="5" width="13.132812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59">
        <f>SUMIF(B2:B10,A14,E2:E10)+SUMIF(B2:B10,A15,E2:E10)</f>
        <v>11400</v>
      </c>
    </row>
    <row r="15" spans="1:5">
      <c r="A15" s="2" t="s">
        <v>3409</v>
      </c>
      <c r="B15" s="459"/>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4.25"/>
  <cols>
    <col min="1" max="1" width="28.86328125" bestFit="1" customWidth="1"/>
    <col min="2" max="2" width="12" bestFit="1" customWidth="1"/>
    <col min="3" max="3" width="22.59765625" bestFit="1" customWidth="1"/>
    <col min="6" max="6" width="45.2656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4.25"/>
  <cols>
    <col min="1" max="1" width="9.1328125" customWidth="1"/>
    <col min="2" max="2" width="10.265625" bestFit="1" customWidth="1"/>
    <col min="3" max="3" width="13.59765625" bestFit="1" customWidth="1"/>
    <col min="6" max="6" width="38.398437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4.25"/>
  <cols>
    <col min="1" max="1" width="14.86328125" bestFit="1" customWidth="1"/>
    <col min="2" max="2" width="14.3984375" customWidth="1"/>
    <col min="3" max="3" width="27.3984375" bestFit="1" customWidth="1"/>
    <col min="6" max="6" width="43.1328125" bestFit="1" customWidth="1"/>
    <col min="7" max="7" width="13.8632812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4.25"/>
  <cols>
    <col min="1" max="1" width="18.1328125" bestFit="1" customWidth="1"/>
    <col min="2" max="2" width="22.3984375" bestFit="1" customWidth="1"/>
    <col min="3" max="3" width="12.3984375" bestFit="1" customWidth="1"/>
    <col min="6" max="6" width="34.86328125" bestFit="1" customWidth="1"/>
    <col min="7" max="7" width="11.8632812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4.25"/>
  <cols>
    <col min="1" max="1" width="9.86328125" bestFit="1" customWidth="1"/>
    <col min="2" max="2" width="12" bestFit="1" customWidth="1"/>
    <col min="4" max="4" width="8.265625" bestFit="1" customWidth="1"/>
    <col min="5" max="5" width="16.86328125" bestFit="1" customWidth="1"/>
  </cols>
  <sheetData>
    <row r="1" spans="1:5">
      <c r="A1" s="1" t="s">
        <v>3134</v>
      </c>
      <c r="B1" s="1" t="s">
        <v>858</v>
      </c>
      <c r="D1" s="1" t="s">
        <v>3459</v>
      </c>
      <c r="E1" s="1" t="s">
        <v>87</v>
      </c>
    </row>
    <row r="2" spans="1:5">
      <c r="A2" s="227" t="s">
        <v>3460</v>
      </c>
      <c r="B2" s="53">
        <v>20000</v>
      </c>
      <c r="D2" s="2" t="s">
        <v>3147</v>
      </c>
      <c r="E2" s="460">
        <f>SUM(SUMIFS(B2:B13,A2:A13,{"Q2*","Q3*"}))</f>
        <v>104000</v>
      </c>
    </row>
    <row r="3" spans="1:5">
      <c r="A3" s="227" t="s">
        <v>3461</v>
      </c>
      <c r="B3" s="53">
        <v>21000</v>
      </c>
      <c r="D3" s="2" t="s">
        <v>3148</v>
      </c>
      <c r="E3" s="461"/>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4.25"/>
  <cols>
    <col min="1" max="1" width="32.73046875" customWidth="1"/>
    <col min="2" max="2" width="7.59765625" bestFit="1" customWidth="1"/>
    <col min="3" max="3" width="15.86328125" bestFit="1" customWidth="1"/>
    <col min="4" max="4" width="12.59765625" bestFit="1" customWidth="1"/>
    <col min="5" max="5" width="10.132812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2.75">
      <c r="A14" s="8" t="s">
        <v>3476</v>
      </c>
      <c r="B14" s="47">
        <f>SUM(SUMIFS(D2:D11,C2:C11,{"Angel Phelps","Stewart White"},E2:E11,"&gt;=2/1/2022",E2:E11,"&lt;=3/31/2022"))</f>
        <v>0</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4.25"/>
  <cols>
    <col min="1" max="1" width="13.3984375" customWidth="1"/>
    <col min="2" max="3" width="12" bestFit="1" customWidth="1"/>
    <col min="4" max="4" width="18.5976562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4.25"/>
  <cols>
    <col min="1" max="1" width="11.1328125" bestFit="1" customWidth="1"/>
    <col min="6" max="6" width="13.59765625" bestFit="1" customWidth="1"/>
    <col min="7" max="7" width="9.8632812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4.25"/>
  <cols>
    <col min="1" max="1" width="19.86328125" bestFit="1" customWidth="1"/>
    <col min="2" max="2" width="11.5976562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4.25"/>
  <cols>
    <col min="4" max="4" width="19.8632812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4.25"/>
  <cols>
    <col min="1" max="1" width="15.59765625" bestFit="1" customWidth="1"/>
    <col min="2" max="2" width="14.3984375" bestFit="1" customWidth="1"/>
    <col min="5" max="5" width="8.59765625" bestFit="1" customWidth="1"/>
    <col min="6" max="6" width="12.3984375" bestFit="1" customWidth="1"/>
    <col min="7" max="7" width="16.59765625" bestFit="1" customWidth="1"/>
    <col min="8" max="8" width="9.265625" bestFit="1" customWidth="1"/>
    <col min="9" max="9" width="11.86328125" bestFit="1" customWidth="1"/>
  </cols>
  <sheetData>
    <row r="1" spans="1:9">
      <c r="A1" s="1" t="s">
        <v>3509</v>
      </c>
      <c r="B1" s="1" t="s">
        <v>3510</v>
      </c>
      <c r="E1" s="380" t="s">
        <v>3501</v>
      </c>
      <c r="F1" s="380"/>
      <c r="G1" s="380"/>
      <c r="H1" s="380"/>
      <c r="I1" s="380"/>
    </row>
    <row r="2" spans="1:9" ht="15.75">
      <c r="A2" s="2">
        <v>3</v>
      </c>
      <c r="B2" s="2">
        <v>30</v>
      </c>
      <c r="E2" s="228" t="s">
        <v>3502</v>
      </c>
      <c r="F2" s="7">
        <f>SUM(A2:A7)/6</f>
        <v>8.5</v>
      </c>
      <c r="G2" s="7"/>
      <c r="H2" s="228" t="s">
        <v>3503</v>
      </c>
      <c r="I2" s="7">
        <f>SUM(B2:B7)/6</f>
        <v>56.666666666666664</v>
      </c>
    </row>
    <row r="3" spans="1:9" ht="15.75">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3.95" customHeight="1">
      <c r="A11" s="8" t="s">
        <v>3499</v>
      </c>
      <c r="B11" s="47">
        <f>SUM(G4:G9)/SQRT(SUM(H4:H9)*SUM(I4:I9))</f>
        <v>0.95048418999988593</v>
      </c>
    </row>
    <row r="12" spans="1:9" ht="63.95"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4.25"/>
  <cols>
    <col min="4" max="4" width="42.7304687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4.25"/>
  <cols>
    <col min="1" max="1" width="5.59765625" bestFit="1" customWidth="1"/>
    <col min="2" max="2" width="15.73046875" customWidth="1"/>
    <col min="3" max="3" width="21.73046875" bestFit="1" customWidth="1"/>
    <col min="5" max="5" width="20.398437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4.25"/>
  <cols>
    <col min="1" max="1" width="22.5976562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4.25"/>
  <cols>
    <col min="1" max="1" width="15" bestFit="1" customWidth="1"/>
    <col min="2" max="2" width="16.3984375" customWidth="1"/>
    <col min="3" max="3" width="46.8632812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4.25"/>
  <cols>
    <col min="1" max="1" width="24.8632812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4.25"/>
  <cols>
    <col min="1" max="1" width="28.3984375" customWidth="1"/>
    <col min="2" max="2" width="13.265625" bestFit="1" customWidth="1"/>
    <col min="3" max="3" width="12.59765625" bestFit="1" customWidth="1"/>
    <col min="4" max="4" width="13" bestFit="1" customWidth="1"/>
    <col min="5" max="5" width="23.8632812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4.25"/>
  <cols>
    <col min="1" max="1" width="23.86328125" bestFit="1" customWidth="1"/>
    <col min="2" max="2" width="14.1328125" bestFit="1" customWidth="1"/>
    <col min="3" max="3" width="32.7304687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4.25"/>
  <cols>
    <col min="1" max="1" width="15.3984375" customWidth="1"/>
    <col min="2" max="2" width="9.86328125" bestFit="1" customWidth="1"/>
    <col min="3" max="3" width="8.132812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42.75">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4.25"/>
  <cols>
    <col min="1" max="1" width="13.1328125" bestFit="1" customWidth="1"/>
    <col min="2" max="2" width="9.86328125" bestFit="1" customWidth="1"/>
    <col min="3" max="3" width="15.7304687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4.25"/>
  <cols>
    <col min="1" max="1" width="7" bestFit="1" customWidth="1"/>
    <col min="2" max="2" width="7.73046875" bestFit="1" customWidth="1"/>
    <col min="3" max="3" width="18.86328125" bestFit="1" customWidth="1"/>
    <col min="4" max="4" width="7.86328125" bestFit="1" customWidth="1"/>
  </cols>
  <sheetData>
    <row r="1" spans="1:4">
      <c r="A1" s="1" t="s">
        <v>9</v>
      </c>
      <c r="B1" s="1" t="s">
        <v>3552</v>
      </c>
      <c r="C1" s="1" t="s">
        <v>3553</v>
      </c>
      <c r="D1" s="1" t="s">
        <v>1384</v>
      </c>
    </row>
    <row r="2" spans="1:4">
      <c r="A2" s="2">
        <v>10</v>
      </c>
      <c r="B2" s="376" t="s">
        <v>3554</v>
      </c>
      <c r="C2" s="2" t="s">
        <v>2185</v>
      </c>
      <c r="D2" s="7">
        <f>A2+FALSE()</f>
        <v>10</v>
      </c>
    </row>
    <row r="3" spans="1:4">
      <c r="A3" s="2">
        <v>20</v>
      </c>
      <c r="B3" s="377"/>
      <c r="C3" s="2" t="s">
        <v>2184</v>
      </c>
      <c r="D3" s="7">
        <f>A3-FALSE()</f>
        <v>20</v>
      </c>
    </row>
    <row r="4" spans="1:4">
      <c r="A4" s="2">
        <v>30</v>
      </c>
      <c r="B4" s="377"/>
      <c r="C4" s="2" t="s">
        <v>2187</v>
      </c>
      <c r="D4" s="7">
        <f>A4*FALSE()</f>
        <v>0</v>
      </c>
    </row>
    <row r="5" spans="1:4">
      <c r="A5" s="2">
        <v>40</v>
      </c>
      <c r="B5" s="378"/>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4.25"/>
  <cols>
    <col min="1" max="1" width="16.265625" bestFit="1" customWidth="1"/>
    <col min="2" max="2" width="19.265625" bestFit="1" customWidth="1"/>
    <col min="3" max="3" width="39.86328125" bestFit="1" customWidth="1"/>
  </cols>
  <sheetData>
    <row r="1" spans="1:3">
      <c r="A1" s="1" t="s">
        <v>3558</v>
      </c>
      <c r="B1" s="1" t="s">
        <v>3559</v>
      </c>
      <c r="C1" s="1" t="s">
        <v>1145</v>
      </c>
    </row>
    <row r="2" spans="1:3">
      <c r="A2" s="3" t="s">
        <v>3560</v>
      </c>
      <c r="B2" s="7">
        <f ca="1">RANDBETWEEN(100,200)</f>
        <v>166</v>
      </c>
      <c r="C2" s="55" t="s">
        <v>3570</v>
      </c>
    </row>
    <row r="3" spans="1:3">
      <c r="A3" s="3" t="s">
        <v>3561</v>
      </c>
      <c r="B3" s="7">
        <f t="shared" ref="B3:B11" ca="1" si="0">RANDBETWEEN(100,200)</f>
        <v>142</v>
      </c>
      <c r="C3" s="55" t="s">
        <v>3571</v>
      </c>
    </row>
    <row r="4" spans="1:3">
      <c r="A4" s="3" t="s">
        <v>3562</v>
      </c>
      <c r="B4" s="7">
        <f t="shared" ca="1" si="0"/>
        <v>179</v>
      </c>
      <c r="C4" s="55" t="s">
        <v>3572</v>
      </c>
    </row>
    <row r="5" spans="1:3">
      <c r="A5" s="3" t="s">
        <v>3563</v>
      </c>
      <c r="B5" s="7">
        <f t="shared" ca="1" si="0"/>
        <v>186</v>
      </c>
      <c r="C5" s="55" t="s">
        <v>3573</v>
      </c>
    </row>
    <row r="6" spans="1:3">
      <c r="A6" s="3" t="s">
        <v>3564</v>
      </c>
      <c r="B6" s="7">
        <f t="shared" ca="1" si="0"/>
        <v>130</v>
      </c>
      <c r="C6" s="55" t="s">
        <v>3574</v>
      </c>
    </row>
    <row r="7" spans="1:3">
      <c r="A7" s="3" t="s">
        <v>3565</v>
      </c>
      <c r="B7" s="7">
        <f t="shared" ca="1" si="0"/>
        <v>158</v>
      </c>
      <c r="C7" s="55" t="s">
        <v>3575</v>
      </c>
    </row>
    <row r="8" spans="1:3">
      <c r="A8" s="3" t="s">
        <v>3566</v>
      </c>
      <c r="B8" s="7">
        <f t="shared" ca="1" si="0"/>
        <v>128</v>
      </c>
      <c r="C8" s="55" t="s">
        <v>3576</v>
      </c>
    </row>
    <row r="9" spans="1:3">
      <c r="A9" s="3" t="s">
        <v>3567</v>
      </c>
      <c r="B9" s="7">
        <f t="shared" ca="1" si="0"/>
        <v>156</v>
      </c>
      <c r="C9" s="55" t="s">
        <v>3577</v>
      </c>
    </row>
    <row r="10" spans="1:3">
      <c r="A10" s="3" t="s">
        <v>3568</v>
      </c>
      <c r="B10" s="7">
        <f t="shared" ca="1" si="0"/>
        <v>183</v>
      </c>
      <c r="C10" s="55" t="s">
        <v>3578</v>
      </c>
    </row>
    <row r="11" spans="1:3">
      <c r="A11" s="3" t="s">
        <v>3569</v>
      </c>
      <c r="B11" s="7">
        <f t="shared" ca="1" si="0"/>
        <v>109</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4.25"/>
  <cols>
    <col min="1" max="1" width="14.59765625" bestFit="1" customWidth="1"/>
    <col min="2" max="2" width="14.59765625" customWidth="1"/>
    <col min="3" max="3" width="26.1328125" bestFit="1" customWidth="1"/>
  </cols>
  <sheetData>
    <row r="1" spans="1:3">
      <c r="A1" s="1" t="s">
        <v>3556</v>
      </c>
      <c r="B1" s="1" t="s">
        <v>3557</v>
      </c>
      <c r="C1" s="1" t="s">
        <v>3580</v>
      </c>
    </row>
    <row r="2" spans="1:3">
      <c r="A2" s="2">
        <v>50</v>
      </c>
      <c r="B2" s="2">
        <v>60</v>
      </c>
      <c r="C2" s="7">
        <f ca="1">RANDBETWEEN(A2,B2)</f>
        <v>52</v>
      </c>
    </row>
    <row r="3" spans="1:3">
      <c r="A3" s="2">
        <v>100</v>
      </c>
      <c r="B3" s="2">
        <v>150</v>
      </c>
      <c r="C3" s="7">
        <f ca="1">RANDBETWEEN(A3,B3)</f>
        <v>118</v>
      </c>
    </row>
    <row r="4" spans="1:3">
      <c r="A4" s="2">
        <v>23</v>
      </c>
      <c r="B4" s="2">
        <v>42</v>
      </c>
      <c r="C4" s="7">
        <f ca="1">RANDBETWEEN(A4,B4)</f>
        <v>24</v>
      </c>
    </row>
    <row r="5" spans="1:3">
      <c r="A5" s="2">
        <v>1</v>
      </c>
      <c r="B5" s="2">
        <v>8</v>
      </c>
      <c r="C5" s="7">
        <f ca="1">RANDBETWEEN(A5,B5)</f>
        <v>5</v>
      </c>
    </row>
    <row r="6" spans="1:3">
      <c r="A6" s="2">
        <v>47</v>
      </c>
      <c r="B6" s="2">
        <v>50</v>
      </c>
      <c r="C6" s="7">
        <f ca="1">RANDBETWEEN(A6,B6)</f>
        <v>48</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4.25"/>
  <cols>
    <col min="1" max="2" width="15.86328125" customWidth="1"/>
  </cols>
  <sheetData>
    <row r="1" spans="1:2">
      <c r="A1" s="380" t="s">
        <v>3581</v>
      </c>
      <c r="B1" s="380"/>
    </row>
    <row r="2" spans="1:2">
      <c r="A2" s="7">
        <f t="shared" ref="A2:B6" ca="1" si="0">RANDBETWEEN(250,300)</f>
        <v>274</v>
      </c>
      <c r="B2" s="7">
        <f t="shared" ca="1" si="0"/>
        <v>278</v>
      </c>
    </row>
    <row r="3" spans="1:2">
      <c r="A3" s="7">
        <f t="shared" ca="1" si="0"/>
        <v>295</v>
      </c>
      <c r="B3" s="7">
        <f t="shared" ca="1" si="0"/>
        <v>267</v>
      </c>
    </row>
    <row r="4" spans="1:2">
      <c r="A4" s="7">
        <f t="shared" ca="1" si="0"/>
        <v>300</v>
      </c>
      <c r="B4" s="7">
        <f t="shared" ca="1" si="0"/>
        <v>268</v>
      </c>
    </row>
    <row r="5" spans="1:2">
      <c r="A5" s="7">
        <f t="shared" ca="1" si="0"/>
        <v>288</v>
      </c>
      <c r="B5" s="7">
        <f t="shared" ca="1" si="0"/>
        <v>266</v>
      </c>
    </row>
    <row r="6" spans="1:2">
      <c r="A6" s="7">
        <f t="shared" ca="1" si="0"/>
        <v>280</v>
      </c>
      <c r="B6" s="7">
        <f ca="1">RANDBETWEEN(250,300)</f>
        <v>272</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4.25"/>
  <cols>
    <col min="1" max="1" width="12.3984375" bestFit="1" customWidth="1"/>
    <col min="2" max="2" width="15.86328125" bestFit="1" customWidth="1"/>
    <col min="3" max="3" width="16.59765625" bestFit="1" customWidth="1"/>
    <col min="4" max="4" width="25.86328125" bestFit="1" customWidth="1"/>
  </cols>
  <sheetData>
    <row r="1" spans="1:4">
      <c r="A1" s="1" t="s">
        <v>3583</v>
      </c>
      <c r="B1" s="1" t="s">
        <v>3605</v>
      </c>
      <c r="C1" s="1" t="s">
        <v>3582</v>
      </c>
      <c r="D1" s="1" t="s">
        <v>3606</v>
      </c>
    </row>
    <row r="2" spans="1:4">
      <c r="A2" s="2">
        <v>1</v>
      </c>
      <c r="B2" s="2">
        <v>40</v>
      </c>
      <c r="C2" s="2">
        <v>80</v>
      </c>
      <c r="D2" s="7">
        <f ca="1">RANDBETWEEN(B2*100,C2*100)/100</f>
        <v>40.42</v>
      </c>
    </row>
    <row r="3" spans="1:4">
      <c r="A3" s="2">
        <v>2</v>
      </c>
      <c r="B3" s="2">
        <v>10</v>
      </c>
      <c r="C3" s="2">
        <v>30</v>
      </c>
      <c r="D3" s="7">
        <f ca="1">RANDBETWEEN(B3*100,C3*100)/100</f>
        <v>24.09</v>
      </c>
    </row>
    <row r="4" spans="1:4">
      <c r="A4" s="2">
        <v>3</v>
      </c>
      <c r="B4" s="2">
        <v>65</v>
      </c>
      <c r="C4" s="2">
        <v>100</v>
      </c>
      <c r="D4" s="7">
        <f ca="1">RANDBETWEEN(B4*100,C4*100)/100</f>
        <v>84.38</v>
      </c>
    </row>
    <row r="5" spans="1:4">
      <c r="A5" s="2">
        <v>4</v>
      </c>
      <c r="B5" s="2">
        <v>25</v>
      </c>
      <c r="C5" s="2">
        <v>50</v>
      </c>
      <c r="D5" s="7">
        <f ca="1">RANDBETWEEN(B5*100,C5*100)/100</f>
        <v>35.56</v>
      </c>
    </row>
    <row r="6" spans="1:4">
      <c r="A6" s="2">
        <v>5</v>
      </c>
      <c r="B6" s="2">
        <v>250</v>
      </c>
      <c r="C6" s="2">
        <v>500</v>
      </c>
      <c r="D6" s="7">
        <f ca="1">RANDBETWEEN(B6*100,C6*100)/100</f>
        <v>483.86</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4.25"/>
  <cols>
    <col min="1" max="1" width="9.73046875" bestFit="1" customWidth="1"/>
    <col min="2" max="2" width="10.1328125" bestFit="1" customWidth="1"/>
    <col min="4" max="4" width="16.73046875" bestFit="1" customWidth="1"/>
  </cols>
  <sheetData>
    <row r="1" spans="1:4">
      <c r="A1" s="1" t="s">
        <v>201</v>
      </c>
      <c r="B1" s="1" t="s">
        <v>706</v>
      </c>
      <c r="D1" s="1" t="s">
        <v>3589</v>
      </c>
    </row>
    <row r="2" spans="1:4">
      <c r="A2" s="2" t="s">
        <v>3477</v>
      </c>
      <c r="B2" s="20">
        <v>44581</v>
      </c>
      <c r="D2" s="66">
        <f ca="1">INDEX(A5:B8,RANDBETWEEN(1,4),2)</f>
        <v>44640</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4.25"/>
  <cols>
    <col min="1" max="1" width="18.265625" bestFit="1" customWidth="1"/>
    <col min="2" max="2" width="14.3984375" bestFit="1" customWidth="1"/>
  </cols>
  <sheetData>
    <row r="1" spans="1:2">
      <c r="A1" s="1" t="s">
        <v>3590</v>
      </c>
      <c r="B1" s="1" t="s">
        <v>3591</v>
      </c>
    </row>
    <row r="2" spans="1:2">
      <c r="A2" s="3" t="s">
        <v>3592</v>
      </c>
      <c r="B2" s="57" t="str">
        <f ca="1">CHAR(RANDBETWEEN(CODE("A"),CODE("D")))</f>
        <v>D</v>
      </c>
    </row>
    <row r="3" spans="1:2">
      <c r="A3" s="3" t="s">
        <v>3593</v>
      </c>
      <c r="B3" s="57" t="str">
        <f t="shared" ref="B3:B9" ca="1" si="0">CHAR(RANDBETWEEN(CODE("A"),CODE("D")))</f>
        <v>B</v>
      </c>
    </row>
    <row r="4" spans="1:2">
      <c r="A4" s="3" t="s">
        <v>3594</v>
      </c>
      <c r="B4" s="57" t="str">
        <f t="shared" ca="1" si="0"/>
        <v>D</v>
      </c>
    </row>
    <row r="5" spans="1:2">
      <c r="A5" s="3" t="s">
        <v>3595</v>
      </c>
      <c r="B5" s="57" t="str">
        <f ca="1">CHAR(RANDBETWEEN(CODE("A"),CODE("D")))</f>
        <v>B</v>
      </c>
    </row>
    <row r="6" spans="1:2">
      <c r="A6" s="3" t="s">
        <v>3596</v>
      </c>
      <c r="B6" s="57" t="str">
        <f ca="1">CHAR(RANDBETWEEN(CODE("A"),CODE("D")))</f>
        <v>C</v>
      </c>
    </row>
    <row r="7" spans="1:2">
      <c r="A7" s="3" t="s">
        <v>3597</v>
      </c>
      <c r="B7" s="57" t="str">
        <f t="shared" ca="1" si="0"/>
        <v>B</v>
      </c>
    </row>
    <row r="8" spans="1:2">
      <c r="A8" s="3" t="s">
        <v>3598</v>
      </c>
      <c r="B8" s="57" t="str">
        <f ca="1">CHAR(RANDBETWEEN(CODE("A"),CODE("D")))</f>
        <v>B</v>
      </c>
    </row>
    <row r="9" spans="1:2">
      <c r="A9" s="3" t="s">
        <v>3599</v>
      </c>
      <c r="B9" s="57" t="str">
        <f t="shared" ca="1" si="0"/>
        <v>B</v>
      </c>
    </row>
    <row r="10" spans="1:2">
      <c r="A10" s="3" t="s">
        <v>3600</v>
      </c>
      <c r="B10" s="57" t="str">
        <f ca="1">CHAR(RANDBETWEEN(CODE("A"),CODE("D")))</f>
        <v>A</v>
      </c>
    </row>
    <row r="11" spans="1:2">
      <c r="A11" s="3" t="s">
        <v>3601</v>
      </c>
      <c r="B11" s="57" t="str">
        <f ca="1">CHAR(RANDBETWEEN(CODE("A"),CODE("D")))</f>
        <v>C</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4.25"/>
  <cols>
    <col min="1" max="6" width="10.3984375" bestFit="1" customWidth="1"/>
  </cols>
  <sheetData>
    <row r="1" spans="1:6">
      <c r="A1" s="380" t="s">
        <v>3602</v>
      </c>
      <c r="B1" s="380"/>
      <c r="C1" s="380"/>
      <c r="D1" s="380"/>
      <c r="E1" s="380"/>
      <c r="F1" s="380"/>
    </row>
    <row r="2" spans="1:6">
      <c r="A2" s="66">
        <f t="shared" ref="A2:F2" ca="1" si="0">RANDBETWEEN(DATEVALUE("1-Oct-2022"),DATEVALUE("20-Oct-2022"))</f>
        <v>44853</v>
      </c>
      <c r="B2" s="66">
        <f t="shared" ca="1" si="0"/>
        <v>44843</v>
      </c>
      <c r="C2" s="66">
        <f t="shared" ca="1" si="0"/>
        <v>44847</v>
      </c>
      <c r="D2" s="66">
        <f t="shared" ca="1" si="0"/>
        <v>44850</v>
      </c>
      <c r="E2" s="66">
        <f t="shared" ca="1" si="0"/>
        <v>44843</v>
      </c>
      <c r="F2" s="66">
        <f t="shared" ca="1" si="0"/>
        <v>44845</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4.25"/>
  <cols>
    <col min="1" max="1" width="26.1328125" customWidth="1"/>
    <col min="2" max="2" width="26.86328125" customWidth="1"/>
  </cols>
  <sheetData>
    <row r="1" spans="1:18" ht="28.5">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4.25"/>
  <cols>
    <col min="1" max="3" width="9.1328125" bestFit="1" customWidth="1"/>
    <col min="4" max="4" width="38.3984375" bestFit="1" customWidth="1"/>
    <col min="5" max="5" width="15.59765625" bestFit="1" customWidth="1"/>
    <col min="6" max="6" width="32.132812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4.25"/>
  <cols>
    <col min="1" max="6" width="12" bestFit="1" customWidth="1"/>
    <col min="7" max="7" width="10.132812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4.25"/>
  <cols>
    <col min="1" max="1" width="28.1328125" bestFit="1" customWidth="1"/>
    <col min="2" max="4" width="18.398437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80" t="s">
        <v>3631</v>
      </c>
      <c r="B9" s="380"/>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4.25"/>
  <cols>
    <col min="1" max="1" width="41.1328125" bestFit="1" customWidth="1"/>
    <col min="2" max="2" width="44.1328125" bestFit="1" customWidth="1"/>
    <col min="3" max="3" width="33.398437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4.25"/>
  <cols>
    <col min="2" max="2" width="26.3984375" bestFit="1" customWidth="1"/>
    <col min="5" max="5" width="23.59765625" bestFit="1" customWidth="1"/>
    <col min="8" max="8" width="29.5976562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xmlns:xlrd2="http://schemas.microsoft.com/office/spreadsheetml/2017/richdata2"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4.25"/>
  <cols>
    <col min="1" max="1" width="30.265625" bestFit="1" customWidth="1"/>
    <col min="2" max="2" width="22.59765625" bestFit="1" customWidth="1"/>
    <col min="3" max="3" width="15.73046875" bestFit="1" customWidth="1"/>
    <col min="4" max="4" width="21.132812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4.25"/>
  <cols>
    <col min="1" max="1" width="7.3984375" bestFit="1" customWidth="1"/>
    <col min="2" max="3" width="16.132812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4.25"/>
  <cols>
    <col min="1" max="1" width="7.3984375" bestFit="1" customWidth="1"/>
    <col min="2" max="3" width="16.132812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4.25"/>
  <cols>
    <col min="1" max="1" width="7.3984375" bestFit="1" customWidth="1"/>
    <col min="2" max="3" width="22.5976562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4.25"/>
  <cols>
    <col min="1" max="1" width="10.265625" bestFit="1" customWidth="1"/>
    <col min="2" max="5" width="16.8632812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4.25"/>
  <cols>
    <col min="1" max="1" width="10.265625" bestFit="1" customWidth="1"/>
    <col min="2" max="5" width="16.8632812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4.25"/>
  <cols>
    <col min="1" max="1" width="10.265625" bestFit="1" customWidth="1"/>
    <col min="2" max="5" width="16.8632812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4.25" outlineLevelRow="1"/>
  <cols>
    <col min="1" max="1" width="10.265625" bestFit="1" customWidth="1"/>
    <col min="2" max="2" width="35.59765625" bestFit="1" customWidth="1"/>
    <col min="3" max="6" width="16.8632812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4.25"/>
  <cols>
    <col min="1" max="1" width="17.86328125" bestFit="1" customWidth="1"/>
    <col min="2" max="2" width="26.73046875" bestFit="1" customWidth="1"/>
    <col min="3" max="3" width="21.59765625" bestFit="1" customWidth="1"/>
    <col min="4" max="4" width="24.1328125" bestFit="1" customWidth="1"/>
    <col min="5" max="5" width="21.5976562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4.25"/>
  <cols>
    <col min="1" max="1" width="17.86328125" bestFit="1" customWidth="1"/>
    <col min="2" max="2" width="24.1328125" bestFit="1" customWidth="1"/>
    <col min="3" max="4" width="21.59765625" bestFit="1" customWidth="1"/>
    <col min="5" max="5" width="26.7304687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4.25" outlineLevelRow="1"/>
  <cols>
    <col min="1" max="1" width="17.86328125" bestFit="1" customWidth="1"/>
    <col min="2" max="2" width="6.86328125" customWidth="1"/>
    <col min="3" max="3" width="26.3984375" bestFit="1" customWidth="1"/>
    <col min="4" max="4" width="21.3984375" bestFit="1" customWidth="1"/>
    <col min="5" max="5" width="23.86328125" bestFit="1" customWidth="1"/>
    <col min="6" max="6" width="21.5976562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4.25"/>
  <cols>
    <col min="1" max="1" width="25.3984375" style="14" bestFit="1" customWidth="1"/>
    <col min="2" max="2" width="16.59765625" bestFit="1" customWidth="1"/>
    <col min="3" max="3" width="16.86328125" bestFit="1" customWidth="1"/>
    <col min="4" max="4" width="17.398437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4.25"/>
  <cols>
    <col min="1" max="1" width="25.3984375" bestFit="1" customWidth="1"/>
    <col min="2" max="2" width="16.59765625" bestFit="1" customWidth="1"/>
    <col min="3" max="3" width="16.86328125" bestFit="1" customWidth="1"/>
    <col min="4" max="4" width="17.398437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4.25"/>
  <cols>
    <col min="1" max="1" width="25.3984375" bestFit="1" customWidth="1"/>
    <col min="2" max="2" width="23.1328125" bestFit="1" customWidth="1"/>
    <col min="3" max="3" width="23.3984375" bestFit="1" customWidth="1"/>
    <col min="4" max="4" width="23.8632812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4.25"/>
  <cols>
    <col min="1" max="2" width="11.132812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4.25"/>
  <cols>
    <col min="1" max="1" width="8.73046875" customWidth="1"/>
    <col min="2" max="3" width="14.5976562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4.25"/>
  <cols>
    <col min="2" max="3" width="14.5976562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4.25"/>
  <cols>
    <col min="2" max="2" width="20.86328125" bestFit="1" customWidth="1"/>
    <col min="3" max="3" width="21.398437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4.25"/>
  <cols>
    <col min="1" max="1" width="10.3984375" bestFit="1" customWidth="1"/>
    <col min="2" max="2" width="11.73046875" customWidth="1"/>
    <col min="3" max="3" width="26.59765625" bestFit="1" customWidth="1"/>
    <col min="4" max="4" width="25.59765625" bestFit="1" customWidth="1"/>
    <col min="5" max="5" width="33.398437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4.25"/>
  <cols>
    <col min="3" max="3" width="11.1328125" customWidth="1"/>
    <col min="4" max="4" width="19.3984375" bestFit="1" customWidth="1"/>
    <col min="5" max="5" width="7.59765625" customWidth="1"/>
    <col min="10" max="10" width="6.86328125" bestFit="1" customWidth="1"/>
    <col min="11" max="11" width="48.3984375" bestFit="1" customWidth="1"/>
  </cols>
  <sheetData>
    <row r="1" spans="3:11" ht="14.65" thickBot="1"/>
    <row r="2" spans="3:11" ht="14.6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4.65" thickBot="1">
      <c r="C12" s="174">
        <v>21</v>
      </c>
      <c r="D12" s="171" t="s">
        <v>2272</v>
      </c>
      <c r="E12" s="168">
        <v>2</v>
      </c>
    </row>
    <row r="13" spans="3:11" ht="14.65" thickBot="1"/>
    <row r="14" spans="3:11">
      <c r="J14" s="230" t="s">
        <v>3725</v>
      </c>
      <c r="K14" s="231" t="s">
        <v>3731</v>
      </c>
    </row>
    <row r="15" spans="3:11">
      <c r="J15" s="157">
        <v>1</v>
      </c>
      <c r="K15" s="232" t="s">
        <v>3732</v>
      </c>
    </row>
    <row r="16" spans="3:11" ht="43.15"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4.25"/>
  <cols>
    <col min="1" max="1" width="28.59765625" bestFit="1" customWidth="1"/>
    <col min="2" max="2" width="9.3984375" bestFit="1" customWidth="1"/>
    <col min="3" max="3" width="6.86328125" bestFit="1" customWidth="1"/>
    <col min="4" max="4" width="14.398437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4.25"/>
  <cols>
    <col min="2" max="2" width="9.73046875" bestFit="1" customWidth="1"/>
    <col min="3" max="3" width="9.8632812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4.25"/>
  <cols>
    <col min="2" max="2" width="9.3984375" bestFit="1" customWidth="1"/>
    <col min="3" max="3" width="43.5976562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4.25"/>
  <cols>
    <col min="1" max="1" width="13.59765625" bestFit="1" customWidth="1"/>
    <col min="2" max="2" width="14" bestFit="1" customWidth="1"/>
    <col min="3" max="3" width="9.3984375" bestFit="1" customWidth="1"/>
    <col min="8" max="8" width="18.73046875" bestFit="1" customWidth="1"/>
  </cols>
  <sheetData>
    <row r="1" spans="1:8">
      <c r="A1" s="1" t="s">
        <v>387</v>
      </c>
      <c r="B1" s="1" t="s">
        <v>3743</v>
      </c>
      <c r="C1" s="1" t="s">
        <v>3744</v>
      </c>
      <c r="D1" s="1" t="s">
        <v>856</v>
      </c>
      <c r="G1" s="380" t="s">
        <v>3746</v>
      </c>
      <c r="H1" s="380"/>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4.25"/>
  <cols>
    <col min="1" max="1" width="9.132812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4.25"/>
  <cols>
    <col min="1" max="1" width="46.86328125" customWidth="1"/>
    <col min="2" max="2" width="12" bestFit="1" customWidth="1"/>
    <col min="3" max="3" width="10.1328125" customWidth="1"/>
    <col min="4" max="4" width="10.1328125" bestFit="1" customWidth="1"/>
    <col min="5" max="5" width="32" bestFit="1" customWidth="1"/>
  </cols>
  <sheetData>
    <row r="1" spans="1:5">
      <c r="A1" s="411" t="s">
        <v>3750</v>
      </c>
      <c r="B1" s="379"/>
      <c r="C1" s="379"/>
      <c r="D1" s="379"/>
    </row>
    <row r="2" spans="1:5">
      <c r="A2" s="1" t="s">
        <v>622</v>
      </c>
      <c r="B2" s="1" t="s">
        <v>3749</v>
      </c>
      <c r="C2" s="1" t="s">
        <v>3756</v>
      </c>
      <c r="D2" s="1" t="s">
        <v>3759</v>
      </c>
    </row>
    <row r="3" spans="1:5">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80" t="s">
        <v>3760</v>
      </c>
      <c r="B8" s="380"/>
      <c r="C8" s="380"/>
      <c r="D8" s="62">
        <f>TDIST(C3,C4,C5)</f>
        <v>2.5473534368846622E-2</v>
      </c>
      <c r="E8" s="65" t="s">
        <v>3757</v>
      </c>
    </row>
    <row r="9" spans="1:5">
      <c r="A9" s="380" t="s">
        <v>3761</v>
      </c>
      <c r="B9" s="380"/>
      <c r="C9" s="380"/>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4.25"/>
  <cols>
    <col min="1" max="1" width="44.3984375" bestFit="1" customWidth="1"/>
    <col min="2" max="2" width="12" bestFit="1" customWidth="1"/>
    <col min="3" max="3" width="10.1328125" customWidth="1"/>
    <col min="4" max="4" width="10.1328125" bestFit="1" customWidth="1"/>
  </cols>
  <sheetData>
    <row r="1" spans="1:3">
      <c r="A1" s="411" t="s">
        <v>3750</v>
      </c>
      <c r="B1" s="379"/>
      <c r="C1" s="379"/>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4.25"/>
  <cols>
    <col min="1" max="1" width="24.3984375" bestFit="1" customWidth="1"/>
  </cols>
  <sheetData>
    <row r="1" spans="1:2">
      <c r="A1" s="380" t="s">
        <v>3764</v>
      </c>
      <c r="B1" s="380"/>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4.25"/>
  <cols>
    <col min="1" max="1" width="44.3984375" bestFit="1" customWidth="1"/>
    <col min="2" max="2" width="12" bestFit="1" customWidth="1"/>
    <col min="3" max="4" width="10.1328125" bestFit="1" customWidth="1"/>
  </cols>
  <sheetData>
    <row r="1" spans="1:4">
      <c r="A1" s="380" t="s">
        <v>3750</v>
      </c>
      <c r="B1" s="380"/>
      <c r="C1" s="380"/>
      <c r="D1" s="380"/>
    </row>
    <row r="2" spans="1:4">
      <c r="A2" s="1" t="s">
        <v>622</v>
      </c>
      <c r="B2" s="1" t="s">
        <v>3749</v>
      </c>
      <c r="C2" s="1" t="s">
        <v>3756</v>
      </c>
      <c r="D2" s="1" t="s">
        <v>3759</v>
      </c>
    </row>
    <row r="3" spans="1:4">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80" t="s">
        <v>3760</v>
      </c>
      <c r="B8" s="380"/>
      <c r="C8" s="380"/>
      <c r="D8" s="62">
        <f>1-TDIST(2,60,1)</f>
        <v>0.97498347817427122</v>
      </c>
    </row>
    <row r="9" spans="1:4">
      <c r="A9" s="380" t="s">
        <v>3761</v>
      </c>
      <c r="B9" s="380"/>
      <c r="C9" s="380"/>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4.25"/>
  <cols>
    <col min="1" max="1" width="44.3984375" bestFit="1" customWidth="1"/>
    <col min="2" max="3" width="13.1328125" customWidth="1"/>
  </cols>
  <sheetData>
    <row r="1" spans="1:3">
      <c r="A1" s="380" t="s">
        <v>3779</v>
      </c>
      <c r="B1" s="380"/>
      <c r="C1" s="380"/>
    </row>
    <row r="2" spans="1:3">
      <c r="A2" s="1" t="s">
        <v>622</v>
      </c>
      <c r="B2" s="1" t="s">
        <v>3749</v>
      </c>
      <c r="C2" s="1" t="s">
        <v>1727</v>
      </c>
    </row>
    <row r="3" spans="1:3">
      <c r="A3" s="2" t="s">
        <v>3751</v>
      </c>
      <c r="B3" s="2" t="s">
        <v>3216</v>
      </c>
      <c r="C3" s="2">
        <v>0.8</v>
      </c>
    </row>
    <row r="4" spans="1:3">
      <c r="A4" s="2" t="s">
        <v>3752</v>
      </c>
      <c r="B4" s="2" t="s">
        <v>3753</v>
      </c>
      <c r="C4" s="2">
        <v>5</v>
      </c>
    </row>
    <row r="7" spans="1:3">
      <c r="A7" s="411" t="s">
        <v>3764</v>
      </c>
      <c r="B7" s="379"/>
      <c r="C7" s="379"/>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4.25"/>
  <cols>
    <col min="1" max="1" width="44.3984375" bestFit="1" customWidth="1"/>
    <col min="2" max="2" width="12" bestFit="1" customWidth="1"/>
    <col min="3" max="4" width="10.1328125" bestFit="1" customWidth="1"/>
  </cols>
  <sheetData>
    <row r="1" spans="1:4">
      <c r="A1" s="380" t="s">
        <v>3750</v>
      </c>
      <c r="B1" s="380"/>
      <c r="C1" s="380"/>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80" t="s">
        <v>3780</v>
      </c>
      <c r="B8" s="380"/>
      <c r="C8" s="380"/>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4.25"/>
  <cols>
    <col min="1" max="1" width="11.1328125" bestFit="1" customWidth="1"/>
    <col min="2" max="2" width="11.1328125" customWidth="1"/>
    <col min="3" max="3" width="25.5976562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4.25"/>
  <cols>
    <col min="1" max="1" width="10.1328125" customWidth="1"/>
    <col min="2" max="2" width="11.132812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4.25"/>
  <cols>
    <col min="2" max="2" width="25" bestFit="1" customWidth="1"/>
    <col min="3" max="3" width="18.5976562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4.25"/>
  <cols>
    <col min="1" max="1" width="11" customWidth="1"/>
    <col min="2" max="2" width="11.132812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4.25"/>
  <cols>
    <col min="2" max="2" width="14.398437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4.25"/>
  <cols>
    <col min="1" max="1" width="10.1328125" customWidth="1"/>
    <col min="2" max="2" width="11.8632812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4.25"/>
  <cols>
    <col min="1" max="1" width="36.1328125" bestFit="1" customWidth="1"/>
    <col min="2" max="2" width="12.3984375" customWidth="1"/>
    <col min="3" max="4" width="10.86328125" customWidth="1"/>
    <col min="6" max="6" width="40.73046875" bestFit="1" customWidth="1"/>
  </cols>
  <sheetData>
    <row r="1" spans="1:6">
      <c r="A1" s="380" t="s">
        <v>3805</v>
      </c>
      <c r="B1" s="380"/>
      <c r="C1" s="380"/>
      <c r="D1" s="380"/>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80" t="s">
        <v>3800</v>
      </c>
      <c r="B9" s="380"/>
      <c r="C9" s="380"/>
      <c r="D9" s="380"/>
      <c r="E9" s="7">
        <f>_xlfn.NORM.DIST(C3,C4,C5,C6)</f>
        <v>0.99379033467422384</v>
      </c>
      <c r="F9" s="65" t="s">
        <v>3802</v>
      </c>
    </row>
    <row r="10" spans="1:6">
      <c r="A10" s="380" t="s">
        <v>3801</v>
      </c>
      <c r="B10" s="380"/>
      <c r="C10" s="380"/>
      <c r="D10" s="380"/>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4.25"/>
  <cols>
    <col min="1" max="1" width="34.265625" bestFit="1" customWidth="1"/>
    <col min="2" max="2" width="12.3984375" bestFit="1" customWidth="1"/>
    <col min="3" max="3" width="10.1328125" bestFit="1" customWidth="1"/>
    <col min="4" max="4" width="11.86328125" bestFit="1" customWidth="1"/>
  </cols>
  <sheetData>
    <row r="1" spans="1:4">
      <c r="A1" s="382" t="s">
        <v>3806</v>
      </c>
      <c r="B1" s="383"/>
      <c r="C1" s="384"/>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82" t="s">
        <v>3807</v>
      </c>
      <c r="B9" s="383"/>
      <c r="C9" s="384"/>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4.25"/>
  <cols>
    <col min="1" max="1" width="17.73046875" bestFit="1" customWidth="1"/>
    <col min="2" max="2" width="14.59765625" bestFit="1" customWidth="1"/>
    <col min="3" max="3" width="31.86328125" bestFit="1" customWidth="1"/>
    <col min="4" max="4" width="54.8632812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xmlns:xlrd2="http://schemas.microsoft.com/office/spreadsheetml/2017/richdata2"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4.25"/>
  <cols>
    <col min="1" max="1" width="17.1328125" bestFit="1" customWidth="1"/>
    <col min="2" max="2" width="14.1328125" bestFit="1" customWidth="1"/>
    <col min="3" max="3" width="36.132812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4.25"/>
  <cols>
    <col min="1" max="1" width="34.265625" bestFit="1" customWidth="1"/>
    <col min="2" max="2" width="12.3984375" bestFit="1" customWidth="1"/>
    <col min="3" max="4" width="10.1328125" bestFit="1" customWidth="1"/>
    <col min="5" max="5" width="11.86328125" bestFit="1" customWidth="1"/>
  </cols>
  <sheetData>
    <row r="1" spans="1:5">
      <c r="A1" s="380" t="s">
        <v>3805</v>
      </c>
      <c r="B1" s="380"/>
      <c r="C1" s="380"/>
      <c r="D1" s="380"/>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80" t="s">
        <v>3800</v>
      </c>
      <c r="B9" s="380"/>
      <c r="C9" s="380"/>
      <c r="D9" s="380"/>
      <c r="E9" s="7">
        <f>_xlfn.NORM.DIST(C3,C4,C5,C6)</f>
        <v>0.84134474606854304</v>
      </c>
    </row>
    <row r="10" spans="1:5">
      <c r="A10" s="380" t="s">
        <v>3801</v>
      </c>
      <c r="B10" s="380"/>
      <c r="C10" s="380"/>
      <c r="D10" s="380"/>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4.25"/>
  <cols>
    <col min="1" max="1" width="34.265625" bestFit="1" customWidth="1"/>
    <col min="2" max="2" width="12.3984375" bestFit="1" customWidth="1"/>
    <col min="3" max="4" width="10.1328125" bestFit="1" customWidth="1"/>
    <col min="5" max="5" width="11.86328125" bestFit="1" customWidth="1"/>
  </cols>
  <sheetData>
    <row r="1" spans="1:5">
      <c r="A1" s="380" t="s">
        <v>3805</v>
      </c>
      <c r="B1" s="380"/>
      <c r="C1" s="380"/>
      <c r="D1" s="380"/>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80" t="s">
        <v>3800</v>
      </c>
      <c r="B9" s="380"/>
      <c r="C9" s="380"/>
      <c r="D9" s="380"/>
      <c r="E9" s="7">
        <f>_xlfn.NORM.DIST(C3,C4,C5,C6)</f>
        <v>0.97724986805182079</v>
      </c>
    </row>
    <row r="10" spans="1:5">
      <c r="A10" s="380" t="s">
        <v>3801</v>
      </c>
      <c r="B10" s="380"/>
      <c r="C10" s="380"/>
      <c r="D10" s="380"/>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4.25"/>
  <cols>
    <col min="1" max="1" width="34.265625" bestFit="1" customWidth="1"/>
    <col min="2" max="2" width="12.86328125" customWidth="1"/>
    <col min="3" max="3" width="6.86328125" customWidth="1"/>
    <col min="4" max="4" width="11.86328125" bestFit="1" customWidth="1"/>
  </cols>
  <sheetData>
    <row r="1" spans="1:4">
      <c r="A1" s="382" t="s">
        <v>3806</v>
      </c>
      <c r="B1" s="383"/>
      <c r="C1" s="384"/>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82" t="s">
        <v>3807</v>
      </c>
      <c r="B9" s="383"/>
      <c r="C9" s="384"/>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4.25"/>
  <cols>
    <col min="3" max="3" width="17.3984375" bestFit="1" customWidth="1"/>
    <col min="4" max="4" width="28.2656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4.25"/>
  <cols>
    <col min="3" max="3" width="38.2656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4.25"/>
  <cols>
    <col min="1" max="1" width="11.265625" bestFit="1" customWidth="1"/>
    <col min="2" max="2" width="11.265625" customWidth="1"/>
    <col min="4" max="4" width="46.8632812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4.25"/>
  <cols>
    <col min="1" max="1" width="8.59765625" customWidth="1"/>
    <col min="8" max="8" width="16.265625" bestFit="1" customWidth="1"/>
    <col min="15" max="15" width="16.73046875" customWidth="1"/>
  </cols>
  <sheetData>
    <row r="1" spans="1:15" ht="28.5">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2.75">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4.25"/>
  <cols>
    <col min="3" max="3" width="25.5976562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4.25"/>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28.5">
      <c r="A13" s="8" t="s">
        <v>3839</v>
      </c>
      <c r="B13" s="47">
        <f>SUMPRODUCT((MOD(A2:A11,2)=0)*1)</f>
        <v>4</v>
      </c>
    </row>
    <row r="14" spans="1:2" ht="28.5">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4.25"/>
  <cols>
    <col min="1" max="1" width="30.3984375" bestFit="1" customWidth="1"/>
    <col min="2" max="2" width="7.59765625" bestFit="1" customWidth="1"/>
    <col min="3" max="3" width="5.86328125" customWidth="1"/>
    <col min="4" max="4" width="15.86328125" bestFit="1" customWidth="1"/>
    <col min="5" max="5" width="27.398437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4.25"/>
  <cols>
    <col min="1" max="1" width="8" customWidth="1"/>
    <col min="2" max="2" width="8.59765625" customWidth="1"/>
    <col min="3" max="3" width="10.3984375" customWidth="1"/>
    <col min="14" max="14" width="11.8632812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4.25"/>
  <cols>
    <col min="1" max="2" width="10.86328125" bestFit="1" customWidth="1"/>
    <col min="3" max="9" width="8.73046875" customWidth="1"/>
    <col min="11" max="11" width="59.3984375" bestFit="1" customWidth="1"/>
    <col min="12" max="12" width="7.265625" customWidth="1"/>
  </cols>
  <sheetData>
    <row r="1" spans="1:12">
      <c r="A1" s="1" t="s">
        <v>3851</v>
      </c>
      <c r="B1" s="1" t="s">
        <v>3852</v>
      </c>
      <c r="K1" s="380" t="s">
        <v>3853</v>
      </c>
      <c r="L1" s="380"/>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4.25"/>
  <cols>
    <col min="1" max="1" width="26.1328125" bestFit="1" customWidth="1"/>
    <col min="2" max="3" width="10.132812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4.25"/>
  <cols>
    <col min="1" max="1" width="9.73046875" bestFit="1" customWidth="1"/>
    <col min="2" max="2" width="11.86328125" bestFit="1" customWidth="1"/>
  </cols>
  <sheetData>
    <row r="1" spans="1:2">
      <c r="A1" s="1" t="s">
        <v>2887</v>
      </c>
      <c r="B1" s="1" t="s">
        <v>1727</v>
      </c>
    </row>
    <row r="2" spans="1:2">
      <c r="A2" s="2" t="s">
        <v>3860</v>
      </c>
      <c r="B2" s="2">
        <v>400</v>
      </c>
    </row>
    <row r="3" spans="1:2" ht="15.75">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4.25"/>
  <cols>
    <col min="3" max="3" width="9.398437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4.25"/>
  <cols>
    <col min="1" max="1" width="16" customWidth="1"/>
    <col min="2" max="2" width="38.73046875" bestFit="1" customWidth="1"/>
    <col min="3" max="3" width="22.73046875" bestFit="1" customWidth="1"/>
    <col min="4" max="4" width="26.8632812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45485.458480439818</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4.25"/>
  <cols>
    <col min="1" max="1" width="10.86328125" bestFit="1" customWidth="1"/>
    <col min="2" max="2" width="13" customWidth="1"/>
    <col min="3" max="3" width="23.5976562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4.25"/>
  <cols>
    <col min="1" max="1" width="23.398437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4.25"/>
  <cols>
    <col min="1" max="1" width="25.59765625" customWidth="1"/>
    <col min="2" max="2" width="9.2656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4.25"/>
  <cols>
    <col min="1" max="1" width="19.2656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4.25"/>
  <cols>
    <col min="1" max="1" width="22.3984375" bestFit="1" customWidth="1"/>
    <col min="2" max="2" width="20.398437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4.25"/>
  <cols>
    <col min="1" max="1" width="11.1328125" bestFit="1" customWidth="1"/>
    <col min="2" max="2" width="44.8632812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4.25"/>
  <cols>
    <col min="1" max="1" width="15.59765625" bestFit="1" customWidth="1"/>
    <col min="2" max="2" width="46.265625" bestFit="1" customWidth="1"/>
    <col min="3" max="3" width="10.398437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t="e">
        <f>INT("11/14/2022  10:45:00 AM")</f>
        <v>#VALUE!</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4.25"/>
  <cols>
    <col min="1" max="1" width="10.59765625" bestFit="1" customWidth="1"/>
    <col min="2" max="2" width="16.1328125" bestFit="1" customWidth="1"/>
    <col min="3" max="3" width="22.8632812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4.25"/>
  <cols>
    <col min="1" max="1" width="15.1328125" bestFit="1" customWidth="1"/>
    <col min="2" max="2" width="37.5976562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t="e">
        <f>INT(VALUE(A4))</f>
        <v>#VALUE!</v>
      </c>
    </row>
    <row r="5" spans="1:2">
      <c r="A5" s="27" t="s">
        <v>3940</v>
      </c>
      <c r="B5" s="7">
        <f>INT(VALUE(A5))</f>
        <v>-1</v>
      </c>
    </row>
    <row r="6" spans="1:2">
      <c r="A6" s="27" t="s">
        <v>3941</v>
      </c>
      <c r="B6" s="66">
        <f>INT(VALUE(A6))</f>
        <v>44815</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4.25"/>
  <cols>
    <col min="1" max="1" width="14.86328125" bestFit="1" customWidth="1"/>
    <col min="2" max="2" width="11.86328125" bestFit="1" customWidth="1"/>
    <col min="3" max="3" width="37.8632812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4.25"/>
  <cols>
    <col min="1" max="1" width="13.3984375" bestFit="1" customWidth="1"/>
    <col min="2" max="2" width="18.5976562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4.25"/>
  <cols>
    <col min="1" max="1" width="10.265625" bestFit="1" customWidth="1"/>
    <col min="2" max="2" width="18.5976562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4.25"/>
  <cols>
    <col min="2" max="2" width="26.132812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4.25"/>
  <cols>
    <col min="1" max="1" width="17.59765625" bestFit="1" customWidth="1"/>
    <col min="2" max="3" width="21.8632812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4.25"/>
  <cols>
    <col min="2" max="2" width="10.86328125" bestFit="1" customWidth="1"/>
    <col min="5" max="5" width="7.73046875" customWidth="1"/>
    <col min="6" max="6" width="16.5976562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4.25"/>
  <cols>
    <col min="1" max="1" width="15.1328125" bestFit="1" customWidth="1"/>
    <col min="2" max="2" width="26.73046875" bestFit="1" customWidth="1"/>
    <col min="5" max="5" width="12.59765625" bestFit="1" customWidth="1"/>
    <col min="6" max="6" width="26.7304687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4.25"/>
  <cols>
    <col min="1" max="1" width="8.3984375" bestFit="1" customWidth="1"/>
    <col min="2" max="2" width="20.7304687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4.25"/>
  <cols>
    <col min="1" max="1" width="25.86328125" bestFit="1" customWidth="1"/>
    <col min="2" max="2" width="20.86328125" bestFit="1" customWidth="1"/>
    <col min="3" max="3" width="13.1328125" customWidth="1"/>
    <col min="4" max="4" width="33.132812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4.25"/>
  <cols>
    <col min="1" max="1" width="22.59765625" customWidth="1"/>
    <col min="2" max="2" width="22.1328125" bestFit="1" customWidth="1"/>
    <col min="3" max="3" width="21.5976562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4.25"/>
  <cols>
    <col min="1" max="1" width="60.59765625" bestFit="1" customWidth="1"/>
    <col min="2" max="2" width="44.59765625" bestFit="1" customWidth="1"/>
    <col min="3" max="3" width="45.398437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4.25"/>
  <cols>
    <col min="1" max="1" width="53.265625" bestFit="1" customWidth="1"/>
    <col min="2" max="2" width="31.8632812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4.25"/>
  <cols>
    <col min="1" max="1" width="9.73046875" customWidth="1"/>
    <col min="2" max="2" width="16.3984375" bestFit="1" customWidth="1"/>
    <col min="3" max="3" width="17.59765625" bestFit="1" customWidth="1"/>
    <col min="4" max="4" width="15.132812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4.25"/>
  <cols>
    <col min="1" max="1" width="38.59765625" bestFit="1" customWidth="1"/>
    <col min="2" max="2" width="37.1328125" bestFit="1" customWidth="1"/>
    <col min="3" max="3" width="44.398437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4.25"/>
  <cols>
    <col min="1" max="1" width="13.86328125" bestFit="1" customWidth="1"/>
    <col min="2" max="2" width="22.1328125" bestFit="1" customWidth="1"/>
    <col min="3" max="3" width="11.8632812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4.25"/>
  <cols>
    <col min="1" max="2" width="7.59765625" bestFit="1" customWidth="1"/>
    <col min="4" max="4" width="28.1328125" bestFit="1" customWidth="1"/>
    <col min="6" max="6" width="28.265625" bestFit="1" customWidth="1"/>
  </cols>
  <sheetData>
    <row r="1" spans="1:10">
      <c r="A1" s="1" t="s">
        <v>4056</v>
      </c>
      <c r="B1" s="1" t="s">
        <v>4057</v>
      </c>
      <c r="D1" s="1" t="s">
        <v>4065</v>
      </c>
      <c r="F1" s="380" t="s">
        <v>4064</v>
      </c>
      <c r="G1" s="380"/>
      <c r="H1" s="380"/>
      <c r="I1" s="380"/>
      <c r="J1" s="380"/>
    </row>
    <row r="2" spans="1:10">
      <c r="A2" s="2">
        <v>95</v>
      </c>
      <c r="B2" s="2">
        <v>56</v>
      </c>
      <c r="D2" s="7">
        <f>FTEST(A2:A7,B2:B7)</f>
        <v>2.3371419529718972E-3</v>
      </c>
      <c r="F2" t="s">
        <v>4058</v>
      </c>
    </row>
    <row r="3" spans="1:10" ht="14.6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4.6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4.25"/>
  <cols>
    <col min="1" max="1" width="20.1328125" bestFit="1" customWidth="1"/>
    <col min="2" max="2" width="22" bestFit="1" customWidth="1"/>
    <col min="4" max="4" width="28.1328125" bestFit="1" customWidth="1"/>
    <col min="6" max="6" width="28.265625" bestFit="1" customWidth="1"/>
    <col min="7" max="7" width="20.3984375" bestFit="1" customWidth="1"/>
    <col min="8" max="8" width="22.265625" bestFit="1" customWidth="1"/>
  </cols>
  <sheetData>
    <row r="1" spans="1:8">
      <c r="A1" s="1" t="s">
        <v>4066</v>
      </c>
      <c r="B1" s="1" t="s">
        <v>4067</v>
      </c>
      <c r="D1" s="1" t="s">
        <v>4065</v>
      </c>
      <c r="F1" s="380" t="s">
        <v>4064</v>
      </c>
      <c r="G1" s="380"/>
      <c r="H1" s="380"/>
    </row>
    <row r="2" spans="1:8">
      <c r="A2" s="2">
        <v>69</v>
      </c>
      <c r="B2" s="2">
        <v>63</v>
      </c>
      <c r="D2" s="7">
        <f>FTEST(A2:A7,B2:B7)</f>
        <v>0.9913164679407247</v>
      </c>
      <c r="F2" t="s">
        <v>4058</v>
      </c>
    </row>
    <row r="3" spans="1:8" ht="14.6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4.6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4.25"/>
  <cols>
    <col min="1" max="2" width="14.398437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42.75">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4.25"/>
  <cols>
    <col min="1" max="2" width="22.7304687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4.25"/>
  <cols>
    <col min="1" max="2" width="20.265625" bestFit="1" customWidth="1"/>
    <col min="4" max="4" width="28.265625" bestFit="1" customWidth="1"/>
    <col min="5" max="6" width="20.86328125" bestFit="1" customWidth="1"/>
  </cols>
  <sheetData>
    <row r="1" spans="1:6">
      <c r="A1" s="1" t="s">
        <v>4075</v>
      </c>
      <c r="B1" s="1" t="s">
        <v>4076</v>
      </c>
      <c r="D1" s="382" t="s">
        <v>4064</v>
      </c>
      <c r="E1" s="383"/>
      <c r="F1" s="384"/>
    </row>
    <row r="2" spans="1:6">
      <c r="A2" s="2">
        <v>22</v>
      </c>
      <c r="B2" s="2">
        <v>30</v>
      </c>
      <c r="D2" t="s">
        <v>4058</v>
      </c>
    </row>
    <row r="3" spans="1:6" ht="14.6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4.6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4.25"/>
  <cols>
    <col min="1" max="2" width="24.7304687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4.25"/>
  <cols>
    <col min="1" max="1" width="25.86328125" bestFit="1" customWidth="1"/>
    <col min="3" max="3" width="11.86328125" customWidth="1"/>
    <col min="4" max="4" width="24.2656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4.25"/>
  <cols>
    <col min="1" max="1" width="27.3984375" bestFit="1" customWidth="1"/>
    <col min="2" max="2" width="7.59765625" bestFit="1" customWidth="1"/>
    <col min="3" max="3" width="11.86328125" bestFit="1" customWidth="1"/>
    <col min="6" max="6" width="11.8632812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4.25"/>
  <cols>
    <col min="1" max="1" width="42" bestFit="1" customWidth="1"/>
    <col min="2" max="2" width="9.73046875" bestFit="1" customWidth="1"/>
    <col min="3" max="3" width="9.59765625" customWidth="1"/>
  </cols>
  <sheetData>
    <row r="1" spans="1:3" ht="16.149999999999999" thickBot="1">
      <c r="A1" s="415" t="s">
        <v>4107</v>
      </c>
      <c r="B1" s="416"/>
      <c r="C1" s="417"/>
    </row>
    <row r="2" spans="1:3" ht="14.6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4.65" thickBot="1">
      <c r="A6" s="174" t="s">
        <v>4095</v>
      </c>
      <c r="B6" s="171" t="s">
        <v>1722</v>
      </c>
      <c r="C6" s="168">
        <v>5</v>
      </c>
    </row>
    <row r="7" spans="1:3" ht="14.65" thickBot="1">
      <c r="A7" s="184"/>
      <c r="B7" s="14"/>
      <c r="C7" s="209"/>
    </row>
    <row r="8" spans="1:3" ht="14.6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4.25"/>
  <cols>
    <col min="1" max="1" width="13.265625" bestFit="1" customWidth="1"/>
    <col min="2" max="2" width="11.86328125" bestFit="1" customWidth="1"/>
  </cols>
  <sheetData>
    <row r="1" spans="1:2" ht="15.75">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4.25"/>
  <cols>
    <col min="1" max="1" width="7.59765625" bestFit="1" customWidth="1"/>
    <col min="2" max="2" width="22.3984375" bestFit="1" customWidth="1"/>
    <col min="3" max="3" width="24.132812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4.25"/>
  <cols>
    <col min="1" max="1" width="10.86328125" bestFit="1" customWidth="1"/>
    <col min="2" max="2" width="11.86328125" bestFit="1" customWidth="1"/>
    <col min="8" max="8" width="11.8632812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4.25"/>
  <cols>
    <col min="2" max="2" width="15.59765625" bestFit="1" customWidth="1"/>
    <col min="3" max="3" width="27.8632812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4.25"/>
  <cols>
    <col min="1" max="1" width="11.265625" bestFit="1" customWidth="1"/>
    <col min="2" max="2" width="10.1328125" bestFit="1" customWidth="1"/>
    <col min="3" max="3" width="14.86328125" bestFit="1" customWidth="1"/>
    <col min="4" max="4" width="12.73046875" bestFit="1" customWidth="1"/>
    <col min="6" max="6" width="14.86328125" bestFit="1" customWidth="1"/>
    <col min="9" max="9" width="17.265625" bestFit="1" customWidth="1"/>
    <col min="11" max="11" width="24" bestFit="1" customWidth="1"/>
  </cols>
  <sheetData>
    <row r="1" spans="1:11">
      <c r="A1" s="421" t="s">
        <v>4108</v>
      </c>
      <c r="B1" s="422"/>
      <c r="C1" s="422"/>
      <c r="D1" s="423"/>
      <c r="F1" s="250" t="s">
        <v>4112</v>
      </c>
      <c r="H1" s="421" t="s">
        <v>4111</v>
      </c>
      <c r="I1" s="423"/>
      <c r="K1" s="250" t="s">
        <v>4113</v>
      </c>
    </row>
    <row r="2" spans="1:11">
      <c r="A2" s="155"/>
      <c r="D2" s="156"/>
      <c r="F2" s="251"/>
      <c r="H2" s="155"/>
      <c r="I2" s="156"/>
      <c r="K2" s="251"/>
    </row>
    <row r="3" spans="1:11">
      <c r="A3" s="180" t="s">
        <v>354</v>
      </c>
      <c r="B3" s="1" t="s">
        <v>1</v>
      </c>
      <c r="C3" s="1" t="s">
        <v>4109</v>
      </c>
      <c r="D3" s="181" t="s">
        <v>4110</v>
      </c>
      <c r="F3" s="462" t="s">
        <v>4109</v>
      </c>
      <c r="H3" s="180" t="s">
        <v>354</v>
      </c>
      <c r="I3" s="181" t="s">
        <v>1</v>
      </c>
      <c r="K3" s="189" t="s">
        <v>4114</v>
      </c>
    </row>
    <row r="4" spans="1:11" ht="14.65" thickBot="1">
      <c r="A4" s="157" t="s">
        <v>340</v>
      </c>
      <c r="B4" s="2">
        <v>1</v>
      </c>
      <c r="C4" s="2">
        <v>20</v>
      </c>
      <c r="D4" s="190">
        <v>1000</v>
      </c>
      <c r="F4" s="463"/>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4.6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4.25"/>
  <cols>
    <col min="1" max="1" width="14.1328125" bestFit="1" customWidth="1"/>
    <col min="2" max="2" width="7" bestFit="1" customWidth="1"/>
    <col min="3" max="3" width="10.59765625" customWidth="1"/>
    <col min="4" max="5" width="14.1328125" bestFit="1" customWidth="1"/>
    <col min="7" max="7" width="14.86328125" bestFit="1" customWidth="1"/>
    <col min="9" max="9" width="7" bestFit="1" customWidth="1"/>
    <col min="10" max="10" width="10.1328125" bestFit="1" customWidth="1"/>
    <col min="11" max="11" width="14.1328125" bestFit="1" customWidth="1"/>
    <col min="13" max="13" width="19.59765625" bestFit="1" customWidth="1"/>
  </cols>
  <sheetData>
    <row r="1" spans="1:13">
      <c r="A1" s="421" t="s">
        <v>4108</v>
      </c>
      <c r="B1" s="422"/>
      <c r="C1" s="422"/>
      <c r="D1" s="464"/>
      <c r="E1" s="423"/>
      <c r="G1" s="250" t="s">
        <v>4112</v>
      </c>
      <c r="I1" s="421" t="s">
        <v>4111</v>
      </c>
      <c r="J1" s="456"/>
      <c r="K1" s="423"/>
      <c r="M1" s="250" t="s">
        <v>4113</v>
      </c>
    </row>
    <row r="2" spans="1:13">
      <c r="A2" s="155"/>
      <c r="E2" s="156"/>
      <c r="G2" s="251"/>
      <c r="I2" s="155"/>
      <c r="K2" s="156"/>
      <c r="M2" s="251"/>
    </row>
    <row r="3" spans="1:13">
      <c r="A3" s="180" t="s">
        <v>832</v>
      </c>
      <c r="B3" s="1" t="s">
        <v>4115</v>
      </c>
      <c r="C3" s="1" t="s">
        <v>4116</v>
      </c>
      <c r="D3" s="1" t="s">
        <v>4117</v>
      </c>
      <c r="E3" s="181" t="s">
        <v>4132</v>
      </c>
      <c r="G3" s="462" t="s">
        <v>4132</v>
      </c>
      <c r="I3" s="180" t="s">
        <v>4115</v>
      </c>
      <c r="J3" s="1" t="s">
        <v>4116</v>
      </c>
      <c r="K3" s="181" t="s">
        <v>4117</v>
      </c>
      <c r="M3" s="189" t="s">
        <v>4133</v>
      </c>
    </row>
    <row r="4" spans="1:13" ht="14.65" thickBot="1">
      <c r="A4" s="165" t="s">
        <v>4118</v>
      </c>
      <c r="B4" s="2" t="s">
        <v>4130</v>
      </c>
      <c r="C4" s="2">
        <v>10</v>
      </c>
      <c r="D4" s="2">
        <v>53</v>
      </c>
      <c r="E4" s="159">
        <v>138</v>
      </c>
      <c r="G4" s="463"/>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4.6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4.25"/>
  <cols>
    <col min="1" max="1" width="18.1328125" bestFit="1" customWidth="1"/>
    <col min="2" max="2" width="8.86328125" bestFit="1" customWidth="1"/>
    <col min="3" max="3" width="14.1328125" customWidth="1"/>
    <col min="4" max="4" width="10.3984375" customWidth="1"/>
    <col min="5" max="5" width="12.86328125" customWidth="1"/>
    <col min="7" max="7" width="10.265625" customWidth="1"/>
    <col min="8" max="8" width="30.3984375" bestFit="1" customWidth="1"/>
    <col min="9" max="9" width="5.86328125" bestFit="1" customWidth="1"/>
    <col min="10" max="10" width="15.1328125" customWidth="1"/>
    <col min="11" max="11" width="10.86328125" customWidth="1"/>
    <col min="12" max="12" width="8.73046875" customWidth="1"/>
  </cols>
  <sheetData>
    <row r="1" spans="1:11">
      <c r="A1" s="421" t="s">
        <v>4148</v>
      </c>
      <c r="B1" s="422"/>
      <c r="C1" s="422"/>
      <c r="D1" s="422"/>
      <c r="E1" s="423"/>
      <c r="G1" s="250" t="s">
        <v>4112</v>
      </c>
      <c r="I1" s="421" t="s">
        <v>4111</v>
      </c>
      <c r="J1" s="422"/>
      <c r="K1" s="423"/>
    </row>
    <row r="2" spans="1:11">
      <c r="A2" s="155"/>
      <c r="E2" s="156"/>
      <c r="G2" s="251"/>
      <c r="I2" s="155"/>
      <c r="K2" s="156"/>
    </row>
    <row r="3" spans="1:11" ht="30" customHeight="1">
      <c r="A3" s="257" t="s">
        <v>3472</v>
      </c>
      <c r="B3" s="8" t="s">
        <v>3486</v>
      </c>
      <c r="C3" s="258" t="s">
        <v>4143</v>
      </c>
      <c r="D3" s="259" t="s">
        <v>4142</v>
      </c>
      <c r="E3" s="259" t="s">
        <v>4144</v>
      </c>
      <c r="G3" s="465" t="s">
        <v>4144</v>
      </c>
      <c r="I3" s="257" t="s">
        <v>3486</v>
      </c>
      <c r="J3" s="258" t="s">
        <v>4143</v>
      </c>
      <c r="K3" s="259" t="s">
        <v>4142</v>
      </c>
    </row>
    <row r="4" spans="1:11" ht="14.65" thickBot="1">
      <c r="A4" s="157" t="s">
        <v>4135</v>
      </c>
      <c r="B4" s="2" t="s">
        <v>340</v>
      </c>
      <c r="C4" s="2">
        <v>15</v>
      </c>
      <c r="D4" s="253">
        <v>1999</v>
      </c>
      <c r="E4" s="253">
        <v>29985</v>
      </c>
      <c r="G4" s="466"/>
      <c r="I4" s="174" t="s">
        <v>4141</v>
      </c>
      <c r="J4" s="171" t="s">
        <v>4145</v>
      </c>
      <c r="K4" s="168" t="s">
        <v>4146</v>
      </c>
    </row>
    <row r="5" spans="1:11">
      <c r="A5" s="157" t="s">
        <v>3534</v>
      </c>
      <c r="B5" s="2" t="s">
        <v>4141</v>
      </c>
      <c r="C5" s="2">
        <v>20</v>
      </c>
      <c r="D5" s="253">
        <v>999</v>
      </c>
      <c r="E5" s="253">
        <v>19980</v>
      </c>
    </row>
    <row r="6" spans="1:11" ht="14.6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4.65" thickBot="1">
      <c r="A10" s="157" t="s">
        <v>3534</v>
      </c>
      <c r="B10" s="2" t="s">
        <v>4141</v>
      </c>
      <c r="C10" s="2">
        <v>13</v>
      </c>
      <c r="D10" s="253">
        <v>999</v>
      </c>
      <c r="E10" s="253">
        <v>12987</v>
      </c>
      <c r="H10" s="260">
        <f>DMAX(Laptop_Order_Data,"Total Order Cost in USD",I3:K4)</f>
        <v>0</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4.6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4.25"/>
  <cols>
    <col min="1" max="1" width="20.59765625" bestFit="1" customWidth="1"/>
    <col min="2" max="2" width="9.265625" bestFit="1" customWidth="1"/>
    <col min="3" max="3" width="13.3984375" bestFit="1" customWidth="1"/>
    <col min="5" max="5" width="14.86328125" bestFit="1" customWidth="1"/>
    <col min="7" max="7" width="11.1328125" bestFit="1" customWidth="1"/>
    <col min="8" max="8" width="9.265625" bestFit="1" customWidth="1"/>
    <col min="10" max="10" width="24" bestFit="1" customWidth="1"/>
  </cols>
  <sheetData>
    <row r="1" spans="1:10">
      <c r="A1" s="421" t="s">
        <v>4108</v>
      </c>
      <c r="B1" s="422"/>
      <c r="C1" s="423"/>
      <c r="E1" s="250" t="s">
        <v>4112</v>
      </c>
      <c r="G1" s="421" t="s">
        <v>4111</v>
      </c>
      <c r="H1" s="423"/>
      <c r="J1" s="250" t="s">
        <v>4113</v>
      </c>
    </row>
    <row r="2" spans="1:10">
      <c r="A2" s="155"/>
      <c r="C2" s="156"/>
      <c r="E2" s="251"/>
      <c r="G2" s="155"/>
      <c r="H2" s="156"/>
      <c r="J2" s="251"/>
    </row>
    <row r="3" spans="1:10">
      <c r="A3" s="180" t="s">
        <v>75</v>
      </c>
      <c r="B3" s="1" t="s">
        <v>4149</v>
      </c>
      <c r="C3" s="181" t="s">
        <v>4150</v>
      </c>
      <c r="E3" s="462" t="s">
        <v>4150</v>
      </c>
      <c r="G3" s="180" t="s">
        <v>75</v>
      </c>
      <c r="H3" s="1" t="s">
        <v>4149</v>
      </c>
      <c r="J3" s="189" t="s">
        <v>4156</v>
      </c>
    </row>
    <row r="4" spans="1:10" ht="14.65" thickBot="1">
      <c r="A4" s="157" t="s">
        <v>1978</v>
      </c>
      <c r="B4" s="82">
        <v>0.81</v>
      </c>
      <c r="C4" s="191">
        <v>0.52</v>
      </c>
      <c r="E4" s="463"/>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4.6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4.25"/>
  <cols>
    <col min="1" max="1" width="12.265625" bestFit="1" customWidth="1"/>
    <col min="2" max="2" width="11.59765625" bestFit="1" customWidth="1"/>
    <col min="3" max="3" width="10.73046875" customWidth="1"/>
    <col min="5" max="5" width="10" bestFit="1" customWidth="1"/>
    <col min="7" max="7" width="5.59765625" bestFit="1" customWidth="1"/>
    <col min="8" max="8" width="5.86328125" bestFit="1" customWidth="1"/>
    <col min="10" max="10" width="24" bestFit="1" customWidth="1"/>
    <col min="12" max="12" width="12.265625" bestFit="1" customWidth="1"/>
  </cols>
  <sheetData>
    <row r="1" spans="1:10">
      <c r="A1" s="421" t="s">
        <v>4108</v>
      </c>
      <c r="B1" s="422"/>
      <c r="C1" s="423"/>
      <c r="E1" s="250" t="s">
        <v>4112</v>
      </c>
      <c r="G1" s="421" t="s">
        <v>4111</v>
      </c>
      <c r="H1" s="423"/>
      <c r="J1" s="250" t="s">
        <v>4113</v>
      </c>
    </row>
    <row r="2" spans="1:10">
      <c r="A2" s="266"/>
      <c r="B2" s="55"/>
      <c r="C2" s="267"/>
      <c r="E2" s="251"/>
      <c r="G2" s="155"/>
      <c r="H2" s="156"/>
      <c r="J2" s="251"/>
    </row>
    <row r="3" spans="1:10">
      <c r="A3" s="180" t="s">
        <v>1776</v>
      </c>
      <c r="B3" s="1" t="s">
        <v>352</v>
      </c>
      <c r="C3" s="181" t="s">
        <v>96</v>
      </c>
      <c r="E3" s="462" t="s">
        <v>96</v>
      </c>
      <c r="G3" s="467" t="s">
        <v>4163</v>
      </c>
      <c r="H3" s="468"/>
      <c r="J3" s="189" t="s">
        <v>4162</v>
      </c>
    </row>
    <row r="4" spans="1:10" ht="14.65" thickBot="1">
      <c r="A4" s="157" t="s">
        <v>3144</v>
      </c>
      <c r="B4" s="2" t="s">
        <v>2014</v>
      </c>
      <c r="C4" s="268">
        <v>2746388</v>
      </c>
      <c r="E4" s="463"/>
      <c r="G4" s="469"/>
      <c r="H4" s="470"/>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4.65" thickBot="1">
      <c r="A13" s="174" t="s">
        <v>4161</v>
      </c>
      <c r="B13" s="171" t="s">
        <v>347</v>
      </c>
      <c r="C13" s="269">
        <v>1013240</v>
      </c>
    </row>
  </sheetData>
  <sortState xmlns:xlrd2="http://schemas.microsoft.com/office/spreadsheetml/2017/richdata2"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4.25"/>
  <cols>
    <col min="1" max="1" width="11.265625" bestFit="1" customWidth="1"/>
    <col min="2" max="2" width="12.3984375" bestFit="1" customWidth="1"/>
    <col min="3" max="3" width="14.86328125" bestFit="1" customWidth="1"/>
    <col min="4" max="4" width="14.1328125" bestFit="1" customWidth="1"/>
    <col min="6" max="6" width="14.86328125" bestFit="1" customWidth="1"/>
    <col min="7" max="7" width="23.1328125" bestFit="1" customWidth="1"/>
    <col min="8" max="8" width="12.3984375" bestFit="1" customWidth="1"/>
    <col min="9" max="10" width="12.3984375" customWidth="1"/>
    <col min="12" max="12" width="24" bestFit="1" customWidth="1"/>
  </cols>
  <sheetData>
    <row r="1" spans="1:10">
      <c r="A1" s="421" t="s">
        <v>4108</v>
      </c>
      <c r="B1" s="422"/>
      <c r="C1" s="422"/>
      <c r="D1" s="423"/>
      <c r="F1" s="250" t="s">
        <v>4112</v>
      </c>
      <c r="H1" s="421" t="s">
        <v>4111</v>
      </c>
      <c r="I1" s="456"/>
      <c r="J1" s="423"/>
    </row>
    <row r="2" spans="1:10">
      <c r="A2" s="155"/>
      <c r="D2" s="156"/>
      <c r="F2" s="251"/>
      <c r="H2" s="155"/>
      <c r="J2" s="156"/>
    </row>
    <row r="3" spans="1:10">
      <c r="A3" s="180" t="s">
        <v>2002</v>
      </c>
      <c r="B3" s="1" t="s">
        <v>4165</v>
      </c>
      <c r="C3" s="1" t="s">
        <v>4166</v>
      </c>
      <c r="D3" s="181" t="s">
        <v>4167</v>
      </c>
      <c r="F3" s="462" t="s">
        <v>4167</v>
      </c>
      <c r="H3" s="180" t="s">
        <v>4165</v>
      </c>
      <c r="I3" s="181" t="s">
        <v>4165</v>
      </c>
      <c r="J3" s="181" t="s">
        <v>4166</v>
      </c>
    </row>
    <row r="4" spans="1:10" ht="14.65" thickBot="1">
      <c r="A4" s="157" t="s">
        <v>2003</v>
      </c>
      <c r="B4" s="20">
        <v>44607</v>
      </c>
      <c r="C4" s="2">
        <v>10</v>
      </c>
      <c r="D4" s="159">
        <v>20</v>
      </c>
      <c r="F4" s="463"/>
      <c r="H4" s="174" t="s">
        <v>4169</v>
      </c>
      <c r="I4" s="271" t="s">
        <v>4168</v>
      </c>
      <c r="J4" s="271" t="s">
        <v>4171</v>
      </c>
    </row>
    <row r="5" spans="1:10">
      <c r="A5" s="157" t="s">
        <v>2004</v>
      </c>
      <c r="B5" s="20">
        <v>44617</v>
      </c>
      <c r="C5" s="2">
        <v>5</v>
      </c>
      <c r="D5" s="159">
        <v>10</v>
      </c>
    </row>
    <row r="6" spans="1:10" ht="14.6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4.6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4.25"/>
  <cols>
    <col min="1" max="1" width="10" bestFit="1" customWidth="1"/>
    <col min="2" max="2" width="8.8632812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4.25"/>
  <cols>
    <col min="1" max="1" width="10" bestFit="1" customWidth="1"/>
    <col min="2" max="2" width="19.73046875" bestFit="1" customWidth="1"/>
    <col min="3" max="3" width="10.8632812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4.25"/>
  <cols>
    <col min="1" max="1" width="10" bestFit="1" customWidth="1"/>
    <col min="2" max="2" width="12.3984375" bestFit="1" customWidth="1"/>
    <col min="3" max="3" width="12.132812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4.25"/>
  <cols>
    <col min="1" max="1" width="10.1328125" customWidth="1"/>
    <col min="2" max="2" width="10.1328125" bestFit="1" customWidth="1"/>
    <col min="7" max="7" width="10.59765625" bestFit="1" customWidth="1"/>
    <col min="9" max="9" width="10.59765625" bestFit="1" customWidth="1"/>
    <col min="11" max="11" width="22.59765625" bestFit="1" customWidth="1"/>
    <col min="12" max="12" width="8.86328125" customWidth="1"/>
  </cols>
  <sheetData>
    <row r="1" spans="1:12">
      <c r="A1" s="471" t="s">
        <v>4188</v>
      </c>
      <c r="B1" s="472"/>
      <c r="D1" s="421" t="s">
        <v>4184</v>
      </c>
      <c r="E1" s="422"/>
      <c r="F1" s="422"/>
      <c r="G1" s="422"/>
      <c r="H1" s="422"/>
      <c r="I1" s="423"/>
      <c r="K1" s="421" t="s">
        <v>4173</v>
      </c>
      <c r="L1" s="423"/>
    </row>
    <row r="2" spans="1:12">
      <c r="A2" s="180" t="s">
        <v>4179</v>
      </c>
      <c r="B2" s="181" t="s">
        <v>4180</v>
      </c>
      <c r="D2" s="155"/>
      <c r="I2" s="156"/>
      <c r="K2" s="272" t="s">
        <v>4187</v>
      </c>
      <c r="L2" s="273" t="s">
        <v>4186</v>
      </c>
    </row>
    <row r="3" spans="1:12" ht="14.6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4.65" thickBot="1">
      <c r="A12" s="174">
        <v>48</v>
      </c>
      <c r="B12" s="168">
        <v>30</v>
      </c>
      <c r="D12" s="155"/>
      <c r="G12" s="2">
        <f t="shared" si="0"/>
        <v>56.5</v>
      </c>
      <c r="H12" s="2">
        <f t="shared" si="1"/>
        <v>21.799999999999997</v>
      </c>
      <c r="I12" s="159">
        <f t="shared" si="2"/>
        <v>1231.6999999999998</v>
      </c>
    </row>
    <row r="13" spans="1:12" ht="14.6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4.25"/>
  <cols>
    <col min="2" max="2" width="10" bestFit="1" customWidth="1"/>
    <col min="5" max="5" width="19.1328125" bestFit="1" customWidth="1"/>
    <col min="6" max="6" width="35.86328125" bestFit="1" customWidth="1"/>
    <col min="7" max="7" width="32.3984375" bestFit="1" customWidth="1"/>
  </cols>
  <sheetData>
    <row r="1" spans="1:7">
      <c r="A1" s="411" t="s">
        <v>4194</v>
      </c>
      <c r="B1" s="379"/>
      <c r="C1" s="379"/>
      <c r="E1" s="380" t="s">
        <v>4191</v>
      </c>
      <c r="F1" s="380"/>
      <c r="G1" s="380"/>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4.25"/>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4.25"/>
  <cols>
    <col min="1" max="1" width="11.59765625" bestFit="1" customWidth="1"/>
    <col min="2" max="2" width="64.132812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57">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4.25"/>
  <cols>
    <col min="1" max="1" width="10" bestFit="1" customWidth="1"/>
    <col min="2" max="5" width="9.73046875" bestFit="1" customWidth="1"/>
    <col min="6" max="6" width="11.59765625" bestFit="1" customWidth="1"/>
    <col min="7" max="8" width="9.73046875" bestFit="1" customWidth="1"/>
    <col min="9" max="9" width="7.265625" bestFit="1" customWidth="1"/>
    <col min="10" max="10" width="15.2656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4.25"/>
  <cols>
    <col min="1" max="1" width="21.73046875" bestFit="1" customWidth="1"/>
    <col min="2" max="6" width="14.2656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4.25"/>
  <cols>
    <col min="1" max="1" width="14.86328125" bestFit="1" customWidth="1"/>
    <col min="2" max="2" width="22.2656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4.25"/>
  <cols>
    <col min="1" max="1" width="18.1328125" bestFit="1" customWidth="1"/>
    <col min="2" max="2" width="18.86328125" bestFit="1" customWidth="1"/>
    <col min="3" max="3" width="19.1328125" bestFit="1" customWidth="1"/>
    <col min="4" max="4" width="19.59765625" bestFit="1" customWidth="1"/>
    <col min="5" max="5" width="19.1328125" bestFit="1" customWidth="1"/>
    <col min="6" max="6" width="19.8632812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28.5">
      <c r="A8" s="8" t="s">
        <v>4235</v>
      </c>
      <c r="B8" s="45">
        <v>30</v>
      </c>
    </row>
    <row r="9" spans="1:7" ht="42.75">
      <c r="A9" s="8" t="s">
        <v>4237</v>
      </c>
      <c r="B9" s="45">
        <f>COUNTA(B2:G6)</f>
        <v>17</v>
      </c>
    </row>
    <row r="10" spans="1:7" ht="42.75">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4.25"/>
  <cols>
    <col min="1" max="1" width="17.86328125" customWidth="1"/>
    <col min="2" max="2" width="64.132812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28.5">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4.25"/>
  <cols>
    <col min="1" max="1" width="18.86328125" bestFit="1" customWidth="1"/>
    <col min="2" max="5" width="18.398437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4.25"/>
  <cols>
    <col min="1" max="1" width="10.59765625" bestFit="1" customWidth="1"/>
    <col min="2" max="3" width="29" bestFit="1" customWidth="1"/>
    <col min="4" max="4" width="5.1328125" bestFit="1" customWidth="1"/>
  </cols>
  <sheetData>
    <row r="1" spans="1:4">
      <c r="A1" s="421" t="s">
        <v>4267</v>
      </c>
      <c r="B1" s="422"/>
      <c r="C1" s="422"/>
      <c r="D1" s="423"/>
    </row>
    <row r="2" spans="1:4">
      <c r="A2" s="155"/>
      <c r="B2" s="435" t="s">
        <v>4281</v>
      </c>
      <c r="C2" s="435"/>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4.6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4.25"/>
  <cols>
    <col min="1" max="1" width="21.59765625" bestFit="1" customWidth="1"/>
    <col min="2" max="3" width="29" bestFit="1" customWidth="1"/>
    <col min="4" max="4" width="11.86328125" bestFit="1" customWidth="1"/>
    <col min="5" max="5" width="1" customWidth="1"/>
    <col min="6" max="6" width="21.59765625" bestFit="1" customWidth="1"/>
    <col min="7" max="7" width="36.73046875" customWidth="1"/>
    <col min="8" max="8" width="31.1328125" customWidth="1"/>
    <col min="9" max="9" width="39.59765625" customWidth="1"/>
  </cols>
  <sheetData>
    <row r="1" spans="1:9">
      <c r="A1" s="421" t="s">
        <v>4267</v>
      </c>
      <c r="B1" s="422"/>
      <c r="C1" s="422"/>
      <c r="D1" s="423"/>
    </row>
    <row r="2" spans="1:9">
      <c r="A2" s="155"/>
      <c r="B2" s="435" t="s">
        <v>4281</v>
      </c>
      <c r="C2" s="435"/>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4.65" thickBot="1">
      <c r="A9" s="180" t="s">
        <v>4257</v>
      </c>
      <c r="B9" s="7">
        <f>SUM(B4:B8)</f>
        <v>480</v>
      </c>
      <c r="C9" s="7">
        <f>SUM(C4:C8)</f>
        <v>520</v>
      </c>
      <c r="D9" s="178">
        <f t="shared" si="0"/>
        <v>1000</v>
      </c>
    </row>
    <row r="10" spans="1:9">
      <c r="A10" s="155"/>
      <c r="D10" s="156"/>
      <c r="F10" s="421" t="s">
        <v>605</v>
      </c>
      <c r="G10" s="422"/>
      <c r="H10" s="422"/>
      <c r="I10" s="423"/>
    </row>
    <row r="11" spans="1:9">
      <c r="A11" s="155"/>
      <c r="B11" s="473" t="s">
        <v>4282</v>
      </c>
      <c r="C11" s="473"/>
      <c r="D11" s="156"/>
      <c r="F11" s="155"/>
      <c r="G11" s="473" t="s">
        <v>4282</v>
      </c>
      <c r="H11" s="473"/>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5.75">
      <c r="A19" s="155"/>
      <c r="B19" s="473" t="s">
        <v>4258</v>
      </c>
      <c r="C19" s="473"/>
      <c r="D19" s="156"/>
      <c r="F19" s="155"/>
      <c r="G19" s="473" t="s">
        <v>4258</v>
      </c>
      <c r="H19" s="473"/>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28.5">
      <c r="A27" s="180" t="s">
        <v>4300</v>
      </c>
      <c r="B27" s="47">
        <f>SUM(B21:C25)</f>
        <v>21.345495319953532</v>
      </c>
      <c r="C27" s="280" t="s">
        <v>4268</v>
      </c>
      <c r="D27" s="281">
        <f>(5-1)*(2-1)</f>
        <v>4</v>
      </c>
      <c r="F27" s="180" t="s">
        <v>4300</v>
      </c>
      <c r="G27" s="124" t="s">
        <v>4284</v>
      </c>
      <c r="H27" s="282" t="s">
        <v>4268</v>
      </c>
      <c r="I27" s="283" t="s">
        <v>4285</v>
      </c>
    </row>
    <row r="28" spans="1:9" ht="14.6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4.25"/>
  <cols>
    <col min="1" max="1" width="20.73046875" bestFit="1" customWidth="1"/>
    <col min="2" max="2" width="15.1328125" customWidth="1"/>
    <col min="3" max="3" width="16.3984375" customWidth="1"/>
    <col min="4" max="4" width="28.59765625" bestFit="1" customWidth="1"/>
    <col min="6" max="6" width="20.73046875" bestFit="1" customWidth="1"/>
  </cols>
  <sheetData>
    <row r="1" spans="1:4" ht="16.5" customHeight="1">
      <c r="A1" s="380" t="s">
        <v>856</v>
      </c>
      <c r="B1" s="380" t="s">
        <v>4291</v>
      </c>
      <c r="C1" s="380"/>
      <c r="D1" s="380" t="s">
        <v>4252</v>
      </c>
    </row>
    <row r="2" spans="1:4">
      <c r="A2" s="380"/>
      <c r="B2" s="1" t="s">
        <v>4250</v>
      </c>
      <c r="C2" s="1" t="s">
        <v>4251</v>
      </c>
      <c r="D2" s="380"/>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5.75">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4.25"/>
  <cols>
    <col min="1" max="1" width="21.86328125" bestFit="1" customWidth="1"/>
    <col min="2" max="4" width="8.86328125" customWidth="1"/>
    <col min="6" max="6" width="21.86328125" bestFit="1" customWidth="1"/>
    <col min="7" max="9" width="10.86328125" customWidth="1"/>
    <col min="10" max="10" width="3" customWidth="1"/>
    <col min="11" max="11" width="21.59765625" bestFit="1" customWidth="1"/>
    <col min="12" max="12" width="11.86328125" bestFit="1" customWidth="1"/>
  </cols>
  <sheetData>
    <row r="1" spans="1:12">
      <c r="B1" s="379" t="s">
        <v>4281</v>
      </c>
      <c r="C1" s="379"/>
      <c r="D1" s="379"/>
    </row>
    <row r="2" spans="1:12">
      <c r="A2" s="380" t="s">
        <v>4298</v>
      </c>
      <c r="B2" s="382" t="s">
        <v>4299</v>
      </c>
      <c r="C2" s="383"/>
      <c r="D2" s="384"/>
      <c r="E2" s="473" t="s">
        <v>4257</v>
      </c>
    </row>
    <row r="3" spans="1:12">
      <c r="A3" s="380"/>
      <c r="B3" s="1" t="s">
        <v>4295</v>
      </c>
      <c r="C3" s="1" t="s">
        <v>4294</v>
      </c>
      <c r="D3" s="1" t="s">
        <v>3906</v>
      </c>
      <c r="E3" s="435"/>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5.75">
      <c r="A11" s="155"/>
      <c r="B11" s="380" t="s">
        <v>4282</v>
      </c>
      <c r="C11" s="380"/>
      <c r="D11" s="380"/>
      <c r="F11" s="379" t="s">
        <v>4258</v>
      </c>
      <c r="G11" s="379"/>
      <c r="H11" s="379"/>
      <c r="I11" s="379"/>
      <c r="K11" s="1" t="s">
        <v>4300</v>
      </c>
      <c r="L11" s="47">
        <f>SUM(G14:I18)</f>
        <v>24.361958131242847</v>
      </c>
    </row>
    <row r="12" spans="1:12" ht="28.5">
      <c r="A12" s="380" t="s">
        <v>4298</v>
      </c>
      <c r="B12" s="382" t="s">
        <v>4299</v>
      </c>
      <c r="C12" s="383"/>
      <c r="D12" s="384"/>
      <c r="F12" s="380" t="s">
        <v>4298</v>
      </c>
      <c r="G12" s="382" t="s">
        <v>4299</v>
      </c>
      <c r="H12" s="383"/>
      <c r="I12" s="384"/>
      <c r="K12" s="8" t="s">
        <v>4268</v>
      </c>
      <c r="L12" s="47">
        <f>(5-1)*(3-1)</f>
        <v>8</v>
      </c>
    </row>
    <row r="13" spans="1:12">
      <c r="A13" s="380"/>
      <c r="B13" s="1" t="s">
        <v>4295</v>
      </c>
      <c r="C13" s="1" t="s">
        <v>4294</v>
      </c>
      <c r="D13" s="1" t="s">
        <v>3906</v>
      </c>
      <c r="F13" s="380"/>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G12:I12"/>
    <mergeCell ref="F11:I11"/>
    <mergeCell ref="A2:A3"/>
    <mergeCell ref="E2:E3"/>
    <mergeCell ref="B2:D2"/>
    <mergeCell ref="B1:D1"/>
    <mergeCell ref="A12:A13"/>
    <mergeCell ref="B12:D12"/>
    <mergeCell ref="B11:D11"/>
    <mergeCell ref="F12:F13"/>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4.25"/>
  <cols>
    <col min="1" max="1" width="20.73046875" bestFit="1" customWidth="1"/>
    <col min="2" max="3" width="13.1328125" customWidth="1"/>
    <col min="4" max="4" width="28.73046875" bestFit="1" customWidth="1"/>
  </cols>
  <sheetData>
    <row r="1" spans="1:4">
      <c r="A1" s="380" t="s">
        <v>32</v>
      </c>
      <c r="B1" s="380" t="s">
        <v>4302</v>
      </c>
      <c r="C1" s="380"/>
      <c r="D1" s="380" t="s">
        <v>4252</v>
      </c>
    </row>
    <row r="2" spans="1:4">
      <c r="A2" s="380"/>
      <c r="B2" s="1" t="s">
        <v>4250</v>
      </c>
      <c r="C2" s="1" t="s">
        <v>4251</v>
      </c>
      <c r="D2" s="380"/>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5.75">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4.25"/>
  <cols>
    <col min="2" max="2" width="22" bestFit="1" customWidth="1"/>
    <col min="3" max="3" width="27.132812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4.25"/>
  <cols>
    <col min="1" max="1" width="9.398437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4.25"/>
  <cols>
    <col min="1" max="1" width="11.265625" bestFit="1" customWidth="1"/>
    <col min="2" max="6" width="10.3984375" bestFit="1" customWidth="1"/>
    <col min="7" max="7" width="47.398437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4.25"/>
  <cols>
    <col min="1" max="1" width="11.265625" bestFit="1" customWidth="1"/>
    <col min="2" max="2" width="16.265625" bestFit="1" customWidth="1"/>
    <col min="3" max="3" width="58.132812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4.25"/>
  <cols>
    <col min="1" max="1" width="30.265625" bestFit="1" customWidth="1"/>
    <col min="2" max="2" width="11.59765625" customWidth="1"/>
  </cols>
  <sheetData>
    <row r="1" spans="1:2">
      <c r="A1" s="411" t="s">
        <v>4328</v>
      </c>
      <c r="B1" s="379"/>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4.25"/>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4.25"/>
  <cols>
    <col min="2" max="2" width="21.59765625" bestFit="1" customWidth="1"/>
    <col min="3" max="3" width="26.5976562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4.25"/>
  <cols>
    <col min="1" max="1" width="9.3984375" bestFit="1" customWidth="1"/>
    <col min="2" max="2" width="38.73046875" bestFit="1" customWidth="1"/>
    <col min="3" max="3" width="21.5976562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4.25"/>
  <cols>
    <col min="1" max="1" width="7.1328125" bestFit="1" customWidth="1"/>
    <col min="2" max="5" width="14.59765625" bestFit="1" customWidth="1"/>
    <col min="6" max="6" width="48.7304687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4.25"/>
  <cols>
    <col min="2" max="2" width="34.8632812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4.25"/>
  <cols>
    <col min="1" max="1" width="32.86328125" bestFit="1" customWidth="1"/>
    <col min="2" max="4" width="7.86328125" bestFit="1" customWidth="1"/>
    <col min="5" max="5" width="8" bestFit="1" customWidth="1"/>
    <col min="6" max="6" width="7.73046875" bestFit="1" customWidth="1"/>
  </cols>
  <sheetData>
    <row r="1" spans="1:6">
      <c r="B1" s="411" t="s">
        <v>4359</v>
      </c>
      <c r="C1" s="379"/>
      <c r="D1" s="379"/>
      <c r="E1" s="379"/>
      <c r="F1" s="379"/>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4.25"/>
  <cols>
    <col min="1" max="1" width="32.86328125" bestFit="1" customWidth="1"/>
    <col min="2" max="4" width="7.86328125" bestFit="1" customWidth="1"/>
    <col min="5" max="5" width="8" bestFit="1" customWidth="1"/>
    <col min="6" max="6" width="7.73046875" bestFit="1" customWidth="1"/>
  </cols>
  <sheetData>
    <row r="1" spans="1:6">
      <c r="B1" s="411" t="s">
        <v>4359</v>
      </c>
      <c r="C1" s="379"/>
      <c r="D1" s="379"/>
      <c r="E1" s="379"/>
      <c r="F1" s="379"/>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4.25"/>
  <cols>
    <col min="1" max="1" width="9.1328125" bestFit="1" customWidth="1"/>
    <col min="2" max="2" width="21.5976562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4.25"/>
  <cols>
    <col min="1" max="1" width="20.86328125" bestFit="1" customWidth="1"/>
    <col min="2" max="2" width="11.7304687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28.5">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4.25"/>
  <cols>
    <col min="1" max="1" width="20.8632812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28.5">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4.25"/>
  <cols>
    <col min="1" max="1" width="16.73046875" bestFit="1" customWidth="1"/>
    <col min="2" max="2" width="11.3984375" bestFit="1" customWidth="1"/>
    <col min="4" max="4" width="20.5976562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4.25"/>
  <cols>
    <col min="1" max="1" width="16.73046875" bestFit="1" customWidth="1"/>
    <col min="2" max="2" width="11.1328125" bestFit="1" customWidth="1"/>
    <col min="3" max="4" width="10.398437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28.5">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4.25"/>
  <cols>
    <col min="1" max="1" width="17.1328125" bestFit="1" customWidth="1"/>
    <col min="2" max="2" width="11.132812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28.5">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4.25"/>
  <cols>
    <col min="1" max="1" width="17.1328125" bestFit="1" customWidth="1"/>
    <col min="2" max="2" width="11.132812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4.25"/>
  <cols>
    <col min="1" max="1" width="20.8632812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28.5">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4.25"/>
  <cols>
    <col min="1" max="1" width="9.3984375" bestFit="1" customWidth="1"/>
    <col min="3" max="3" width="33.1328125" bestFit="1" customWidth="1"/>
    <col min="4" max="4" width="14.3984375" bestFit="1" customWidth="1"/>
    <col min="5" max="5" width="32.398437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4.25"/>
  <cols>
    <col min="1" max="1" width="6.59765625" bestFit="1" customWidth="1"/>
    <col min="2" max="2" width="15.265625" bestFit="1" customWidth="1"/>
    <col min="3" max="3" width="16.86328125" bestFit="1" customWidth="1"/>
    <col min="4" max="4" width="15.132812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4.25"/>
  <cols>
    <col min="1" max="1" width="30.59765625" bestFit="1" customWidth="1"/>
    <col min="2" max="2" width="15.86328125" customWidth="1"/>
    <col min="3" max="3" width="8.7304687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4.25"/>
  <cols>
    <col min="1" max="1" width="8.73046875" customWidth="1"/>
    <col min="2" max="2" width="15.3984375" bestFit="1" customWidth="1"/>
    <col min="3" max="3" width="14.1328125" bestFit="1" customWidth="1"/>
    <col min="4" max="4" width="19.1328125" bestFit="1" customWidth="1"/>
    <col min="6" max="6" width="8.73046875" customWidth="1"/>
    <col min="7" max="7" width="37.3984375" customWidth="1"/>
  </cols>
  <sheetData>
    <row r="1" spans="1:7">
      <c r="A1" s="1" t="s">
        <v>130</v>
      </c>
      <c r="B1" s="1" t="s">
        <v>4424</v>
      </c>
      <c r="C1" s="1" t="s">
        <v>4418</v>
      </c>
      <c r="D1" s="1" t="s">
        <v>4425</v>
      </c>
      <c r="F1" s="380" t="s">
        <v>4426</v>
      </c>
      <c r="G1" s="380"/>
    </row>
    <row r="2" spans="1:7">
      <c r="A2" s="2" t="s">
        <v>4419</v>
      </c>
      <c r="B2" s="53">
        <v>1000</v>
      </c>
      <c r="C2" s="53">
        <v>800</v>
      </c>
      <c r="D2" s="67">
        <f>B2-C2</f>
        <v>200</v>
      </c>
      <c r="F2" s="474">
        <v>100</v>
      </c>
      <c r="G2" s="474"/>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4.25"/>
  <cols>
    <col min="1" max="1" width="26.59765625" bestFit="1" customWidth="1"/>
    <col min="2" max="2" width="14.86328125" bestFit="1" customWidth="1"/>
    <col min="3" max="3" width="21.132812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4.25"/>
  <cols>
    <col min="1" max="1" width="9.86328125" bestFit="1" customWidth="1"/>
    <col min="2" max="2" width="18.1328125" bestFit="1" customWidth="1"/>
    <col min="3" max="3" width="26.132812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t="e">
        <f>DATEVALUE("3/21/2022")-DATEVALUE("3/11/2022")+DATEVALUE("3/15/2022")</f>
        <v>#VALUE!</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4.25"/>
  <cols>
    <col min="1" max="1" width="10.3984375" bestFit="1" customWidth="1"/>
    <col min="2" max="2" width="11.265625" bestFit="1" customWidth="1"/>
    <col min="3" max="3" width="11.1328125" bestFit="1" customWidth="1"/>
    <col min="4" max="4" width="23.132812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4.25"/>
  <cols>
    <col min="6" max="8" width="10.86328125" customWidth="1"/>
  </cols>
  <sheetData>
    <row r="1" spans="2:8">
      <c r="B1" s="379" t="s">
        <v>4443</v>
      </c>
      <c r="C1" s="379"/>
      <c r="D1" s="379"/>
    </row>
    <row r="2" spans="2:8">
      <c r="B2" s="2">
        <v>5</v>
      </c>
      <c r="C2" s="2">
        <v>10</v>
      </c>
      <c r="D2" s="2">
        <v>15</v>
      </c>
    </row>
    <row r="3" spans="2:8">
      <c r="B3" s="2">
        <v>20</v>
      </c>
      <c r="C3" s="2">
        <v>25</v>
      </c>
      <c r="D3" s="2">
        <v>30</v>
      </c>
      <c r="F3" s="379" t="s">
        <v>4445</v>
      </c>
      <c r="G3" s="379"/>
      <c r="H3" s="379"/>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79" t="s">
        <v>4444</v>
      </c>
      <c r="C6" s="379"/>
      <c r="D6" s="379"/>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4.25"/>
  <cols>
    <col min="1" max="1" width="8.73046875" customWidth="1"/>
    <col min="2" max="2" width="15.59765625" bestFit="1" customWidth="1"/>
    <col min="3" max="3" width="14.59765625" bestFit="1" customWidth="1"/>
    <col min="4" max="4" width="12.5976562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4.25"/>
  <cols>
    <col min="2" max="2" width="15.1328125" bestFit="1" customWidth="1"/>
    <col min="3" max="3" width="32.1328125" bestFit="1" customWidth="1"/>
    <col min="4" max="4" width="42.2656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4.25"/>
  <cols>
    <col min="1" max="1" width="18.86328125" customWidth="1"/>
    <col min="2" max="2" width="11.1328125" bestFit="1" customWidth="1"/>
    <col min="6" max="6" width="18.86328125" customWidth="1"/>
    <col min="7" max="7" width="11.132812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4.25"/>
  <cols>
    <col min="1" max="2" width="7" bestFit="1" customWidth="1"/>
    <col min="3" max="3" width="43.3984375" bestFit="1" customWidth="1"/>
    <col min="4" max="4" width="14.73046875" customWidth="1"/>
    <col min="5" max="5" width="41.8632812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5.75">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4.25"/>
  <cols>
    <col min="3" max="3" width="34" bestFit="1" customWidth="1"/>
    <col min="4" max="4" width="14.398437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4.25"/>
  <cols>
    <col min="1" max="2" width="7" bestFit="1" customWidth="1"/>
    <col min="4" max="5" width="25.132812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4.25"/>
  <cols>
    <col min="1" max="1" width="14.59765625" bestFit="1" customWidth="1"/>
    <col min="2" max="2" width="17" bestFit="1" customWidth="1"/>
    <col min="3" max="3" width="36.86328125" bestFit="1" customWidth="1"/>
    <col min="4" max="4" width="16.2656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4.25"/>
  <cols>
    <col min="1" max="1" width="6.59765625" bestFit="1" customWidth="1"/>
    <col min="2" max="2" width="25.86328125" bestFit="1" customWidth="1"/>
    <col min="4" max="4" width="34.86328125" bestFit="1" customWidth="1"/>
    <col min="6" max="6" width="23.5976562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4.25"/>
  <cols>
    <col min="1" max="1" width="6.59765625" bestFit="1" customWidth="1"/>
    <col min="2" max="2" width="25.86328125" bestFit="1" customWidth="1"/>
    <col min="3" max="3" width="23.73046875" bestFit="1" customWidth="1"/>
    <col min="5" max="5" width="13.132812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4.25"/>
  <cols>
    <col min="1" max="1" width="10.1328125" bestFit="1" customWidth="1"/>
    <col min="2" max="2" width="12" bestFit="1" customWidth="1"/>
    <col min="3" max="3" width="13.1328125" bestFit="1" customWidth="1"/>
  </cols>
  <sheetData>
    <row r="1" spans="1:3">
      <c r="A1" s="1" t="s">
        <v>4497</v>
      </c>
      <c r="B1" s="1" t="s">
        <v>4498</v>
      </c>
      <c r="C1" s="1" t="s">
        <v>4499</v>
      </c>
    </row>
    <row r="2" spans="1:3">
      <c r="A2" s="412">
        <v>725</v>
      </c>
      <c r="B2" s="82">
        <v>0.85</v>
      </c>
      <c r="C2" s="7">
        <f>ROUNDUP(A2/B2,0)</f>
        <v>853</v>
      </c>
    </row>
    <row r="3" spans="1:3">
      <c r="A3" s="412"/>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4.25"/>
  <cols>
    <col min="1" max="1" width="7.1328125" bestFit="1" customWidth="1"/>
    <col min="2" max="2" width="18.3984375" bestFit="1" customWidth="1"/>
    <col min="3" max="3" width="24.3984375" bestFit="1" customWidth="1"/>
    <col min="4" max="4" width="20.8632812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4.25"/>
  <cols>
    <col min="1" max="1" width="4.86328125" bestFit="1" customWidth="1"/>
    <col min="2" max="2" width="19.59765625" bestFit="1" customWidth="1"/>
    <col min="3" max="3" width="16.398437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4.25"/>
  <cols>
    <col min="1" max="1" width="15.73046875" bestFit="1" customWidth="1"/>
    <col min="2" max="2" width="19.3984375" bestFit="1" customWidth="1"/>
    <col min="3" max="4" width="19.265625" bestFit="1" customWidth="1"/>
    <col min="5" max="5" width="19.3984375" bestFit="1" customWidth="1"/>
    <col min="6" max="6" width="19.132812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4.25"/>
  <cols>
    <col min="1" max="1" width="20.3984375" bestFit="1" customWidth="1"/>
    <col min="2" max="2" width="31.59765625" bestFit="1" customWidth="1"/>
    <col min="3" max="3" width="17" customWidth="1"/>
    <col min="4" max="4" width="28.2656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4.25"/>
  <cols>
    <col min="1" max="1" width="46.1328125" bestFit="1" customWidth="1"/>
    <col min="2" max="2" width="56.265625" bestFit="1" customWidth="1"/>
    <col min="3" max="3" width="26.1328125" bestFit="1" customWidth="1"/>
    <col min="4" max="4" width="39.5976562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4.25"/>
  <cols>
    <col min="1" max="1" width="26" bestFit="1" customWidth="1"/>
    <col min="2" max="2" width="20.8632812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4.25"/>
  <cols>
    <col min="1" max="1" width="8.73046875" customWidth="1"/>
    <col min="2" max="2" width="16.59765625" bestFit="1" customWidth="1"/>
    <col min="3" max="3" width="15.3984375" bestFit="1" customWidth="1"/>
    <col min="4" max="4" width="19.8632812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4.25"/>
  <cols>
    <col min="1" max="1" width="8.73046875" customWidth="1"/>
    <col min="2" max="2" width="34.86328125" bestFit="1" customWidth="1"/>
    <col min="3" max="3" width="52.73046875" bestFit="1" customWidth="1"/>
    <col min="4" max="4" width="13.8632812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4.25"/>
  <cols>
    <col min="1" max="1" width="16.1328125" bestFit="1" customWidth="1"/>
    <col min="2" max="2" width="38.59765625" bestFit="1" customWidth="1"/>
    <col min="3" max="3" width="36.8632812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4.25"/>
  <cols>
    <col min="1" max="1" width="19.59765625" bestFit="1" customWidth="1"/>
    <col min="2" max="2" width="20.132812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4.25"/>
  <cols>
    <col min="1" max="1" width="22.1328125" bestFit="1" customWidth="1"/>
    <col min="2" max="2" width="23.73046875" bestFit="1" customWidth="1"/>
    <col min="3" max="3" width="21.3984375" bestFit="1" customWidth="1"/>
    <col min="4" max="4" width="34.8632812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t="e">
        <f>A5*1</f>
        <v>#VALUE!</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4.25"/>
  <cols>
    <col min="1" max="1" width="11.3984375" bestFit="1" customWidth="1"/>
    <col min="2" max="2" width="21.59765625" bestFit="1" customWidth="1"/>
    <col min="3" max="3" width="23.73046875" bestFit="1" customWidth="1"/>
    <col min="4" max="4" width="21.5976562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44806</v>
      </c>
      <c r="D3" s="2" t="s">
        <v>670</v>
      </c>
    </row>
    <row r="4" spans="1:4">
      <c r="A4" s="299" t="s">
        <v>4614</v>
      </c>
      <c r="B4" s="2" t="s">
        <v>1633</v>
      </c>
      <c r="C4" s="300" t="e">
        <f>VALUE(A4)</f>
        <v>#VALUE!</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4.25"/>
  <cols>
    <col min="1" max="1" width="15.1328125" bestFit="1" customWidth="1"/>
    <col min="2" max="2" width="26.7304687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4.25"/>
  <cols>
    <col min="1" max="1" width="25.86328125" bestFit="1" customWidth="1"/>
    <col min="2" max="2" width="23.1328125" bestFit="1" customWidth="1"/>
    <col min="4" max="4" width="19.7304687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4.25"/>
  <cols>
    <col min="1" max="1" width="28.86328125" bestFit="1" customWidth="1"/>
    <col min="2" max="2" width="14.265625" bestFit="1" customWidth="1"/>
    <col min="3" max="3" width="11.86328125" bestFit="1" customWidth="1"/>
    <col min="4" max="4" width="6.398437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4.25"/>
  <cols>
    <col min="1" max="1" width="16.86328125" bestFit="1" customWidth="1"/>
    <col min="2" max="2" width="13.132812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t="e">
        <f>VALUE("$5,000")</f>
        <v>#VALUE!</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4.25"/>
  <cols>
    <col min="2" max="2" width="16.86328125" bestFit="1" customWidth="1"/>
    <col min="3" max="3" width="13.1328125" bestFit="1" customWidth="1"/>
  </cols>
  <sheetData>
    <row r="1" spans="2:3">
      <c r="B1" s="1" t="s">
        <v>4642</v>
      </c>
      <c r="C1" s="1" t="s">
        <v>617</v>
      </c>
    </row>
    <row r="2" spans="2:3">
      <c r="B2" s="21" t="s">
        <v>4645</v>
      </c>
      <c r="C2" s="67" t="e">
        <f>B2*1</f>
        <v>#VALUE!</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4.25"/>
  <cols>
    <col min="1" max="1" width="12.59765625" bestFit="1" customWidth="1"/>
    <col min="2" max="2" width="13.1328125" bestFit="1" customWidth="1"/>
    <col min="3" max="3" width="22.8632812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4.25"/>
  <cols>
    <col min="1" max="1" width="5.73046875" customWidth="1"/>
    <col min="2" max="2" width="21.86328125" bestFit="1" customWidth="1"/>
    <col min="3" max="3" width="18.59765625" bestFit="1" customWidth="1"/>
    <col min="4" max="4" width="34.8632812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4.25"/>
  <cols>
    <col min="2" max="2" width="9.265625" bestFit="1" customWidth="1"/>
    <col min="3" max="3" width="18.1328125" customWidth="1"/>
    <col min="4" max="4" width="17.73046875" bestFit="1" customWidth="1"/>
    <col min="5" max="5" width="38.86328125" bestFit="1" customWidth="1"/>
    <col min="6" max="6" width="30.3984375" customWidth="1"/>
  </cols>
  <sheetData>
    <row r="2" spans="2:6" ht="42.75">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4.25"/>
  <cols>
    <col min="3" max="3" width="13.59765625" bestFit="1" customWidth="1"/>
    <col min="4" max="4" width="33.86328125" bestFit="1" customWidth="1"/>
    <col min="5" max="5" width="17.8632812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4.25"/>
  <cols>
    <col min="2" max="2" width="33.86328125" bestFit="1" customWidth="1"/>
    <col min="3" max="3" width="17.8632812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4.25"/>
  <cols>
    <col min="2" max="2" width="6.59765625" bestFit="1" customWidth="1"/>
    <col min="3" max="3" width="28.59765625" bestFit="1" customWidth="1"/>
    <col min="4" max="4" width="25.3984375" bestFit="1" customWidth="1"/>
    <col min="5" max="5" width="30.86328125" bestFit="1" customWidth="1"/>
    <col min="6" max="6" width="44.132812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4.25"/>
  <cols>
    <col min="2" max="2" width="6.1328125" bestFit="1" customWidth="1"/>
    <col min="3" max="3" width="11.59765625" bestFit="1" customWidth="1"/>
    <col min="4" max="4" width="18.3984375" bestFit="1" customWidth="1"/>
    <col min="5" max="5" width="10.132812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4.25"/>
  <cols>
    <col min="2" max="2" width="25.1328125" bestFit="1" customWidth="1"/>
    <col min="3" max="3" width="10.73046875" bestFit="1" customWidth="1"/>
    <col min="4" max="4" width="9.86328125" bestFit="1" customWidth="1"/>
    <col min="5" max="5" width="49" bestFit="1" customWidth="1"/>
    <col min="6" max="6" width="23.132812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4.25"/>
  <cols>
    <col min="2" max="2" width="5.73046875" bestFit="1" customWidth="1"/>
    <col min="3" max="3" width="19.1328125" bestFit="1" customWidth="1"/>
    <col min="4" max="4" width="15.86328125" bestFit="1" customWidth="1"/>
    <col min="5" max="5" width="20.132812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4.25"/>
  <cols>
    <col min="2" max="2" width="6.86328125" bestFit="1" customWidth="1"/>
    <col min="3" max="3" width="13.59765625" bestFit="1" customWidth="1"/>
    <col min="4" max="4" width="12.5976562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4.25"/>
  <cols>
    <col min="1" max="1" width="6.59765625" bestFit="1" customWidth="1"/>
    <col min="2" max="2" width="17.59765625" bestFit="1" customWidth="1"/>
    <col min="3" max="3" width="14.265625" bestFit="1" customWidth="1"/>
    <col min="4" max="4" width="27.132812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4.25"/>
  <cols>
    <col min="1" max="1" width="24" bestFit="1" customWidth="1"/>
    <col min="3" max="3" width="52.1328125" bestFit="1" customWidth="1"/>
    <col min="5" max="5" width="29.5976562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28.5">
      <c r="A4" s="306" t="s">
        <v>4708</v>
      </c>
      <c r="B4" s="46">
        <v>24</v>
      </c>
      <c r="C4" s="46" t="s">
        <v>4744</v>
      </c>
      <c r="D4" s="307" t="e">
        <f>EDATE(A4,B4)</f>
        <v>#VALUE!</v>
      </c>
      <c r="E4" s="308" t="s">
        <v>1924</v>
      </c>
    </row>
    <row r="5" spans="1:5">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4.25"/>
  <cols>
    <col min="1" max="1" width="28.3984375" bestFit="1" customWidth="1"/>
    <col min="2" max="2" width="8.398437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4.25"/>
  <cols>
    <col min="1" max="1" width="41.3984375" bestFit="1" customWidth="1"/>
    <col min="2" max="2" width="9.86328125" bestFit="1" customWidth="1"/>
    <col min="3" max="3" width="10.59765625" bestFit="1" customWidth="1"/>
    <col min="4" max="4" width="13.132812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4.25"/>
  <cols>
    <col min="1" max="1" width="12" bestFit="1" customWidth="1"/>
    <col min="2" max="2" width="11.3984375" bestFit="1" customWidth="1"/>
    <col min="3" max="3" width="11.59765625" bestFit="1" customWidth="1"/>
    <col min="4" max="4" width="17.265625" bestFit="1" customWidth="1"/>
    <col min="5" max="5" width="39.73046875" bestFit="1" customWidth="1"/>
  </cols>
  <sheetData>
    <row r="1" spans="1:5">
      <c r="A1" s="1" t="s">
        <v>1122</v>
      </c>
      <c r="B1" s="1" t="s">
        <v>2251</v>
      </c>
      <c r="C1" s="1" t="s">
        <v>1644</v>
      </c>
      <c r="D1" s="1" t="s">
        <v>4725</v>
      </c>
      <c r="E1" s="1" t="s">
        <v>4709</v>
      </c>
    </row>
    <row r="2" spans="1:5" ht="15.75">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4.25"/>
  <cols>
    <col min="1" max="1" width="9.3984375" bestFit="1" customWidth="1"/>
    <col min="2" max="2" width="13.1328125" bestFit="1" customWidth="1"/>
    <col min="3" max="3" width="9.86328125" bestFit="1" customWidth="1"/>
    <col min="4" max="4" width="15.73046875" bestFit="1" customWidth="1"/>
    <col min="5" max="6" width="16.398437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4.25"/>
  <cols>
    <col min="1" max="2" width="7" bestFit="1" customWidth="1"/>
    <col min="3" max="3" width="18.86328125" bestFit="1" customWidth="1"/>
    <col min="4" max="4" width="7.8632812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4.25"/>
  <cols>
    <col min="1" max="1" width="15.86328125" bestFit="1" customWidth="1"/>
    <col min="2" max="2" width="15" bestFit="1" customWidth="1"/>
    <col min="3" max="3" width="14.8632812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4.25"/>
  <cols>
    <col min="1" max="2" width="23.132812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4.25"/>
  <cols>
    <col min="1" max="1" width="34" bestFit="1" customWidth="1"/>
    <col min="2" max="2" width="33.86328125" bestFit="1" customWidth="1"/>
    <col min="5" max="5" width="39.3984375" bestFit="1" customWidth="1"/>
    <col min="6" max="6" width="32.86328125" bestFit="1" customWidth="1"/>
    <col min="7" max="7" width="32.73046875" bestFit="1" customWidth="1"/>
  </cols>
  <sheetData>
    <row r="1" spans="1:7">
      <c r="A1" s="1" t="s">
        <v>4749</v>
      </c>
      <c r="B1" s="1" t="s">
        <v>4750</v>
      </c>
      <c r="E1" t="s">
        <v>4751</v>
      </c>
    </row>
    <row r="2" spans="1:7" ht="14.6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4.6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4.25"/>
  <cols>
    <col min="1" max="1" width="32.73046875" bestFit="1" customWidth="1"/>
    <col min="2" max="2" width="32.5976562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4.25"/>
  <cols>
    <col min="1" max="1" width="44.86328125" bestFit="1" customWidth="1"/>
    <col min="2" max="2" width="12" bestFit="1" customWidth="1"/>
    <col min="3" max="3" width="5.59765625" bestFit="1" customWidth="1"/>
  </cols>
  <sheetData>
    <row r="1" spans="1:3">
      <c r="A1" s="411" t="s">
        <v>3750</v>
      </c>
      <c r="B1" s="379"/>
      <c r="C1" s="379"/>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4.25"/>
  <cols>
    <col min="1" max="1" width="9.86328125" bestFit="1" customWidth="1"/>
    <col min="2" max="2" width="20.265625" bestFit="1" customWidth="1"/>
    <col min="4" max="4" width="26.1328125" bestFit="1" customWidth="1"/>
    <col min="5" max="5" width="9.73046875" bestFit="1" customWidth="1"/>
    <col min="6" max="6" width="11.86328125" bestFit="1" customWidth="1"/>
  </cols>
  <sheetData>
    <row r="1" spans="1:14">
      <c r="A1" s="475" t="s">
        <v>4763</v>
      </c>
      <c r="B1" s="476"/>
      <c r="D1" s="477" t="s">
        <v>4760</v>
      </c>
      <c r="E1" s="478"/>
      <c r="F1" s="479"/>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5.75">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4.25"/>
  <cols>
    <col min="2" max="2" width="41.3984375" bestFit="1" customWidth="1"/>
    <col min="3" max="3" width="40.132812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4.25"/>
  <cols>
    <col min="1" max="1" width="44.3984375" bestFit="1" customWidth="1"/>
    <col min="2" max="2" width="12" bestFit="1" customWidth="1"/>
    <col min="3" max="3" width="10.1328125" customWidth="1"/>
    <col min="4" max="4" width="10.1328125" bestFit="1" customWidth="1"/>
  </cols>
  <sheetData>
    <row r="1" spans="1:4">
      <c r="A1" s="382" t="s">
        <v>3750</v>
      </c>
      <c r="B1" s="383"/>
      <c r="C1" s="383"/>
      <c r="D1" s="384"/>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82" t="s">
        <v>3760</v>
      </c>
      <c r="B8" s="383"/>
      <c r="C8" s="384"/>
      <c r="D8" s="62">
        <f>1-TDIST(2,50,1)</f>
        <v>0.97452646563115342</v>
      </c>
    </row>
    <row r="9" spans="1:4">
      <c r="A9" s="380" t="s">
        <v>3761</v>
      </c>
      <c r="B9" s="380"/>
      <c r="C9" s="380"/>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4.25"/>
  <cols>
    <col min="1" max="1" width="19.59765625" bestFit="1" customWidth="1"/>
    <col min="2" max="2" width="9.5976562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4.25"/>
  <cols>
    <col min="1" max="1" width="13.59765625" bestFit="1" customWidth="1"/>
    <col min="2" max="2" width="19.265625" bestFit="1" customWidth="1"/>
    <col min="3" max="3" width="18.2656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4.25"/>
  <cols>
    <col min="2" max="2" width="19.5976562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4.25"/>
  <cols>
    <col min="1" max="1" width="9.3984375" bestFit="1" customWidth="1"/>
    <col min="2" max="2" width="10.1328125" bestFit="1" customWidth="1"/>
    <col min="3" max="3" width="15.132812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4.25"/>
  <cols>
    <col min="1" max="1" width="18.86328125" bestFit="1" customWidth="1"/>
    <col min="2" max="13" width="10.3984375" customWidth="1"/>
    <col min="14" max="14" width="19.73046875" bestFit="1" customWidth="1"/>
  </cols>
  <sheetData>
    <row r="1" spans="1:14" ht="28.5">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4.25"/>
  <cols>
    <col min="1" max="1" width="12.3984375" customWidth="1"/>
    <col min="2" max="3" width="11.265625" customWidth="1"/>
  </cols>
  <sheetData>
    <row r="1" spans="1:3">
      <c r="A1" s="382" t="s">
        <v>4857</v>
      </c>
      <c r="B1" s="383"/>
      <c r="C1" s="384"/>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4.25"/>
  <cols>
    <col min="1" max="1" width="16.1328125" bestFit="1" customWidth="1"/>
    <col min="2" max="2" width="10.59765625" bestFit="1" customWidth="1"/>
    <col min="3" max="3" width="7.59765625" bestFit="1" customWidth="1"/>
    <col min="4" max="4" width="6.398437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4.25"/>
  <cols>
    <col min="1" max="1" width="29.3984375" customWidth="1"/>
    <col min="2" max="2" width="12.3984375" bestFit="1" customWidth="1"/>
    <col min="3" max="3" width="5.59765625" bestFit="1" customWidth="1"/>
  </cols>
  <sheetData>
    <row r="1" spans="1:3">
      <c r="A1" s="380" t="s">
        <v>4870</v>
      </c>
      <c r="B1" s="380"/>
      <c r="C1" s="380"/>
    </row>
    <row r="2" spans="1:3">
      <c r="A2" s="1" t="s">
        <v>622</v>
      </c>
      <c r="B2" s="1" t="s">
        <v>2887</v>
      </c>
      <c r="C2" s="1" t="s">
        <v>1727</v>
      </c>
    </row>
    <row r="3" spans="1:3" ht="28.5">
      <c r="A3" s="107" t="s">
        <v>4868</v>
      </c>
      <c r="B3" s="45" t="s">
        <v>4872</v>
      </c>
      <c r="C3" s="47">
        <v>0.05</v>
      </c>
    </row>
    <row r="4" spans="1:3" ht="29.1" customHeight="1">
      <c r="A4" s="107" t="s">
        <v>4871</v>
      </c>
      <c r="B4" s="45" t="s">
        <v>3794</v>
      </c>
      <c r="C4" s="47">
        <v>2</v>
      </c>
    </row>
    <row r="5" spans="1:3">
      <c r="A5" s="2" t="s">
        <v>4869</v>
      </c>
      <c r="B5" s="45" t="s">
        <v>4873</v>
      </c>
      <c r="C5" s="47">
        <v>35</v>
      </c>
    </row>
    <row r="7" spans="1:3" ht="42.75">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4.25"/>
  <cols>
    <col min="1" max="1" width="29.3984375" customWidth="1"/>
    <col min="2" max="2" width="12.3984375" bestFit="1" customWidth="1"/>
    <col min="3" max="3" width="5.59765625" bestFit="1" customWidth="1"/>
  </cols>
  <sheetData>
    <row r="1" spans="1:3">
      <c r="A1" s="380" t="s">
        <v>4870</v>
      </c>
      <c r="B1" s="380"/>
      <c r="C1" s="380"/>
    </row>
    <row r="2" spans="1:3">
      <c r="A2" s="1" t="s">
        <v>622</v>
      </c>
      <c r="B2" s="1" t="s">
        <v>2887</v>
      </c>
      <c r="C2" s="1" t="s">
        <v>1727</v>
      </c>
    </row>
    <row r="3" spans="1:3" ht="28.5">
      <c r="A3" s="107" t="s">
        <v>4868</v>
      </c>
      <c r="B3" s="45" t="s">
        <v>4872</v>
      </c>
      <c r="C3" s="47">
        <v>0.01</v>
      </c>
    </row>
    <row r="4" spans="1:3" ht="29.1" customHeight="1">
      <c r="A4" s="107" t="s">
        <v>4871</v>
      </c>
      <c r="B4" s="45" t="s">
        <v>3794</v>
      </c>
      <c r="C4" s="47">
        <v>1.5</v>
      </c>
    </row>
    <row r="5" spans="1:3">
      <c r="A5" s="2" t="s">
        <v>4869</v>
      </c>
      <c r="B5" s="45" t="s">
        <v>4873</v>
      </c>
      <c r="C5" s="47">
        <v>50</v>
      </c>
    </row>
    <row r="7" spans="1:3" ht="42.75">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4.25"/>
  <cols>
    <col min="1" max="1" width="9.1328125" customWidth="1"/>
    <col min="2" max="2" width="27.86328125" customWidth="1"/>
    <col min="4" max="4" width="17.1328125" bestFit="1" customWidth="1"/>
    <col min="5" max="5" width="15.59765625" customWidth="1"/>
  </cols>
  <sheetData>
    <row r="1" spans="1:7">
      <c r="A1" s="411" t="s">
        <v>4878</v>
      </c>
      <c r="B1" s="379"/>
      <c r="D1" s="411" t="s">
        <v>4879</v>
      </c>
      <c r="E1" s="379"/>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75">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4.25"/>
  <cols>
    <col min="2" max="2" width="10.86328125" bestFit="1" customWidth="1"/>
    <col min="3" max="3" width="15.59765625" bestFit="1" customWidth="1"/>
    <col min="4" max="4" width="15.398437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4.25"/>
  <cols>
    <col min="2" max="2" width="29.3984375" customWidth="1"/>
    <col min="3" max="3" width="15.3984375" bestFit="1" customWidth="1"/>
    <col min="4" max="4" width="5.59765625" bestFit="1" customWidth="1"/>
  </cols>
  <sheetData>
    <row r="1" spans="2:4" ht="14.65" thickBot="1"/>
    <row r="2" spans="2:4">
      <c r="B2" s="421" t="s">
        <v>4882</v>
      </c>
      <c r="C2" s="422"/>
      <c r="D2" s="423"/>
    </row>
    <row r="3" spans="2:4">
      <c r="B3" s="180" t="s">
        <v>622</v>
      </c>
      <c r="C3" s="1" t="s">
        <v>2887</v>
      </c>
      <c r="D3" s="181" t="s">
        <v>1727</v>
      </c>
    </row>
    <row r="4" spans="2:4" ht="28.5">
      <c r="B4" s="310" t="s">
        <v>4868</v>
      </c>
      <c r="C4" s="45" t="s">
        <v>4872</v>
      </c>
      <c r="D4" s="311">
        <v>0.01</v>
      </c>
    </row>
    <row r="5" spans="2:4" ht="29.1" customHeight="1">
      <c r="B5" s="310" t="s">
        <v>4871</v>
      </c>
      <c r="C5" s="45" t="s">
        <v>3794</v>
      </c>
      <c r="D5" s="311">
        <v>3.5</v>
      </c>
    </row>
    <row r="6" spans="2:4">
      <c r="B6" s="157" t="s">
        <v>4869</v>
      </c>
      <c r="C6" s="45" t="s">
        <v>4873</v>
      </c>
      <c r="D6" s="311">
        <v>100</v>
      </c>
    </row>
    <row r="7" spans="2:4">
      <c r="B7" s="155"/>
      <c r="D7" s="156"/>
    </row>
    <row r="8" spans="2:4" s="121" customFormat="1" ht="29.45" customHeight="1">
      <c r="B8" s="467" t="s">
        <v>4881</v>
      </c>
      <c r="C8" s="480"/>
      <c r="D8" s="312"/>
    </row>
    <row r="9" spans="2:4">
      <c r="B9" s="180" t="s">
        <v>1385</v>
      </c>
      <c r="C9" s="1" t="s">
        <v>4875</v>
      </c>
      <c r="D9" s="156"/>
    </row>
    <row r="10" spans="2:4">
      <c r="B10" s="157" t="s">
        <v>4883</v>
      </c>
      <c r="C10" s="7">
        <f>CONFIDENCE(D4,D5,D6)</f>
        <v>0.90154025624211487</v>
      </c>
      <c r="D10" s="156"/>
    </row>
    <row r="11" spans="2:4" ht="15.75">
      <c r="B11" s="313" t="s">
        <v>4884</v>
      </c>
      <c r="C11" s="7">
        <f>_xlfn.CONFIDENCE.NORM(D4,D5,D6)</f>
        <v>0.90154025624211487</v>
      </c>
      <c r="D11" s="156"/>
    </row>
    <row r="12" spans="2:4" ht="16.149999999999999"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4.25"/>
  <cols>
    <col min="2" max="2" width="7.3984375" bestFit="1" customWidth="1"/>
    <col min="3" max="3" width="20.3984375" bestFit="1" customWidth="1"/>
    <col min="5" max="5" width="21.3984375" bestFit="1" customWidth="1"/>
    <col min="6" max="6" width="12.3984375" bestFit="1" customWidth="1"/>
    <col min="8" max="8" width="17.1328125" bestFit="1" customWidth="1"/>
    <col min="9" max="9" width="11.86328125" bestFit="1" customWidth="1"/>
    <col min="10" max="10" width="57.73046875" bestFit="1" customWidth="1"/>
  </cols>
  <sheetData>
    <row r="1" spans="2:10">
      <c r="B1" s="1" t="s">
        <v>0</v>
      </c>
      <c r="C1" s="1" t="s">
        <v>4886</v>
      </c>
      <c r="E1" s="315" t="s">
        <v>4886</v>
      </c>
      <c r="F1" s="315"/>
      <c r="H1" s="380" t="s">
        <v>4877</v>
      </c>
      <c r="I1" s="380"/>
      <c r="J1" s="380"/>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4.6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4.25"/>
  <cols>
    <col min="1" max="1" width="29.3984375" customWidth="1"/>
    <col min="2" max="2" width="12.3984375" bestFit="1" customWidth="1"/>
    <col min="3" max="3" width="5.59765625" bestFit="1" customWidth="1"/>
  </cols>
  <sheetData>
    <row r="1" spans="1:3">
      <c r="A1" s="380" t="s">
        <v>4882</v>
      </c>
      <c r="B1" s="380"/>
      <c r="C1" s="380"/>
    </row>
    <row r="2" spans="1:3">
      <c r="A2" s="1" t="s">
        <v>622</v>
      </c>
      <c r="B2" s="1" t="s">
        <v>2887</v>
      </c>
      <c r="C2" s="1" t="s">
        <v>1727</v>
      </c>
    </row>
    <row r="3" spans="1:3">
      <c r="A3" s="2" t="s">
        <v>3817</v>
      </c>
      <c r="B3" s="2" t="s">
        <v>4770</v>
      </c>
      <c r="C3" s="7">
        <v>30</v>
      </c>
    </row>
    <row r="4" spans="1:3" ht="28.5">
      <c r="A4" s="107" t="s">
        <v>4868</v>
      </c>
      <c r="B4" s="45" t="s">
        <v>4872</v>
      </c>
      <c r="C4" s="47">
        <v>0.05</v>
      </c>
    </row>
    <row r="5" spans="1:3" ht="29.1" customHeight="1">
      <c r="A5" s="46" t="s">
        <v>4871</v>
      </c>
      <c r="B5" s="45" t="s">
        <v>3794</v>
      </c>
      <c r="C5" s="47">
        <v>1.5</v>
      </c>
    </row>
    <row r="6" spans="1:3">
      <c r="A6" s="2" t="s">
        <v>4869</v>
      </c>
      <c r="B6" s="45" t="s">
        <v>4873</v>
      </c>
      <c r="C6" s="47">
        <v>40</v>
      </c>
    </row>
    <row r="7" spans="1:3">
      <c r="A7" s="14"/>
      <c r="B7" s="317"/>
      <c r="C7" s="318"/>
    </row>
    <row r="8" spans="1:3">
      <c r="A8" s="481" t="s">
        <v>4907</v>
      </c>
      <c r="B8" s="482"/>
    </row>
    <row r="9" spans="1:3">
      <c r="A9" s="8" t="s">
        <v>4908</v>
      </c>
      <c r="B9" s="47">
        <f>1.96*(C5/SQRT(C6))</f>
        <v>0.46485481604475176</v>
      </c>
    </row>
    <row r="10" spans="1:3">
      <c r="A10" s="1" t="s">
        <v>4877</v>
      </c>
      <c r="B10" s="7" t="str">
        <f>CONCATENATE(ROUND(C3,2)," ± ",ROUND(B9,2))</f>
        <v>30 ± 0.46</v>
      </c>
    </row>
    <row r="12" spans="1:3">
      <c r="A12" s="481" t="s">
        <v>4883</v>
      </c>
      <c r="B12" s="482"/>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4.25"/>
  <cols>
    <col min="1" max="1" width="6.59765625" bestFit="1" customWidth="1"/>
    <col min="2" max="2" width="10.86328125" bestFit="1" customWidth="1"/>
    <col min="3" max="3" width="22.7304687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4.25"/>
  <cols>
    <col min="1" max="1" width="6" customWidth="1"/>
    <col min="2" max="2" width="19.86328125" bestFit="1" customWidth="1"/>
    <col min="4" max="4" width="6" customWidth="1"/>
    <col min="5" max="5" width="31.132812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4.25"/>
  <cols>
    <col min="2" max="2" width="19.86328125" bestFit="1" customWidth="1"/>
    <col min="3" max="3" width="30.398437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4.25"/>
  <cols>
    <col min="2" max="2" width="18.59765625" bestFit="1" customWidth="1"/>
    <col min="3" max="3" width="19.5976562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4.25"/>
  <cols>
    <col min="5" max="5" width="8.73046875" customWidth="1"/>
    <col min="6" max="6" width="13.1328125" customWidth="1"/>
  </cols>
  <sheetData>
    <row r="2" spans="2:6">
      <c r="B2" s="1" t="s">
        <v>3216</v>
      </c>
      <c r="C2" s="1" t="s">
        <v>657</v>
      </c>
      <c r="D2" s="14"/>
      <c r="E2" s="1" t="s">
        <v>3216</v>
      </c>
      <c r="F2" s="1" t="s">
        <v>4913</v>
      </c>
    </row>
    <row r="3" spans="2:6">
      <c r="B3" s="2">
        <v>1</v>
      </c>
      <c r="C3" s="2">
        <v>6</v>
      </c>
      <c r="D3" s="14"/>
      <c r="E3" s="2">
        <v>18</v>
      </c>
      <c r="F3" s="7">
        <f>C11+(E3-B11)*(C12-C11)/(B12-B11)</f>
        <v>76.5</v>
      </c>
    </row>
    <row r="4" spans="2:6">
      <c r="B4" s="2">
        <v>3</v>
      </c>
      <c r="C4" s="2">
        <v>9</v>
      </c>
      <c r="D4" s="14"/>
      <c r="F4" s="319"/>
    </row>
    <row r="5" spans="2:6">
      <c r="B5" s="2">
        <v>5</v>
      </c>
      <c r="C5" s="2">
        <v>13</v>
      </c>
      <c r="D5" s="14"/>
    </row>
    <row r="6" spans="2:6">
      <c r="B6" s="2">
        <v>7</v>
      </c>
      <c r="C6" s="2">
        <v>18</v>
      </c>
      <c r="D6" s="14"/>
    </row>
    <row r="7" spans="2:6">
      <c r="B7" s="2">
        <v>9</v>
      </c>
      <c r="C7" s="2">
        <v>24</v>
      </c>
      <c r="D7" s="14"/>
      <c r="F7" s="319"/>
    </row>
    <row r="8" spans="2:6" ht="14.65" thickBot="1">
      <c r="B8" s="2">
        <v>11</v>
      </c>
      <c r="C8" s="2">
        <v>31</v>
      </c>
      <c r="D8" s="14"/>
    </row>
    <row r="9" spans="2:6" ht="14.6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4.25"/>
  <cols>
    <col min="1" max="1" width="8.73046875" customWidth="1"/>
    <col min="2" max="2" width="12.59765625" bestFit="1" customWidth="1"/>
    <col min="5" max="5" width="23.86328125" bestFit="1" customWidth="1"/>
    <col min="16" max="16" width="10.7304687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4.25"/>
  <cols>
    <col min="1" max="1" width="11.59765625" bestFit="1" customWidth="1"/>
    <col min="2" max="5" width="23.8632812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4.25"/>
  <sheetData>
    <row r="1" spans="1:7">
      <c r="A1" s="380" t="s">
        <v>4930</v>
      </c>
      <c r="B1" s="380" t="s">
        <v>4931</v>
      </c>
      <c r="C1" s="380"/>
      <c r="D1" s="380"/>
      <c r="E1" s="380"/>
      <c r="F1" s="380"/>
      <c r="G1" s="380"/>
    </row>
    <row r="2" spans="1:7">
      <c r="A2" s="380"/>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xmlns:xlrd2="http://schemas.microsoft.com/office/spreadsheetml/2017/richdata2"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4.25"/>
  <cols>
    <col min="1" max="1" width="6.86328125" bestFit="1" customWidth="1"/>
    <col min="2" max="3" width="13.86328125" customWidth="1"/>
    <col min="4" max="5" width="13.8632812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xmlns:xlrd2="http://schemas.microsoft.com/office/spreadsheetml/2017/richdata2"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4.25"/>
  <cols>
    <col min="1" max="1" width="8.265625" bestFit="1" customWidth="1"/>
    <col min="2" max="6" width="9.3984375" bestFit="1" customWidth="1"/>
  </cols>
  <sheetData>
    <row r="1" spans="1:6">
      <c r="A1" s="380" t="s">
        <v>4947</v>
      </c>
      <c r="B1" s="380" t="s">
        <v>4948</v>
      </c>
      <c r="C1" s="380"/>
      <c r="D1" s="380"/>
      <c r="E1" s="380"/>
      <c r="F1" s="380"/>
    </row>
    <row r="2" spans="1:6">
      <c r="A2" s="380"/>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xmlns:xlrd2="http://schemas.microsoft.com/office/spreadsheetml/2017/richdata2"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4.25"/>
  <cols>
    <col min="1" max="1" width="12.86328125" style="14" bestFit="1" customWidth="1"/>
    <col min="2" max="7" width="24.398437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xmlns:xlrd2="http://schemas.microsoft.com/office/spreadsheetml/2017/richdata2"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4.25"/>
  <cols>
    <col min="1" max="1" width="12.73046875" bestFit="1" customWidth="1"/>
    <col min="2" max="4" width="14.59765625" customWidth="1"/>
    <col min="5" max="5" width="14.59765625" bestFit="1" customWidth="1"/>
    <col min="6" max="7" width="14.5976562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xmlns:xlrd2="http://schemas.microsoft.com/office/spreadsheetml/2017/richdata2"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4.25"/>
  <cols>
    <col min="1" max="1" width="44.86328125" bestFit="1" customWidth="1"/>
    <col min="2" max="2" width="19.86328125" bestFit="1" customWidth="1"/>
    <col min="3" max="3" width="29.132812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4.25"/>
  <cols>
    <col min="2" max="2" width="32.59765625" bestFit="1" customWidth="1"/>
    <col min="3" max="3" width="12.8632812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4.25"/>
  <cols>
    <col min="2" max="2" width="18.1328125" bestFit="1" customWidth="1"/>
    <col min="3" max="3" width="12.8632812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4.25"/>
  <cols>
    <col min="1" max="1" width="22.86328125" bestFit="1" customWidth="1"/>
    <col min="2" max="2" width="8.73046875" customWidth="1"/>
    <col min="3" max="3" width="12.8632812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4.25"/>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4.25"/>
  <cols>
    <col min="1" max="1" width="32.59765625" bestFit="1" customWidth="1"/>
    <col min="2" max="2" width="55.5976562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4.25"/>
  <cols>
    <col min="1" max="1" width="29.265625" bestFit="1" customWidth="1"/>
    <col min="2" max="2" width="12.8632812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4.25"/>
  <cols>
    <col min="1" max="1" width="10.86328125" bestFit="1" customWidth="1"/>
    <col min="2" max="2" width="26.3984375" bestFit="1" customWidth="1"/>
    <col min="3" max="3" width="19.8632812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4.25"/>
  <cols>
    <col min="1" max="1" width="11.8632812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4.25"/>
  <cols>
    <col min="1" max="1" width="7.59765625" bestFit="1" customWidth="1"/>
    <col min="2" max="2" width="13.1328125" bestFit="1" customWidth="1"/>
    <col min="3" max="3" width="28.398437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4.25"/>
  <cols>
    <col min="1" max="2" width="8.8632812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4.25"/>
  <cols>
    <col min="1" max="2" width="12.1328125" bestFit="1" customWidth="1"/>
    <col min="3" max="3" width="14.1328125" bestFit="1" customWidth="1"/>
    <col min="4" max="4" width="52.8632812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4.25"/>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4.25"/>
  <cols>
    <col min="2" max="2" width="26.73046875" bestFit="1" customWidth="1"/>
    <col min="3" max="3" width="25.86328125" bestFit="1" customWidth="1"/>
    <col min="4" max="4" width="29.1328125" bestFit="1" customWidth="1"/>
    <col min="5" max="5" width="62.5976562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4.25"/>
  <cols>
    <col min="1" max="1" width="6.86328125" customWidth="1"/>
    <col min="2" max="2" width="22" bestFit="1" customWidth="1"/>
    <col min="3" max="3" width="23.265625" bestFit="1" customWidth="1"/>
    <col min="4" max="4" width="17.59765625" bestFit="1" customWidth="1"/>
    <col min="5" max="5" width="12.2656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4.25"/>
  <cols>
    <col min="1" max="1" width="11.73046875" bestFit="1" customWidth="1"/>
    <col min="2" max="2" width="12.3984375" bestFit="1" customWidth="1"/>
    <col min="3" max="3" width="19.132812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4.25"/>
  <cols>
    <col min="1" max="1" width="15.86328125" bestFit="1" customWidth="1"/>
    <col min="2" max="2" width="25.3984375" bestFit="1" customWidth="1"/>
    <col min="3" max="4" width="16.1328125" bestFit="1" customWidth="1"/>
    <col min="5" max="5" width="19.132812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4.25"/>
  <cols>
    <col min="1" max="1" width="17.86328125" bestFit="1" customWidth="1"/>
    <col min="2" max="2" width="13.86328125" bestFit="1" customWidth="1"/>
    <col min="3" max="3" width="9.3984375" bestFit="1" customWidth="1"/>
    <col min="4" max="4" width="18.8632812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4.25"/>
  <cols>
    <col min="1" max="1" width="15.3984375" bestFit="1" customWidth="1"/>
    <col min="2" max="2" width="8.86328125" bestFit="1" customWidth="1"/>
    <col min="3" max="3" width="13.3984375" customWidth="1"/>
    <col min="4" max="4" width="15.7304687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4.25"/>
  <cols>
    <col min="1" max="1" width="9.86328125" bestFit="1" customWidth="1"/>
    <col min="2" max="2" width="7.86328125" customWidth="1"/>
    <col min="3" max="3" width="31.8632812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4.25"/>
  <cols>
    <col min="2" max="2" width="52.1328125" bestFit="1" customWidth="1"/>
    <col min="3" max="3" width="7.398437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4.25"/>
  <cols>
    <col min="2" max="2" width="6.73046875" bestFit="1" customWidth="1"/>
    <col min="3" max="3" width="24.3984375" bestFit="1" customWidth="1"/>
    <col min="4" max="4" width="37.59765625" bestFit="1" customWidth="1"/>
    <col min="5" max="5" width="20.398437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4.25"/>
  <cols>
    <col min="2" max="2" width="51.7304687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4.25"/>
  <cols>
    <col min="2" max="2" width="15.132812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12" t="s">
        <v>3770</v>
      </c>
      <c r="C7" s="70">
        <f>_xlfn.NORM.S.INV(C2/2)</f>
        <v>-2.5758293035488999</v>
      </c>
    </row>
    <row r="8" spans="2:3">
      <c r="B8" s="412"/>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4.25"/>
  <cols>
    <col min="2" max="2" width="9.8632812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4.25"/>
  <cols>
    <col min="2" max="2" width="9.8632812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4.25"/>
  <cols>
    <col min="1" max="1" width="9.86328125" bestFit="1" customWidth="1"/>
    <col min="2" max="2" width="28.3984375" bestFit="1" customWidth="1"/>
    <col min="3" max="3" width="9.8632812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4.25"/>
  <cols>
    <col min="1" max="1" width="10.265625" bestFit="1" customWidth="1"/>
    <col min="2" max="2" width="22.86328125" bestFit="1" customWidth="1"/>
    <col min="3" max="3" width="17.86328125" bestFit="1" customWidth="1"/>
    <col min="4" max="4" width="20.265625" bestFit="1" customWidth="1"/>
    <col min="5" max="5" width="17.86328125" bestFit="1" customWidth="1"/>
    <col min="6" max="6" width="17.59765625" bestFit="1" customWidth="1"/>
    <col min="7" max="7" width="20.1328125" bestFit="1" customWidth="1"/>
    <col min="8" max="8" width="18.2656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4.25"/>
  <cols>
    <col min="2" max="2" width="20.265625" bestFit="1" customWidth="1"/>
    <col min="3" max="3" width="13.59765625" bestFit="1" customWidth="1"/>
    <col min="4" max="4" width="32.86328125" bestFit="1" customWidth="1"/>
    <col min="5" max="5" width="20.398437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4.25"/>
  <cols>
    <col min="1" max="1" width="21.3984375" bestFit="1" customWidth="1"/>
    <col min="2" max="2" width="8.3984375" bestFit="1" customWidth="1"/>
    <col min="3" max="3" width="10.1328125" bestFit="1" customWidth="1"/>
    <col min="4" max="4" width="11.59765625" bestFit="1" customWidth="1"/>
    <col min="5" max="5" width="12.73046875" bestFit="1" customWidth="1"/>
    <col min="6" max="6" width="24.8632812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4.25"/>
  <cols>
    <col min="1" max="1" width="6.59765625" bestFit="1" customWidth="1"/>
    <col min="2" max="2" width="13.59765625" bestFit="1" customWidth="1"/>
    <col min="3" max="3" width="12.7304687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4.25"/>
  <cols>
    <col min="1" max="1" width="10.86328125" bestFit="1" customWidth="1"/>
    <col min="2" max="2" width="18.73046875" bestFit="1" customWidth="1"/>
    <col min="3" max="3" width="26.265625" bestFit="1" customWidth="1"/>
    <col min="6" max="6" width="11.8632812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4.25"/>
  <cols>
    <col min="1" max="1" width="19.86328125" bestFit="1" customWidth="1"/>
    <col min="2" max="2" width="30.1328125" bestFit="1" customWidth="1"/>
    <col min="3" max="3" width="22.3984375" bestFit="1" customWidth="1"/>
    <col min="4" max="4" width="28.86328125" bestFit="1" customWidth="1"/>
  </cols>
  <sheetData>
    <row r="1" spans="1:4">
      <c r="A1" s="1" t="s">
        <v>1633</v>
      </c>
      <c r="B1" s="1" t="s">
        <v>622</v>
      </c>
      <c r="C1" s="1" t="s">
        <v>1759</v>
      </c>
      <c r="D1" s="25" t="s">
        <v>1570</v>
      </c>
    </row>
    <row r="2" spans="1:4">
      <c r="A2" s="412" t="s">
        <v>5167</v>
      </c>
      <c r="B2" s="2" t="s">
        <v>5168</v>
      </c>
      <c r="C2" s="108" t="str">
        <f>UPPER(A2)</f>
        <v>SENTENCE CASE IN EXCEL.</v>
      </c>
      <c r="D2" s="65" t="s">
        <v>5170</v>
      </c>
    </row>
    <row r="3" spans="1:4">
      <c r="A3" s="412"/>
      <c r="B3" s="2" t="s">
        <v>5169</v>
      </c>
      <c r="C3" s="7" t="str">
        <f>LOWER(A2)</f>
        <v>sentence case in excel.</v>
      </c>
      <c r="D3" s="65" t="s">
        <v>5171</v>
      </c>
    </row>
    <row r="4" spans="1:4">
      <c r="A4" s="412"/>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4.25"/>
  <cols>
    <col min="2" max="2" width="15.3984375" customWidth="1"/>
    <col min="3" max="3" width="23.7304687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4.25"/>
  <cols>
    <col min="2" max="2" width="76.3984375" bestFit="1" customWidth="1"/>
    <col min="3" max="3" width="67.132812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4.25"/>
  <cols>
    <col min="2" max="2" width="45.59765625" bestFit="1" customWidth="1"/>
    <col min="3" max="3" width="47.59765625" customWidth="1"/>
  </cols>
  <sheetData>
    <row r="2" spans="2:3">
      <c r="B2" s="1" t="s">
        <v>5190</v>
      </c>
      <c r="C2" s="1" t="s">
        <v>5189</v>
      </c>
    </row>
    <row r="3" spans="2:3" ht="114">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4.25"/>
  <cols>
    <col min="2" max="2" width="47.86328125" bestFit="1" customWidth="1"/>
    <col min="3" max="3" width="71.398437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4.25"/>
  <cols>
    <col min="1" max="1" width="45.86328125" bestFit="1" customWidth="1"/>
    <col min="2" max="2" width="45.8632812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4.25"/>
  <cols>
    <col min="1" max="1" width="6.3984375" bestFit="1" customWidth="1"/>
    <col min="2" max="2" width="5.86328125" bestFit="1" customWidth="1"/>
    <col min="3" max="3" width="10.86328125" bestFit="1" customWidth="1"/>
    <col min="4" max="4" width="17.398437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28.5">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4.25"/>
  <cols>
    <col min="1" max="1" width="26.86328125" bestFit="1" customWidth="1"/>
    <col min="2" max="2" width="12" bestFit="1" customWidth="1"/>
    <col min="3" max="3" width="8.8632812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4.25"/>
  <cols>
    <col min="1" max="1" width="11.1328125" bestFit="1" customWidth="1"/>
    <col min="8" max="8" width="19.1328125" bestFit="1" customWidth="1"/>
  </cols>
  <sheetData>
    <row r="1" spans="1:9">
      <c r="A1" s="380" t="s">
        <v>201</v>
      </c>
      <c r="B1" s="380" t="s">
        <v>3486</v>
      </c>
      <c r="C1" s="380" t="s">
        <v>5222</v>
      </c>
      <c r="D1" s="380"/>
      <c r="E1" s="380"/>
      <c r="F1" s="380"/>
      <c r="H1" s="1" t="s">
        <v>30</v>
      </c>
      <c r="I1" s="2" t="s">
        <v>5221</v>
      </c>
    </row>
    <row r="2" spans="1:9">
      <c r="A2" s="380"/>
      <c r="B2" s="380"/>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4.25"/>
  <cols>
    <col min="2" max="2" width="10.1328125" bestFit="1" customWidth="1"/>
    <col min="3" max="3" width="23.1328125" bestFit="1" customWidth="1"/>
    <col min="5" max="5" width="18.1328125" bestFit="1" customWidth="1"/>
    <col min="6" max="6" width="19.8632812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4.25"/>
  <cols>
    <col min="1" max="1" width="7.59765625" bestFit="1" customWidth="1"/>
    <col min="2" max="2" width="19.59765625" bestFit="1" customWidth="1"/>
    <col min="3" max="3" width="20.3984375" bestFit="1" customWidth="1"/>
    <col min="4" max="4" width="15.59765625" bestFit="1" customWidth="1"/>
    <col min="6" max="6" width="44.1328125" bestFit="1" customWidth="1"/>
    <col min="7" max="7" width="16.132812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4.25"/>
  <cols>
    <col min="1" max="1" width="13.1328125" bestFit="1" customWidth="1"/>
    <col min="2" max="2" width="14.3984375" bestFit="1" customWidth="1"/>
    <col min="3" max="3" width="15.8632812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80" t="s">
        <v>130</v>
      </c>
      <c r="B13" s="2" t="s">
        <v>3984</v>
      </c>
    </row>
    <row r="14" spans="1:3">
      <c r="A14" s="380"/>
      <c r="B14" s="1" t="s">
        <v>5239</v>
      </c>
    </row>
    <row r="15" spans="1:3">
      <c r="A15" s="380"/>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4.25"/>
  <cols>
    <col min="1" max="1" width="11.59765625" bestFit="1" customWidth="1"/>
    <col min="2" max="2" width="21.398437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4.25"/>
  <cols>
    <col min="1" max="1" width="6.59765625" bestFit="1" customWidth="1"/>
    <col min="2" max="3" width="16.132812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4.25"/>
  <cols>
    <col min="1" max="4" width="8.73046875" customWidth="1"/>
  </cols>
  <sheetData>
    <row r="1" spans="1:4">
      <c r="B1" s="411" t="s">
        <v>5247</v>
      </c>
      <c r="C1" s="379"/>
      <c r="D1" s="379"/>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4.25"/>
  <cols>
    <col min="1" max="1" width="12.59765625" bestFit="1" customWidth="1"/>
    <col min="2" max="2" width="10.8632812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4.25"/>
  <cols>
    <col min="1" max="1" width="6.59765625" bestFit="1" customWidth="1"/>
    <col min="2" max="3" width="18.1328125" bestFit="1" customWidth="1"/>
    <col min="4" max="4" width="19.7304687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4.25"/>
  <cols>
    <col min="1" max="1" width="14.1328125" bestFit="1" customWidth="1"/>
    <col min="3" max="3" width="9.265625" bestFit="1" customWidth="1"/>
  </cols>
  <sheetData>
    <row r="1" spans="1:4">
      <c r="B1" s="411" t="s">
        <v>5259</v>
      </c>
      <c r="C1" s="379"/>
      <c r="D1" s="379"/>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4.25"/>
  <cols>
    <col min="1" max="1" width="12.59765625" bestFit="1" customWidth="1"/>
    <col min="2" max="2" width="19.132812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4.25"/>
  <cols>
    <col min="1" max="1" width="6.265625" bestFit="1" customWidth="1"/>
    <col min="2" max="2" width="16.1328125" bestFit="1" customWidth="1"/>
    <col min="3" max="3" width="15.73046875" bestFit="1" customWidth="1"/>
    <col min="4" max="4" width="19.1328125" bestFit="1" customWidth="1"/>
  </cols>
  <sheetData>
    <row r="1" spans="1:4">
      <c r="B1" s="382" t="s">
        <v>3085</v>
      </c>
      <c r="C1" s="383"/>
      <c r="D1" s="384"/>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4.25"/>
  <cols>
    <col min="1" max="1" width="15.265625" bestFit="1" customWidth="1"/>
    <col min="2" max="4" width="17.132812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4.25"/>
  <cols>
    <col min="1" max="1" width="18.132812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4.25"/>
  <cols>
    <col min="1" max="1" width="8.7304687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4.25"/>
  <cols>
    <col min="1" max="1" width="18.1328125" bestFit="1" customWidth="1"/>
    <col min="3" max="3" width="28.5976562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4.25"/>
  <cols>
    <col min="1" max="1" width="16" bestFit="1" customWidth="1"/>
    <col min="3" max="3" width="33.5976562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4.25"/>
  <cols>
    <col min="1" max="1" width="20.73046875" bestFit="1" customWidth="1"/>
    <col min="3" max="3" width="36.1328125" bestFit="1" customWidth="1"/>
    <col min="4" max="4" width="9.73046875" bestFit="1" customWidth="1"/>
    <col min="5" max="5" width="8.73046875" customWidth="1"/>
  </cols>
  <sheetData>
    <row r="1" spans="1:9">
      <c r="A1" s="1" t="s">
        <v>5273</v>
      </c>
      <c r="C1" s="1" t="s">
        <v>622</v>
      </c>
      <c r="D1" s="1" t="s">
        <v>2887</v>
      </c>
      <c r="E1" s="1" t="s">
        <v>1727</v>
      </c>
    </row>
    <row r="2" spans="1:9">
      <c r="A2" s="82">
        <v>0.01</v>
      </c>
      <c r="C2" s="2" t="s">
        <v>5275</v>
      </c>
      <c r="D2" s="2" t="s">
        <v>3216</v>
      </c>
      <c r="E2" s="82">
        <v>0.04</v>
      </c>
    </row>
    <row r="3" spans="1:9" ht="14.65">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xmlns:xlrd2="http://schemas.microsoft.com/office/spreadsheetml/2017/richdata2"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4.25"/>
  <cols>
    <col min="1" max="1" width="10.86328125" bestFit="1" customWidth="1"/>
    <col min="3" max="3" width="27.1328125" bestFit="1" customWidth="1"/>
    <col min="4" max="4" width="6.7304687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xmlns:xlrd2="http://schemas.microsoft.com/office/spreadsheetml/2017/richdata2"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4.25"/>
  <cols>
    <col min="4" max="4" width="17.59765625" bestFit="1" customWidth="1"/>
    <col min="8" max="8" width="27.1328125" bestFit="1" customWidth="1"/>
    <col min="9" max="9" width="12.59765625" bestFit="1" customWidth="1"/>
    <col min="10" max="10" width="8.59765625" bestFit="1" customWidth="1"/>
  </cols>
  <sheetData>
    <row r="1" spans="1:10">
      <c r="A1" s="1" t="s">
        <v>5282</v>
      </c>
      <c r="B1" s="1" t="s">
        <v>5283</v>
      </c>
      <c r="D1" s="1" t="s">
        <v>5290</v>
      </c>
      <c r="E1" s="2">
        <f>_xlfn.VAR.P(A2:A21)</f>
        <v>119.92749999999999</v>
      </c>
      <c r="H1" t="s">
        <v>5284</v>
      </c>
    </row>
    <row r="2" spans="1:10" ht="14.6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4.6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4.25"/>
  <cols>
    <col min="3" max="3" width="28.59765625" bestFit="1" customWidth="1"/>
    <col min="4" max="4" width="11.8632812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4.25"/>
  <cols>
    <col min="1" max="1" width="35.86328125" style="14" bestFit="1" customWidth="1"/>
    <col min="2" max="2" width="9.73046875" style="14" customWidth="1"/>
    <col min="3" max="3" width="5.5976562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4.25"/>
  <cols>
    <col min="2" max="2" width="35.86328125" bestFit="1" customWidth="1"/>
    <col min="3" max="3" width="9.86328125" bestFit="1" customWidth="1"/>
    <col min="4" max="4" width="5.59765625" bestFit="1" customWidth="1"/>
  </cols>
  <sheetData>
    <row r="1" spans="2:4" ht="14.65" thickBot="1"/>
    <row r="2" spans="2:4">
      <c r="B2" s="448" t="s">
        <v>5298</v>
      </c>
      <c r="C2" s="456"/>
      <c r="D2" s="449"/>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4.6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4.25"/>
  <cols>
    <col min="3" max="3" width="35.86328125" bestFit="1" customWidth="1"/>
    <col min="4" max="4" width="9.86328125" bestFit="1" customWidth="1"/>
    <col min="5" max="5" width="8.73046875" customWidth="1"/>
  </cols>
  <sheetData>
    <row r="1" spans="3:5" ht="14.65" thickBot="1"/>
    <row r="2" spans="3:5">
      <c r="C2" s="448" t="s">
        <v>5299</v>
      </c>
      <c r="D2" s="456"/>
      <c r="E2" s="449"/>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4.6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4.25"/>
  <cols>
    <col min="3" max="3" width="35.86328125" bestFit="1" customWidth="1"/>
    <col min="4" max="4" width="9.86328125" bestFit="1" customWidth="1"/>
  </cols>
  <sheetData>
    <row r="1" spans="3:5" ht="14.65" thickBot="1"/>
    <row r="2" spans="3:5">
      <c r="C2" s="448" t="s">
        <v>5300</v>
      </c>
      <c r="D2" s="456"/>
      <c r="E2" s="449"/>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4.6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4.25"/>
  <cols>
    <col min="1" max="1" width="32.3984375" bestFit="1" customWidth="1"/>
    <col min="2" max="2" width="36.73046875" bestFit="1" customWidth="1"/>
    <col min="3" max="3" width="5.730468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4.25"/>
  <cols>
    <col min="1" max="1" width="32.3984375" bestFit="1" customWidth="1"/>
    <col min="2" max="2" width="32.59765625" bestFit="1" customWidth="1"/>
    <col min="3" max="3" width="5.7304687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4.25"/>
  <cols>
    <col min="1" max="1" width="35.86328125" bestFit="1" customWidth="1"/>
    <col min="2" max="2" width="9.86328125" bestFit="1" customWidth="1"/>
  </cols>
  <sheetData>
    <row r="1" spans="1:15" ht="14.65" thickBot="1"/>
    <row r="2" spans="1:15">
      <c r="A2" s="448" t="s">
        <v>5299</v>
      </c>
      <c r="B2" s="456"/>
      <c r="C2" s="449"/>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4.6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4.25"/>
  <cols>
    <col min="1" max="1" width="15.3984375" bestFit="1" customWidth="1"/>
    <col min="2" max="2" width="18.59765625" bestFit="1" customWidth="1"/>
    <col min="3" max="3" width="20.1328125" customWidth="1"/>
    <col min="4" max="4" width="14.59765625" bestFit="1" customWidth="1"/>
  </cols>
  <sheetData>
    <row r="1" spans="1:4">
      <c r="A1" s="1" t="s">
        <v>5302</v>
      </c>
      <c r="B1" s="338">
        <v>180</v>
      </c>
    </row>
    <row r="2" spans="1:4">
      <c r="A2" s="1" t="s">
        <v>5304</v>
      </c>
      <c r="B2" s="338">
        <v>100</v>
      </c>
    </row>
    <row r="3" spans="1:4">
      <c r="A3" s="1" t="s">
        <v>5303</v>
      </c>
      <c r="B3" s="338">
        <v>2000</v>
      </c>
    </row>
    <row r="5" spans="1:4" ht="42.75">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4.25"/>
  <cols>
    <col min="3" max="3" width="16.1328125" bestFit="1" customWidth="1"/>
    <col min="4" max="4" width="8.73046875" customWidth="1"/>
    <col min="5" max="5" width="26.132812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4.25"/>
  <cols>
    <col min="1" max="1" width="15.3984375" bestFit="1" customWidth="1"/>
    <col min="2" max="2" width="18.59765625" bestFit="1" customWidth="1"/>
    <col min="3" max="3" width="20.1328125" customWidth="1"/>
    <col min="4" max="4" width="14.59765625" bestFit="1" customWidth="1"/>
  </cols>
  <sheetData>
    <row r="1" spans="1:4">
      <c r="A1" s="1" t="s">
        <v>210</v>
      </c>
      <c r="B1" s="2">
        <v>150</v>
      </c>
    </row>
    <row r="2" spans="1:4">
      <c r="A2" s="1" t="s">
        <v>5304</v>
      </c>
      <c r="B2" s="338">
        <v>30</v>
      </c>
    </row>
    <row r="3" spans="1:4">
      <c r="A3" s="1" t="s">
        <v>5303</v>
      </c>
      <c r="B3" s="338">
        <v>900</v>
      </c>
    </row>
    <row r="5" spans="1:4" ht="42.75">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4.25"/>
  <cols>
    <col min="2" max="2" width="23.3984375" bestFit="1" customWidth="1"/>
    <col min="3" max="3" width="8.73046875" customWidth="1"/>
  </cols>
  <sheetData>
    <row r="1" spans="2:3" ht="14.65" thickBot="1"/>
    <row r="2" spans="2:3" ht="14.65" thickBot="1">
      <c r="B2" s="415" t="s">
        <v>5323</v>
      </c>
      <c r="C2" s="417"/>
    </row>
    <row r="3" spans="2:3">
      <c r="B3" s="183" t="s">
        <v>5313</v>
      </c>
      <c r="C3" s="347">
        <v>15</v>
      </c>
    </row>
    <row r="4" spans="2:3">
      <c r="B4" s="180" t="s">
        <v>5314</v>
      </c>
      <c r="C4" s="344">
        <v>5</v>
      </c>
    </row>
    <row r="5" spans="2:3">
      <c r="B5" s="180" t="s">
        <v>5317</v>
      </c>
      <c r="C5" s="344">
        <v>50000</v>
      </c>
    </row>
    <row r="6" spans="2:3">
      <c r="B6" s="266"/>
      <c r="C6" s="267"/>
    </row>
    <row r="7" spans="2:3" ht="14.6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4.25"/>
  <cols>
    <col min="2" max="2" width="16.1328125" bestFit="1" customWidth="1"/>
    <col min="3" max="3" width="10.73046875" customWidth="1"/>
    <col min="4" max="4" width="27.1328125" bestFit="1" customWidth="1"/>
  </cols>
  <sheetData>
    <row r="1" spans="2:17">
      <c r="B1" s="380" t="s">
        <v>5315</v>
      </c>
      <c r="C1" s="380"/>
      <c r="D1" s="380"/>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4.25"/>
  <cols>
    <col min="3" max="3" width="26.1328125" bestFit="1" customWidth="1"/>
    <col min="4" max="4" width="8.265625" bestFit="1" customWidth="1"/>
  </cols>
  <sheetData>
    <row r="1" spans="3:4" ht="14.65" thickBot="1"/>
    <row r="2" spans="3:4" ht="14.65" thickBot="1">
      <c r="C2" s="415" t="s">
        <v>5318</v>
      </c>
      <c r="D2" s="417"/>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4.6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4.25"/>
  <cols>
    <col min="1" max="1" width="14.59765625" bestFit="1" customWidth="1"/>
    <col min="2" max="2" width="14.73046875" bestFit="1" customWidth="1"/>
    <col min="3" max="3" width="28.8632812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4.25"/>
  <cols>
    <col min="2" max="2" width="14.59765625" bestFit="1" customWidth="1"/>
    <col min="3" max="3" width="14.7304687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4.25"/>
  <cols>
    <col min="3" max="3" width="22.3984375" bestFit="1" customWidth="1"/>
    <col min="4" max="4" width="22.5976562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4.25"/>
  <cols>
    <col min="2" max="2" width="16.73046875" bestFit="1" customWidth="1"/>
    <col min="3" max="3" width="17.265625" bestFit="1" customWidth="1"/>
    <col min="4" max="4" width="17.3984375" bestFit="1" customWidth="1"/>
  </cols>
  <sheetData>
    <row r="2" spans="2:4">
      <c r="B2" s="380" t="s">
        <v>5336</v>
      </c>
      <c r="C2" s="380"/>
      <c r="D2" s="380"/>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4.25"/>
  <cols>
    <col min="3" max="3" width="14.59765625" bestFit="1" customWidth="1"/>
    <col min="4" max="4" width="25.59765625" bestFit="1" customWidth="1"/>
    <col min="5" max="5" width="38.398437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4.25"/>
  <cols>
    <col min="1" max="1" width="14.59765625" bestFit="1" customWidth="1"/>
    <col min="2" max="2" width="14.7304687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4.25"/>
  <cols>
    <col min="1" max="4" width="8.73046875" customWidth="1"/>
  </cols>
  <sheetData>
    <row r="1" spans="1:4">
      <c r="A1" s="1" t="s">
        <v>33</v>
      </c>
      <c r="B1" s="380" t="s">
        <v>5343</v>
      </c>
      <c r="C1" s="380"/>
      <c r="D1" s="380"/>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4.25"/>
  <cols>
    <col min="1" max="1" width="13.86328125" bestFit="1" customWidth="1"/>
    <col min="2" max="4" width="13.265625" customWidth="1"/>
  </cols>
  <sheetData>
    <row r="1" spans="1:4">
      <c r="B1" s="382" t="s">
        <v>5352</v>
      </c>
      <c r="C1" s="383"/>
      <c r="D1" s="384"/>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4.25"/>
  <cols>
    <col min="1" max="1" width="8.73046875" customWidth="1"/>
    <col min="2" max="2" width="15.3984375" bestFit="1" customWidth="1"/>
    <col min="3" max="3" width="15.2656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4.25"/>
  <cols>
    <col min="2" max="2" width="12.59765625" bestFit="1" customWidth="1"/>
  </cols>
  <sheetData>
    <row r="1" spans="1:4">
      <c r="B1" s="382" t="s">
        <v>1457</v>
      </c>
      <c r="C1" s="383"/>
      <c r="D1" s="384"/>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4.25"/>
  <cols>
    <col min="2" max="2" width="12.59765625" bestFit="1" customWidth="1"/>
  </cols>
  <sheetData>
    <row r="1" spans="1:4">
      <c r="B1" s="382" t="s">
        <v>1457</v>
      </c>
      <c r="C1" s="383"/>
      <c r="D1" s="384"/>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4.25"/>
  <sheetData>
    <row r="1" spans="1:5">
      <c r="B1" s="380" t="s">
        <v>5356</v>
      </c>
      <c r="C1" s="380"/>
      <c r="D1" s="380"/>
      <c r="E1" s="380"/>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4.25"/>
  <cols>
    <col min="2" max="5" width="8.73046875" customWidth="1"/>
  </cols>
  <sheetData>
    <row r="1" spans="1:5">
      <c r="A1" s="1" t="s">
        <v>33</v>
      </c>
      <c r="B1" s="382" t="s">
        <v>5358</v>
      </c>
      <c r="C1" s="383"/>
      <c r="D1" s="383"/>
      <c r="E1" s="384"/>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4.25"/>
  <cols>
    <col min="2" max="5" width="8.73046875" customWidth="1"/>
  </cols>
  <sheetData>
    <row r="1" spans="1:5">
      <c r="B1" s="380" t="s">
        <v>5363</v>
      </c>
      <c r="C1" s="380"/>
      <c r="D1" s="380"/>
      <c r="E1" s="380"/>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4.25"/>
  <sheetData>
    <row r="1" spans="1:5">
      <c r="B1" s="380" t="s">
        <v>5222</v>
      </c>
      <c r="C1" s="380"/>
      <c r="D1" s="380"/>
      <c r="E1" s="380"/>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4.25"/>
  <cols>
    <col min="1" max="1" width="11.1328125" bestFit="1" customWidth="1"/>
    <col min="2" max="2" width="11.1328125" customWidth="1"/>
  </cols>
  <sheetData>
    <row r="1" spans="1:4">
      <c r="C1" s="411" t="s">
        <v>1457</v>
      </c>
      <c r="D1" s="379"/>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4.25"/>
  <cols>
    <col min="1" max="2" width="8.73046875" customWidth="1"/>
    <col min="3" max="3" width="15.132812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4.25"/>
  <cols>
    <col min="2" max="2" width="15.265625" bestFit="1" customWidth="1"/>
    <col min="3" max="3" width="15.132812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4.25"/>
  <cols>
    <col min="5" max="5" width="16.132812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4.25"/>
  <cols>
    <col min="1" max="1" width="36.3984375" bestFit="1" customWidth="1"/>
    <col min="3" max="3" width="44.8632812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4.25"/>
  <cols>
    <col min="2" max="2" width="36.398437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4.25"/>
  <cols>
    <col min="3" max="3" width="36.3984375" bestFit="1" customWidth="1"/>
    <col min="4" max="4" width="12.5976562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82" t="s">
        <v>5371</v>
      </c>
      <c r="D8" s="384"/>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4.25"/>
  <cols>
    <col min="4" max="4" width="52.265625" bestFit="1" customWidth="1"/>
    <col min="5" max="5" width="8.73046875" customWidth="1"/>
  </cols>
  <sheetData>
    <row r="1" spans="4:5">
      <c r="D1" s="411" t="s">
        <v>5375</v>
      </c>
      <c r="E1" s="379"/>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4.25"/>
  <cols>
    <col min="2" max="2" width="17.1328125" bestFit="1" customWidth="1"/>
    <col min="3" max="3" width="17.1328125" customWidth="1"/>
    <col min="6" max="6" width="30.132812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4.25"/>
  <cols>
    <col min="1" max="1" width="36.398437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4.25"/>
  <cols>
    <col min="1" max="1" width="11.59765625" bestFit="1" customWidth="1"/>
    <col min="2" max="2" width="8.73046875" customWidth="1"/>
    <col min="3" max="3" width="21.132812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5379</v>
      </c>
      <c r="B4" s="480"/>
      <c r="C4" s="480"/>
      <c r="D4" s="480"/>
    </row>
    <row r="5" spans="1:14" ht="28.5">
      <c r="A5" s="1" t="s">
        <v>97</v>
      </c>
      <c r="B5" s="8" t="s">
        <v>469</v>
      </c>
      <c r="C5" s="8" t="s">
        <v>5380</v>
      </c>
      <c r="D5" s="8" t="s">
        <v>5381</v>
      </c>
      <c r="E5" s="480" t="s">
        <v>5384</v>
      </c>
      <c r="F5" s="480"/>
      <c r="G5" s="480"/>
      <c r="H5" s="480"/>
      <c r="I5" s="480"/>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4.25"/>
  <cols>
    <col min="1" max="1" width="11.59765625" bestFit="1" customWidth="1"/>
    <col min="3" max="3" width="21.132812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5391</v>
      </c>
      <c r="B4" s="480"/>
      <c r="C4" s="480"/>
      <c r="D4" s="480"/>
    </row>
    <row r="5" spans="1:14" ht="28.5">
      <c r="A5" s="1" t="s">
        <v>155</v>
      </c>
      <c r="B5" s="8" t="s">
        <v>469</v>
      </c>
      <c r="C5" s="8" t="s">
        <v>5380</v>
      </c>
      <c r="D5" s="8" t="s">
        <v>5381</v>
      </c>
      <c r="E5" s="481" t="s">
        <v>5384</v>
      </c>
      <c r="F5" s="483"/>
      <c r="G5" s="483"/>
      <c r="H5" s="483"/>
      <c r="I5" s="483"/>
      <c r="J5" s="483"/>
      <c r="K5" s="482"/>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4.25"/>
  <cols>
    <col min="1" max="1" width="11.59765625" bestFit="1" customWidth="1"/>
    <col min="3" max="3" width="21.132812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5392</v>
      </c>
      <c r="B4" s="480"/>
      <c r="C4" s="480"/>
      <c r="D4" s="480"/>
    </row>
    <row r="5" spans="1:14" ht="28.5">
      <c r="A5" s="1" t="s">
        <v>5393</v>
      </c>
      <c r="B5" s="8" t="s">
        <v>469</v>
      </c>
      <c r="C5" s="8" t="s">
        <v>5380</v>
      </c>
      <c r="D5" s="8" t="s">
        <v>5381</v>
      </c>
      <c r="E5" s="480" t="s">
        <v>5384</v>
      </c>
      <c r="F5" s="480"/>
      <c r="G5" s="480"/>
      <c r="H5" s="480"/>
      <c r="I5" s="480"/>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4.25"/>
  <cols>
    <col min="1" max="1" width="11.59765625" bestFit="1" customWidth="1"/>
    <col min="3" max="3" width="21.132812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5394</v>
      </c>
      <c r="B4" s="480"/>
      <c r="C4" s="480"/>
      <c r="D4" s="480"/>
    </row>
    <row r="5" spans="1:14" ht="28.5">
      <c r="A5" s="1" t="s">
        <v>2296</v>
      </c>
      <c r="B5" s="8" t="s">
        <v>469</v>
      </c>
      <c r="C5" s="8" t="s">
        <v>5380</v>
      </c>
      <c r="D5" s="8" t="s">
        <v>5381</v>
      </c>
      <c r="E5" s="480" t="s">
        <v>5384</v>
      </c>
      <c r="F5" s="480"/>
      <c r="G5" s="480"/>
      <c r="H5" s="480"/>
      <c r="I5" s="480"/>
      <c r="J5" s="480"/>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4.25"/>
  <cols>
    <col min="1" max="1" width="11.59765625" bestFit="1" customWidth="1"/>
    <col min="3" max="3" width="21.132812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5399</v>
      </c>
      <c r="B4" s="480"/>
      <c r="C4" s="480"/>
      <c r="D4" s="480"/>
    </row>
    <row r="5" spans="1:14" ht="28.5">
      <c r="A5" s="1" t="s">
        <v>5048</v>
      </c>
      <c r="B5" s="8" t="s">
        <v>469</v>
      </c>
      <c r="C5" s="8" t="s">
        <v>5380</v>
      </c>
      <c r="D5" s="8" t="s">
        <v>5381</v>
      </c>
      <c r="E5" s="480" t="s">
        <v>5384</v>
      </c>
      <c r="F5" s="480"/>
      <c r="G5" s="480"/>
      <c r="H5" s="480"/>
      <c r="I5" s="480"/>
      <c r="J5" s="480"/>
      <c r="K5" s="480"/>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4.25"/>
  <cols>
    <col min="1" max="1" width="11.59765625" bestFit="1" customWidth="1"/>
    <col min="3" max="3" width="26.3984375" customWidth="1"/>
    <col min="4" max="4" width="15.59765625" customWidth="1"/>
  </cols>
  <sheetData>
    <row r="1" spans="1:14" ht="26.45" customHeight="1">
      <c r="A1" s="352" t="s">
        <v>5382</v>
      </c>
      <c r="B1" s="349" t="s">
        <v>5385</v>
      </c>
    </row>
    <row r="2" spans="1:14" ht="26.45" customHeight="1">
      <c r="A2" s="351" t="s">
        <v>5383</v>
      </c>
      <c r="B2" s="350" t="s">
        <v>5386</v>
      </c>
    </row>
    <row r="3" spans="1:14" ht="26.45" customHeight="1">
      <c r="B3" s="318"/>
    </row>
    <row r="4" spans="1:14" ht="26.45" customHeight="1">
      <c r="A4" s="480" t="s">
        <v>5401</v>
      </c>
      <c r="B4" s="480"/>
      <c r="C4" s="480"/>
      <c r="D4" s="480"/>
    </row>
    <row r="5" spans="1:14" ht="28.5">
      <c r="A5" s="1" t="s">
        <v>5402</v>
      </c>
      <c r="B5" s="8" t="s">
        <v>469</v>
      </c>
      <c r="C5" s="8" t="s">
        <v>5400</v>
      </c>
      <c r="D5" s="8" t="s">
        <v>5381</v>
      </c>
      <c r="E5" s="480" t="s">
        <v>5384</v>
      </c>
      <c r="F5" s="480"/>
      <c r="G5" s="480"/>
      <c r="H5" s="480"/>
      <c r="I5" s="480"/>
      <c r="J5" s="480"/>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4.25"/>
  <cols>
    <col min="1" max="1" width="8.73046875" bestFit="1" customWidth="1"/>
    <col min="2" max="2" width="9.1328125" bestFit="1" customWidth="1"/>
    <col min="3" max="3" width="8.3984375" bestFit="1" customWidth="1"/>
    <col min="4" max="4" width="16.132812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4.25"/>
  <cols>
    <col min="1" max="1" width="6.86328125" bestFit="1" customWidth="1"/>
    <col min="2" max="2" width="8.265625" bestFit="1" customWidth="1"/>
    <col min="3" max="3" width="9" bestFit="1" customWidth="1"/>
    <col min="4" max="4" width="13.8632812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4.25"/>
  <cols>
    <col min="1" max="1" width="11" bestFit="1" customWidth="1"/>
    <col min="2" max="2" width="20.59765625" bestFit="1" customWidth="1"/>
    <col min="3" max="3" width="14.1328125" bestFit="1" customWidth="1"/>
    <col min="4" max="4" width="25.8632812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4.25"/>
  <cols>
    <col min="1" max="1" width="10.3984375" customWidth="1"/>
    <col min="2" max="2" width="12.59765625" customWidth="1"/>
    <col min="3" max="4" width="10.132812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4.25"/>
  <cols>
    <col min="1" max="1" width="7.3984375" bestFit="1" customWidth="1"/>
    <col min="2" max="2" width="12" bestFit="1" customWidth="1"/>
    <col min="3" max="3" width="8.3984375" bestFit="1" customWidth="1"/>
    <col min="4" max="4" width="9" bestFit="1" customWidth="1"/>
  </cols>
  <sheetData>
    <row r="1" spans="1:4">
      <c r="A1" s="380" t="s">
        <v>4192</v>
      </c>
      <c r="B1" s="380"/>
      <c r="C1" s="380"/>
      <c r="D1" s="380"/>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80" t="s">
        <v>4193</v>
      </c>
      <c r="B9" s="380"/>
      <c r="C9" s="380"/>
      <c r="D9" s="380"/>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zoomScale="130" zoomScaleNormal="130" workbookViewId="0">
      <selection activeCell="D8" sqref="D8"/>
    </sheetView>
  </sheetViews>
  <sheetFormatPr defaultRowHeight="14.25"/>
  <sheetData>
    <row r="5" spans="1:9">
      <c r="A5" s="131" t="s">
        <v>5463</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56"/>
  <sheetViews>
    <sheetView showGridLines="0" tabSelected="1" zoomScale="110" zoomScaleNormal="110" workbookViewId="0">
      <selection activeCell="A10" sqref="A10"/>
    </sheetView>
  </sheetViews>
  <sheetFormatPr defaultRowHeight="14.25"/>
  <cols>
    <col min="1" max="2" width="8.265625" bestFit="1" customWidth="1"/>
    <col min="3" max="3" width="9.1328125" bestFit="1" customWidth="1"/>
    <col min="4" max="4" width="9.59765625" bestFit="1" customWidth="1"/>
    <col min="5" max="5" width="9.1328125" customWidth="1"/>
    <col min="6" max="6" width="6.265625" customWidth="1"/>
    <col min="7" max="7" width="9.59765625" bestFit="1" customWidth="1"/>
    <col min="8" max="8" width="8.73046875" customWidth="1"/>
    <col min="9" max="10" width="8.1328125" customWidth="1"/>
    <col min="11" max="11" width="10.265625" bestFit="1" customWidth="1"/>
  </cols>
  <sheetData>
    <row r="2" spans="1:11">
      <c r="A2" s="380" t="s">
        <v>5431</v>
      </c>
      <c r="B2" s="380"/>
      <c r="C2" s="380"/>
      <c r="D2" s="380"/>
      <c r="G2" s="380" t="s">
        <v>5432</v>
      </c>
      <c r="H2" s="380"/>
      <c r="I2" s="380"/>
      <c r="J2" s="380"/>
      <c r="K2" s="380"/>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row>
    <row r="5" spans="1:11">
      <c r="A5" s="53">
        <v>174.38</v>
      </c>
      <c r="B5" s="53">
        <v>111.51</v>
      </c>
      <c r="C5" s="53">
        <v>111.65</v>
      </c>
      <c r="D5" s="53">
        <v>277.14</v>
      </c>
      <c r="G5" t="s">
        <v>1538</v>
      </c>
      <c r="H5">
        <v>42.221988000000053</v>
      </c>
      <c r="I5">
        <f>VARP(CovMat_Example!$B$4:$B$8)</f>
        <v>69.538015999999999</v>
      </c>
    </row>
    <row r="6" spans="1:11">
      <c r="A6" s="53">
        <v>161.22</v>
      </c>
      <c r="B6" s="53">
        <v>120.11</v>
      </c>
      <c r="C6" s="53">
        <v>110.18</v>
      </c>
      <c r="D6" s="53">
        <v>289.49</v>
      </c>
      <c r="G6" t="s">
        <v>1534</v>
      </c>
      <c r="H6">
        <v>41.749612000000035</v>
      </c>
      <c r="I6">
        <v>46.408204000000026</v>
      </c>
      <c r="J6">
        <f>VARP(CovMat_Example!$C$4:$C$8)</f>
        <v>63.362375999999983</v>
      </c>
    </row>
    <row r="7" spans="1:11" ht="14.6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row r="10" spans="1:11" ht="17.649999999999999">
      <c r="A10" t="s">
        <v>5513</v>
      </c>
      <c r="B10" s="365" t="s">
        <v>5525</v>
      </c>
    </row>
    <row r="12" spans="1:11" ht="28.5">
      <c r="B12" s="307" t="s">
        <v>108</v>
      </c>
      <c r="C12" s="307" t="s">
        <v>340</v>
      </c>
      <c r="D12" s="307" t="s">
        <v>1538</v>
      </c>
      <c r="E12" s="307" t="s">
        <v>1534</v>
      </c>
      <c r="F12" s="307" t="s">
        <v>1535</v>
      </c>
    </row>
    <row r="13" spans="1:11">
      <c r="B13" s="372">
        <v>1</v>
      </c>
      <c r="C13" s="372">
        <v>151.91999999999999</v>
      </c>
      <c r="D13" s="372">
        <v>100.05</v>
      </c>
      <c r="E13" s="372">
        <v>100.77</v>
      </c>
      <c r="F13" s="372">
        <v>266.73</v>
      </c>
    </row>
    <row r="14" spans="1:11">
      <c r="B14" s="372">
        <v>2</v>
      </c>
      <c r="C14" s="372">
        <v>174.38</v>
      </c>
      <c r="D14" s="372">
        <v>111.51</v>
      </c>
      <c r="E14" s="372">
        <v>111.65</v>
      </c>
      <c r="F14" s="372">
        <v>277.14</v>
      </c>
    </row>
    <row r="15" spans="1:11">
      <c r="B15" s="372">
        <v>3</v>
      </c>
      <c r="C15" s="372">
        <v>161.22</v>
      </c>
      <c r="D15" s="372">
        <v>120.11</v>
      </c>
      <c r="E15" s="372">
        <v>110.18</v>
      </c>
      <c r="F15" s="372">
        <v>289.49</v>
      </c>
    </row>
    <row r="16" spans="1:11">
      <c r="B16" s="372">
        <v>4</v>
      </c>
      <c r="C16" s="372">
        <v>162.29</v>
      </c>
      <c r="D16" s="372">
        <v>110.23</v>
      </c>
      <c r="E16" s="372">
        <v>120.27</v>
      </c>
      <c r="F16" s="372">
        <v>286.77</v>
      </c>
    </row>
    <row r="17" spans="2:6">
      <c r="B17" s="372">
        <v>5</v>
      </c>
      <c r="C17" s="372">
        <v>171.81</v>
      </c>
      <c r="D17" s="372">
        <v>123.94</v>
      </c>
      <c r="E17" s="372">
        <v>123.24</v>
      </c>
      <c r="F17" s="372">
        <v>276.22000000000003</v>
      </c>
    </row>
    <row r="19" spans="2:6" ht="17.649999999999999">
      <c r="B19" s="365" t="s">
        <v>5432</v>
      </c>
    </row>
    <row r="21" spans="2:6">
      <c r="B21" t="s">
        <v>5526</v>
      </c>
    </row>
    <row r="23" spans="2:6" ht="28.5">
      <c r="B23" s="307"/>
      <c r="C23" s="307" t="s">
        <v>340</v>
      </c>
      <c r="D23" s="307" t="s">
        <v>1538</v>
      </c>
      <c r="E23" s="307" t="s">
        <v>1534</v>
      </c>
      <c r="F23" s="307" t="s">
        <v>1535</v>
      </c>
    </row>
    <row r="24" spans="2:6">
      <c r="B24" s="373" t="s">
        <v>340</v>
      </c>
      <c r="C24" s="372">
        <v>64.958904000000004</v>
      </c>
      <c r="D24" s="372"/>
      <c r="E24" s="372"/>
      <c r="F24" s="372"/>
    </row>
    <row r="25" spans="2:6">
      <c r="B25" s="373" t="s">
        <v>1538</v>
      </c>
      <c r="C25" s="372">
        <v>42.221988000000003</v>
      </c>
      <c r="D25" s="372">
        <v>69.538015999999999</v>
      </c>
      <c r="E25" s="372"/>
      <c r="F25" s="372"/>
    </row>
    <row r="26" spans="2:6">
      <c r="B26" s="373" t="s">
        <v>1534</v>
      </c>
      <c r="C26" s="372">
        <v>41.749611999999999</v>
      </c>
      <c r="D26" s="372">
        <v>46.408203999999998</v>
      </c>
      <c r="E26" s="372">
        <v>63.362375999999998</v>
      </c>
      <c r="F26" s="372"/>
    </row>
    <row r="27" spans="2:6" ht="28.5">
      <c r="B27" s="373" t="s">
        <v>1535</v>
      </c>
      <c r="C27" s="372">
        <v>12.863340000000001</v>
      </c>
      <c r="D27" s="372">
        <v>36.817779999999999</v>
      </c>
      <c r="E27" s="372">
        <v>30.14246</v>
      </c>
      <c r="F27" s="372">
        <v>66.357879999999994</v>
      </c>
    </row>
    <row r="29" spans="2:6" ht="17.649999999999999">
      <c r="B29" s="365" t="s">
        <v>3731</v>
      </c>
    </row>
    <row r="30" spans="2:6">
      <c r="B30" s="366"/>
    </row>
    <row r="31" spans="2:6">
      <c r="B31" s="367" t="s">
        <v>5527</v>
      </c>
    </row>
    <row r="32" spans="2:6">
      <c r="B32" s="366"/>
    </row>
    <row r="33" spans="2:2">
      <c r="B33" s="367" t="s">
        <v>5528</v>
      </c>
    </row>
    <row r="34" spans="2:2">
      <c r="B34" s="366"/>
    </row>
    <row r="35" spans="2:2">
      <c r="B35" s="367" t="s">
        <v>5529</v>
      </c>
    </row>
    <row r="36" spans="2:2">
      <c r="B36" s="366"/>
    </row>
    <row r="37" spans="2:2">
      <c r="B37" s="367" t="s">
        <v>5530</v>
      </c>
    </row>
    <row r="38" spans="2:2">
      <c r="B38" s="366"/>
    </row>
    <row r="39" spans="2:2">
      <c r="B39" s="367" t="s">
        <v>5531</v>
      </c>
    </row>
    <row r="40" spans="2:2">
      <c r="B40" s="366"/>
    </row>
    <row r="41" spans="2:2">
      <c r="B41" s="367" t="s">
        <v>5532</v>
      </c>
    </row>
    <row r="42" spans="2:2">
      <c r="B42" s="366"/>
    </row>
    <row r="43" spans="2:2">
      <c r="B43" s="367" t="s">
        <v>5533</v>
      </c>
    </row>
    <row r="44" spans="2:2">
      <c r="B44" s="366"/>
    </row>
    <row r="45" spans="2:2">
      <c r="B45" s="367" t="s">
        <v>5534</v>
      </c>
    </row>
    <row r="46" spans="2:2">
      <c r="B46" s="366"/>
    </row>
    <row r="47" spans="2:2">
      <c r="B47" s="367" t="s">
        <v>5535</v>
      </c>
    </row>
    <row r="48" spans="2:2">
      <c r="B48" s="366"/>
    </row>
    <row r="49" spans="2:2">
      <c r="B49" s="367" t="s">
        <v>5536</v>
      </c>
    </row>
    <row r="51" spans="2:2">
      <c r="B51" t="s">
        <v>5508</v>
      </c>
    </row>
    <row r="52" spans="2:2">
      <c r="B52" s="366"/>
    </row>
    <row r="53" spans="2:2">
      <c r="B53" s="366" t="s">
        <v>5537</v>
      </c>
    </row>
    <row r="54" spans="2:2">
      <c r="B54" s="366" t="s">
        <v>5538</v>
      </c>
    </row>
    <row r="55" spans="2:2">
      <c r="B55" s="371" t="s">
        <v>5539</v>
      </c>
    </row>
    <row r="56" spans="2:2">
      <c r="B56" s="366" t="s">
        <v>5540</v>
      </c>
    </row>
  </sheetData>
  <mergeCells count="2">
    <mergeCell ref="A2:D2"/>
    <mergeCell ref="G2:K2"/>
  </mergeCells>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48"/>
  <sheetViews>
    <sheetView showGridLines="0" topLeftCell="A24" workbookViewId="0">
      <selection activeCell="B25" sqref="B25:E29"/>
    </sheetView>
  </sheetViews>
  <sheetFormatPr defaultRowHeight="14.25"/>
  <cols>
    <col min="1" max="1" width="12.1328125" bestFit="1" customWidth="1"/>
    <col min="2" max="2" width="8.73046875" customWidth="1"/>
    <col min="3" max="3" width="10.73046875" bestFit="1" customWidth="1"/>
    <col min="4" max="4" width="12.59765625" bestFit="1" customWidth="1"/>
    <col min="5" max="5" width="13.46484375" customWidth="1"/>
    <col min="6" max="6" width="12.3984375" bestFit="1" customWidth="1"/>
    <col min="7" max="7" width="7.73046875" bestFit="1" customWidth="1"/>
    <col min="8" max="8" width="11.265625" bestFit="1" customWidth="1"/>
    <col min="9" max="9" width="13.1328125" bestFit="1" customWidth="1"/>
  </cols>
  <sheetData>
    <row r="2" spans="1:9" ht="14.65" thickBot="1">
      <c r="A2" s="380" t="s">
        <v>5435</v>
      </c>
      <c r="B2" s="382" t="s">
        <v>5434</v>
      </c>
      <c r="C2" s="383"/>
      <c r="D2" s="384"/>
      <c r="F2" s="380" t="s">
        <v>5432</v>
      </c>
      <c r="G2" s="380"/>
      <c r="H2" s="380"/>
      <c r="I2" s="380"/>
    </row>
    <row r="3" spans="1:9">
      <c r="A3" s="380"/>
      <c r="B3" s="1" t="s">
        <v>98</v>
      </c>
      <c r="C3" s="1" t="s">
        <v>99</v>
      </c>
      <c r="D3" s="1" t="s">
        <v>394</v>
      </c>
      <c r="F3" s="245"/>
      <c r="G3" s="245" t="s">
        <v>98</v>
      </c>
      <c r="H3" s="245" t="s">
        <v>99</v>
      </c>
      <c r="I3" s="245" t="s">
        <v>394</v>
      </c>
    </row>
    <row r="4" spans="1:9">
      <c r="A4" s="2">
        <v>1</v>
      </c>
      <c r="B4" s="356">
        <v>98</v>
      </c>
      <c r="C4" s="356">
        <v>99</v>
      </c>
      <c r="D4" s="356">
        <v>75</v>
      </c>
      <c r="F4" t="s">
        <v>98</v>
      </c>
      <c r="G4">
        <f>VARP(CovMat_Use!$B$4:$B$8)</f>
        <v>58.96</v>
      </c>
    </row>
    <row r="5" spans="1:9">
      <c r="A5" s="2">
        <v>2</v>
      </c>
      <c r="B5" s="357">
        <v>80</v>
      </c>
      <c r="C5" s="357">
        <v>85</v>
      </c>
      <c r="D5" s="357">
        <v>100</v>
      </c>
      <c r="F5" t="s">
        <v>99</v>
      </c>
      <c r="G5">
        <v>57.2</v>
      </c>
      <c r="H5">
        <f>VARP(CovMat_Use!$C$4:$C$8)</f>
        <v>72.8</v>
      </c>
    </row>
    <row r="6" spans="1:9" ht="14.6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row r="11" spans="1:9">
      <c r="A11" t="s">
        <v>5513</v>
      </c>
    </row>
    <row r="12" spans="1:9" ht="17.649999999999999">
      <c r="B12" s="365" t="s">
        <v>5514</v>
      </c>
    </row>
    <row r="14" spans="1:9" ht="28.5">
      <c r="B14" s="307" t="s">
        <v>5435</v>
      </c>
      <c r="C14" s="307" t="s">
        <v>98</v>
      </c>
      <c r="D14" s="307" t="s">
        <v>99</v>
      </c>
      <c r="E14" s="307" t="s">
        <v>394</v>
      </c>
    </row>
    <row r="15" spans="1:9">
      <c r="B15" s="372">
        <v>1</v>
      </c>
      <c r="C15" s="372">
        <v>98</v>
      </c>
      <c r="D15" s="372">
        <v>99</v>
      </c>
      <c r="E15" s="372">
        <v>75</v>
      </c>
    </row>
    <row r="16" spans="1:9">
      <c r="B16" s="372">
        <v>2</v>
      </c>
      <c r="C16" s="372">
        <v>80</v>
      </c>
      <c r="D16" s="372">
        <v>85</v>
      </c>
      <c r="E16" s="372">
        <v>100</v>
      </c>
    </row>
    <row r="17" spans="2:5">
      <c r="B17" s="372">
        <v>3</v>
      </c>
      <c r="C17" s="372">
        <v>87</v>
      </c>
      <c r="D17" s="372">
        <v>83</v>
      </c>
      <c r="E17" s="372">
        <v>91</v>
      </c>
    </row>
    <row r="18" spans="2:5">
      <c r="B18" s="372">
        <v>4</v>
      </c>
      <c r="C18" s="372">
        <v>95</v>
      </c>
      <c r="D18" s="372">
        <v>90</v>
      </c>
      <c r="E18" s="372">
        <v>94</v>
      </c>
    </row>
    <row r="19" spans="2:5">
      <c r="B19" s="372">
        <v>5</v>
      </c>
      <c r="C19" s="372">
        <v>79</v>
      </c>
      <c r="D19" s="372">
        <v>73</v>
      </c>
      <c r="E19" s="372">
        <v>80</v>
      </c>
    </row>
    <row r="21" spans="2:5" ht="17.649999999999999">
      <c r="B21" s="365" t="s">
        <v>5432</v>
      </c>
    </row>
    <row r="23" spans="2:5">
      <c r="B23" t="s">
        <v>5515</v>
      </c>
    </row>
    <row r="25" spans="2:5">
      <c r="B25" s="307"/>
      <c r="C25" s="307" t="s">
        <v>98</v>
      </c>
      <c r="D25" s="307" t="s">
        <v>99</v>
      </c>
      <c r="E25" s="307" t="s">
        <v>394</v>
      </c>
    </row>
    <row r="26" spans="2:5">
      <c r="B26" s="373" t="s">
        <v>98</v>
      </c>
      <c r="C26" s="372">
        <v>58.96</v>
      </c>
      <c r="D26" s="372"/>
      <c r="E26" s="372"/>
    </row>
    <row r="27" spans="2:5" ht="28.5">
      <c r="B27" s="373" t="s">
        <v>99</v>
      </c>
      <c r="C27" s="372">
        <v>57.2</v>
      </c>
      <c r="D27" s="372">
        <v>72.8</v>
      </c>
      <c r="E27" s="372"/>
    </row>
    <row r="28" spans="2:5" ht="28.5">
      <c r="B28" s="373" t="s">
        <v>394</v>
      </c>
      <c r="C28" s="372">
        <v>-23</v>
      </c>
      <c r="D28" s="372">
        <v>-12.4</v>
      </c>
      <c r="E28" s="372">
        <v>84.4</v>
      </c>
    </row>
    <row r="29" spans="2:5">
      <c r="B29" s="55"/>
      <c r="C29" s="55"/>
      <c r="D29" s="55"/>
      <c r="E29" s="55"/>
    </row>
    <row r="30" spans="2:5" ht="17.649999999999999">
      <c r="B30" s="365" t="s">
        <v>3731</v>
      </c>
    </row>
    <row r="31" spans="2:5">
      <c r="B31" s="366"/>
    </row>
    <row r="32" spans="2:5">
      <c r="B32" s="367" t="s">
        <v>5516</v>
      </c>
    </row>
    <row r="33" spans="2:2">
      <c r="B33" s="366"/>
    </row>
    <row r="34" spans="2:2">
      <c r="B34" s="367" t="s">
        <v>5517</v>
      </c>
    </row>
    <row r="35" spans="2:2">
      <c r="B35" s="366"/>
    </row>
    <row r="36" spans="2:2">
      <c r="B36" s="367" t="s">
        <v>5518</v>
      </c>
    </row>
    <row r="37" spans="2:2">
      <c r="B37" s="366"/>
    </row>
    <row r="38" spans="2:2">
      <c r="B38" s="367" t="s">
        <v>5519</v>
      </c>
    </row>
    <row r="39" spans="2:2">
      <c r="B39" s="366"/>
    </row>
    <row r="40" spans="2:2">
      <c r="B40" s="367" t="s">
        <v>5520</v>
      </c>
    </row>
    <row r="41" spans="2:2">
      <c r="B41" s="366"/>
    </row>
    <row r="42" spans="2:2">
      <c r="B42" s="367" t="s">
        <v>5521</v>
      </c>
    </row>
    <row r="44" spans="2:2">
      <c r="B44" t="s">
        <v>5508</v>
      </c>
    </row>
    <row r="45" spans="2:2">
      <c r="B45" s="366"/>
    </row>
    <row r="46" spans="2:2">
      <c r="B46" s="366" t="s">
        <v>5522</v>
      </c>
    </row>
    <row r="47" spans="2:2">
      <c r="B47" s="366" t="s">
        <v>5523</v>
      </c>
    </row>
    <row r="48" spans="2:2">
      <c r="B48" s="366" t="s">
        <v>5524</v>
      </c>
    </row>
  </sheetData>
  <mergeCells count="3">
    <mergeCell ref="B2:D2"/>
    <mergeCell ref="F2:I2"/>
    <mergeCell ref="A2:A3"/>
  </mergeCells>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58"/>
  <sheetViews>
    <sheetView showGridLines="0" workbookViewId="0">
      <selection activeCell="A15" sqref="A15"/>
    </sheetView>
  </sheetViews>
  <sheetFormatPr defaultRowHeight="14.25"/>
  <cols>
    <col min="1" max="1" width="8.1328125" customWidth="1"/>
    <col min="2" max="2" width="13" customWidth="1"/>
    <col min="3" max="3" width="11.59765625" customWidth="1"/>
    <col min="4" max="4" width="12.59765625" customWidth="1"/>
    <col min="5" max="5" width="2.3984375" customWidth="1"/>
    <col min="6" max="6" width="7.3984375" bestFit="1" customWidth="1"/>
    <col min="7" max="8" width="8.59765625" customWidth="1"/>
    <col min="9" max="9" width="10.86328125" customWidth="1"/>
  </cols>
  <sheetData>
    <row r="2" spans="1:9" ht="14.65" thickBot="1">
      <c r="A2" s="380" t="s">
        <v>2232</v>
      </c>
      <c r="B2" s="382" t="s">
        <v>5447</v>
      </c>
      <c r="C2" s="383"/>
      <c r="D2" s="384"/>
      <c r="F2" s="380" t="s">
        <v>5432</v>
      </c>
      <c r="G2" s="380"/>
      <c r="H2" s="380"/>
      <c r="I2" s="380"/>
    </row>
    <row r="3" spans="1:9">
      <c r="A3" s="380"/>
      <c r="B3" s="1" t="s">
        <v>899</v>
      </c>
      <c r="C3" s="1" t="s">
        <v>3252</v>
      </c>
      <c r="D3" s="1" t="s">
        <v>5446</v>
      </c>
      <c r="F3" s="245"/>
      <c r="G3" s="245" t="s">
        <v>899</v>
      </c>
      <c r="H3" s="245" t="s">
        <v>3252</v>
      </c>
      <c r="I3" s="245" t="s">
        <v>5446</v>
      </c>
    </row>
    <row r="4" spans="1:9">
      <c r="A4" s="2" t="s">
        <v>5436</v>
      </c>
      <c r="B4" s="356">
        <v>40</v>
      </c>
      <c r="C4" s="356">
        <v>63</v>
      </c>
      <c r="D4" s="356">
        <v>161</v>
      </c>
      <c r="F4" t="s">
        <v>899</v>
      </c>
      <c r="G4">
        <f>VARP('CovMat_Example 1'!$B$4:$B$13)</f>
        <v>13.05</v>
      </c>
    </row>
    <row r="5" spans="1:9">
      <c r="A5" s="2" t="s">
        <v>5437</v>
      </c>
      <c r="B5" s="356">
        <v>35</v>
      </c>
      <c r="C5" s="356">
        <v>59</v>
      </c>
      <c r="D5" s="356">
        <v>159</v>
      </c>
      <c r="F5" t="s">
        <v>3252</v>
      </c>
      <c r="G5">
        <v>7.95</v>
      </c>
      <c r="H5">
        <f>VARP('CovMat_Example 1'!$C$4:$C$13)</f>
        <v>21.65</v>
      </c>
    </row>
    <row r="6" spans="1:9" ht="14.65" thickBot="1">
      <c r="A6" s="2" t="s">
        <v>5438</v>
      </c>
      <c r="B6" s="356">
        <v>39</v>
      </c>
      <c r="C6" s="356">
        <v>64</v>
      </c>
      <c r="D6" s="356">
        <v>163</v>
      </c>
      <c r="F6" s="169" t="s">
        <v>5446</v>
      </c>
      <c r="G6" s="169">
        <v>7.85</v>
      </c>
      <c r="H6" s="169">
        <v>19.05</v>
      </c>
      <c r="I6" s="169">
        <f>VARP('CovMat_Example 1'!$D$4:$D$13)</f>
        <v>17.850000000000001</v>
      </c>
    </row>
    <row r="7" spans="1:9">
      <c r="A7" s="2" t="s">
        <v>5439</v>
      </c>
      <c r="B7" s="356">
        <v>32</v>
      </c>
      <c r="C7" s="356">
        <v>69</v>
      </c>
      <c r="D7" s="356">
        <v>165</v>
      </c>
    </row>
    <row r="8" spans="1:9">
      <c r="A8" s="2" t="s">
        <v>5440</v>
      </c>
      <c r="B8" s="356">
        <v>33</v>
      </c>
      <c r="C8" s="356">
        <v>60</v>
      </c>
      <c r="D8" s="356">
        <v>160</v>
      </c>
    </row>
    <row r="9" spans="1:9">
      <c r="A9" s="2" t="s">
        <v>5441</v>
      </c>
      <c r="B9" s="356">
        <v>30</v>
      </c>
      <c r="C9" s="356">
        <v>55</v>
      </c>
      <c r="D9" s="356">
        <v>155</v>
      </c>
    </row>
    <row r="10" spans="1:9">
      <c r="A10" s="2" t="s">
        <v>5442</v>
      </c>
      <c r="B10" s="356">
        <v>31</v>
      </c>
      <c r="C10" s="356">
        <v>61</v>
      </c>
      <c r="D10" s="356">
        <v>160</v>
      </c>
    </row>
    <row r="11" spans="1:9">
      <c r="A11" s="2" t="s">
        <v>5443</v>
      </c>
      <c r="B11" s="356">
        <v>40</v>
      </c>
      <c r="C11" s="356">
        <v>65</v>
      </c>
      <c r="D11" s="356">
        <v>164</v>
      </c>
    </row>
    <row r="12" spans="1:9">
      <c r="A12" s="2" t="s">
        <v>5444</v>
      </c>
      <c r="B12" s="356">
        <v>38</v>
      </c>
      <c r="C12" s="356">
        <v>69</v>
      </c>
      <c r="D12" s="356">
        <v>168</v>
      </c>
    </row>
    <row r="13" spans="1:9">
      <c r="A13" s="2" t="s">
        <v>5445</v>
      </c>
      <c r="B13" s="356">
        <v>37</v>
      </c>
      <c r="C13" s="356">
        <v>70</v>
      </c>
      <c r="D13" s="356">
        <v>170</v>
      </c>
    </row>
    <row r="15" spans="1:9">
      <c r="A15" s="14" t="s">
        <v>5513</v>
      </c>
    </row>
    <row r="16" spans="1:9" ht="17.649999999999999">
      <c r="A16" s="365" t="s">
        <v>5498</v>
      </c>
    </row>
    <row r="18" spans="1:4" ht="28.5">
      <c r="A18" s="307" t="s">
        <v>2232</v>
      </c>
      <c r="B18" s="307" t="s">
        <v>4116</v>
      </c>
      <c r="C18" s="307" t="s">
        <v>5499</v>
      </c>
      <c r="D18" s="307" t="s">
        <v>5500</v>
      </c>
    </row>
    <row r="19" spans="1:4">
      <c r="A19" s="372" t="s">
        <v>5436</v>
      </c>
      <c r="B19" s="372">
        <v>40</v>
      </c>
      <c r="C19" s="372">
        <v>63</v>
      </c>
      <c r="D19" s="372">
        <v>161</v>
      </c>
    </row>
    <row r="20" spans="1:4">
      <c r="A20" s="372" t="s">
        <v>5437</v>
      </c>
      <c r="B20" s="372">
        <v>35</v>
      </c>
      <c r="C20" s="372">
        <v>59</v>
      </c>
      <c r="D20" s="372">
        <v>159</v>
      </c>
    </row>
    <row r="21" spans="1:4">
      <c r="A21" s="372" t="s">
        <v>5438</v>
      </c>
      <c r="B21" s="372">
        <v>39</v>
      </c>
      <c r="C21" s="372">
        <v>64</v>
      </c>
      <c r="D21" s="372">
        <v>163</v>
      </c>
    </row>
    <row r="22" spans="1:4">
      <c r="A22" s="372" t="s">
        <v>5439</v>
      </c>
      <c r="B22" s="372">
        <v>32</v>
      </c>
      <c r="C22" s="372">
        <v>69</v>
      </c>
      <c r="D22" s="372">
        <v>165</v>
      </c>
    </row>
    <row r="23" spans="1:4">
      <c r="A23" s="372" t="s">
        <v>5440</v>
      </c>
      <c r="B23" s="372">
        <v>33</v>
      </c>
      <c r="C23" s="372">
        <v>60</v>
      </c>
      <c r="D23" s="372">
        <v>160</v>
      </c>
    </row>
    <row r="24" spans="1:4">
      <c r="A24" s="372" t="s">
        <v>5441</v>
      </c>
      <c r="B24" s="372">
        <v>30</v>
      </c>
      <c r="C24" s="372">
        <v>55</v>
      </c>
      <c r="D24" s="372">
        <v>155</v>
      </c>
    </row>
    <row r="25" spans="1:4">
      <c r="A25" s="372" t="s">
        <v>5442</v>
      </c>
      <c r="B25" s="372">
        <v>31</v>
      </c>
      <c r="C25" s="372">
        <v>61</v>
      </c>
      <c r="D25" s="372">
        <v>160</v>
      </c>
    </row>
    <row r="26" spans="1:4">
      <c r="A26" s="372" t="s">
        <v>5443</v>
      </c>
      <c r="B26" s="372">
        <v>40</v>
      </c>
      <c r="C26" s="372">
        <v>65</v>
      </c>
      <c r="D26" s="372">
        <v>164</v>
      </c>
    </row>
    <row r="27" spans="1:4">
      <c r="A27" s="372" t="s">
        <v>5444</v>
      </c>
      <c r="B27" s="372">
        <v>38</v>
      </c>
      <c r="C27" s="372">
        <v>69</v>
      </c>
      <c r="D27" s="372">
        <v>168</v>
      </c>
    </row>
    <row r="28" spans="1:4">
      <c r="A28" s="372" t="s">
        <v>5445</v>
      </c>
      <c r="B28" s="372">
        <v>37</v>
      </c>
      <c r="C28" s="372">
        <v>70</v>
      </c>
      <c r="D28" s="372">
        <v>170</v>
      </c>
    </row>
    <row r="30" spans="1:4" ht="17.649999999999999">
      <c r="A30" s="365" t="s">
        <v>5432</v>
      </c>
    </row>
    <row r="32" spans="1:4">
      <c r="A32" t="s">
        <v>5501</v>
      </c>
    </row>
    <row r="34" spans="1:4">
      <c r="A34" s="307"/>
      <c r="B34" s="307" t="s">
        <v>899</v>
      </c>
      <c r="C34" s="307" t="s">
        <v>3252</v>
      </c>
      <c r="D34" s="307" t="s">
        <v>5446</v>
      </c>
    </row>
    <row r="35" spans="1:4">
      <c r="A35" s="373" t="s">
        <v>899</v>
      </c>
      <c r="B35" s="372">
        <v>13.05</v>
      </c>
      <c r="C35" s="372">
        <v>7.95</v>
      </c>
      <c r="D35" s="372">
        <v>7.85</v>
      </c>
    </row>
    <row r="36" spans="1:4">
      <c r="A36" s="373" t="s">
        <v>3252</v>
      </c>
      <c r="B36" s="372">
        <v>7.95</v>
      </c>
      <c r="C36" s="372">
        <v>21.65</v>
      </c>
      <c r="D36" s="372">
        <v>19.05</v>
      </c>
    </row>
    <row r="37" spans="1:4">
      <c r="A37" s="373" t="s">
        <v>5446</v>
      </c>
      <c r="B37" s="372">
        <v>7.85</v>
      </c>
      <c r="C37" s="372">
        <v>19.05</v>
      </c>
      <c r="D37" s="372">
        <v>17.850000000000001</v>
      </c>
    </row>
    <row r="39" spans="1:4" ht="17.649999999999999">
      <c r="A39" s="365" t="s">
        <v>3731</v>
      </c>
    </row>
    <row r="40" spans="1:4">
      <c r="A40" s="366"/>
    </row>
    <row r="41" spans="1:4">
      <c r="A41" s="367" t="s">
        <v>5502</v>
      </c>
    </row>
    <row r="42" spans="1:4">
      <c r="A42" s="366"/>
    </row>
    <row r="43" spans="1:4">
      <c r="A43" s="367" t="s">
        <v>5503</v>
      </c>
    </row>
    <row r="44" spans="1:4">
      <c r="A44" s="366"/>
    </row>
    <row r="45" spans="1:4">
      <c r="A45" s="367" t="s">
        <v>5504</v>
      </c>
    </row>
    <row r="46" spans="1:4">
      <c r="A46" s="366"/>
    </row>
    <row r="47" spans="1:4">
      <c r="A47" s="367" t="s">
        <v>5505</v>
      </c>
    </row>
    <row r="48" spans="1:4">
      <c r="A48" s="366"/>
    </row>
    <row r="49" spans="1:1">
      <c r="A49" s="367" t="s">
        <v>5506</v>
      </c>
    </row>
    <row r="50" spans="1:1">
      <c r="A50" s="366"/>
    </row>
    <row r="51" spans="1:1">
      <c r="A51" s="367" t="s">
        <v>5507</v>
      </c>
    </row>
    <row r="53" spans="1:1">
      <c r="A53" t="s">
        <v>5508</v>
      </c>
    </row>
    <row r="54" spans="1:1">
      <c r="A54" s="366"/>
    </row>
    <row r="55" spans="1:1">
      <c r="A55" s="366" t="s">
        <v>5509</v>
      </c>
    </row>
    <row r="56" spans="1:1">
      <c r="A56" s="366" t="s">
        <v>5510</v>
      </c>
    </row>
    <row r="57" spans="1:1">
      <c r="A57" s="371" t="s">
        <v>5511</v>
      </c>
    </row>
    <row r="58" spans="1:1">
      <c r="A58" s="371" t="s">
        <v>5512</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32"/>
  <sheetViews>
    <sheetView showGridLines="0" topLeftCell="A7" zoomScaleNormal="100" workbookViewId="0">
      <selection activeCell="B32" sqref="B32"/>
    </sheetView>
  </sheetViews>
  <sheetFormatPr defaultRowHeight="14.25"/>
  <cols>
    <col min="1" max="1" width="12.3984375" customWidth="1"/>
    <col min="2" max="2" width="16.73046875" customWidth="1"/>
    <col min="3" max="3" width="7.73046875" customWidth="1"/>
    <col min="4" max="4" width="7.265625" customWidth="1"/>
    <col min="5" max="5" width="7.3984375" customWidth="1"/>
    <col min="6" max="6" width="7.73046875" customWidth="1"/>
    <col min="7" max="7" width="7.59765625" customWidth="1"/>
    <col min="8" max="8" width="7.86328125" customWidth="1"/>
    <col min="9" max="9" width="6" customWidth="1"/>
    <col min="10" max="10" width="6.3984375" customWidth="1"/>
    <col min="11" max="11" width="17.265625" bestFit="1" customWidth="1"/>
    <col min="12" max="12" width="17.73046875" bestFit="1" customWidth="1"/>
    <col min="13" max="13" width="16.265625" bestFit="1" customWidth="1"/>
  </cols>
  <sheetData>
    <row r="1" spans="1:13" ht="14.65" thickBot="1">
      <c r="C1" s="380" t="s">
        <v>33</v>
      </c>
      <c r="D1" s="380"/>
      <c r="E1" s="380"/>
      <c r="F1" s="380"/>
      <c r="G1" s="380"/>
      <c r="H1" s="380"/>
      <c r="K1" s="382" t="s">
        <v>5432</v>
      </c>
      <c r="L1" s="383"/>
      <c r="M1" s="384"/>
    </row>
    <row r="2" spans="1:13">
      <c r="C2" s="1">
        <v>2015</v>
      </c>
      <c r="D2" s="1">
        <v>2016</v>
      </c>
      <c r="E2" s="1">
        <v>2017</v>
      </c>
      <c r="F2" s="1">
        <v>2018</v>
      </c>
      <c r="G2" s="1">
        <v>2019</v>
      </c>
      <c r="H2" s="1">
        <v>2020</v>
      </c>
      <c r="K2" s="245"/>
      <c r="L2" s="245" t="s">
        <v>5448</v>
      </c>
      <c r="M2" s="245" t="s">
        <v>5449</v>
      </c>
    </row>
    <row r="3" spans="1:13">
      <c r="A3" s="480" t="s">
        <v>5450</v>
      </c>
      <c r="B3" s="1" t="s">
        <v>5448</v>
      </c>
      <c r="C3" s="15">
        <v>8.5000000000000006E-2</v>
      </c>
      <c r="D3" s="15">
        <v>9.9000000000000005E-2</v>
      </c>
      <c r="E3" s="15">
        <v>9.5000000000000001E-2</v>
      </c>
      <c r="F3" s="15">
        <v>7.85E-2</v>
      </c>
      <c r="G3" s="15">
        <v>6.9800000000000001E-2</v>
      </c>
      <c r="H3" s="15">
        <v>8.8800000000000004E-2</v>
      </c>
      <c r="K3" t="s">
        <v>5448</v>
      </c>
      <c r="L3">
        <f>VARP('CovMat_Example 2'!$C$3:$H$3)</f>
        <v>9.6254722222222704E-5</v>
      </c>
    </row>
    <row r="4" spans="1:13" ht="14.65" thickBot="1">
      <c r="A4" s="480"/>
      <c r="B4" s="1" t="s">
        <v>5449</v>
      </c>
      <c r="C4" s="15">
        <v>6.4500000000000002E-2</v>
      </c>
      <c r="D4" s="15">
        <v>8.3400000000000002E-2</v>
      </c>
      <c r="E4" s="15">
        <v>9.5500000000000002E-2</v>
      </c>
      <c r="F4" s="15">
        <v>6.3100000000000003E-2</v>
      </c>
      <c r="G4" s="15">
        <v>7.1400000000000005E-2</v>
      </c>
      <c r="H4" s="15">
        <v>5.8200000000000002E-2</v>
      </c>
      <c r="K4" s="169" t="s">
        <v>5449</v>
      </c>
      <c r="L4" s="169">
        <v>6.7493611111111096E-5</v>
      </c>
      <c r="M4" s="169">
        <f>VARP('CovMat_Example 2'!$C$4:$H$4)</f>
        <v>1.6761138888888829E-4</v>
      </c>
    </row>
    <row r="8" spans="1:13" ht="17.649999999999999">
      <c r="A8" t="s">
        <v>5497</v>
      </c>
      <c r="B8" s="365" t="s">
        <v>5491</v>
      </c>
    </row>
    <row r="10" spans="1:13" ht="42.75">
      <c r="B10" s="307" t="s">
        <v>33</v>
      </c>
      <c r="C10" s="307" t="s">
        <v>5448</v>
      </c>
      <c r="D10" s="307" t="s">
        <v>5449</v>
      </c>
    </row>
    <row r="11" spans="1:13">
      <c r="B11" s="372">
        <v>2015</v>
      </c>
      <c r="C11" s="374">
        <v>8.5000000000000006E-2</v>
      </c>
      <c r="D11" s="374">
        <v>6.4500000000000002E-2</v>
      </c>
    </row>
    <row r="12" spans="1:13">
      <c r="B12" s="372">
        <v>2016</v>
      </c>
      <c r="C12" s="374">
        <v>9.9000000000000005E-2</v>
      </c>
      <c r="D12" s="374">
        <v>8.3400000000000002E-2</v>
      </c>
    </row>
    <row r="13" spans="1:13">
      <c r="B13" s="372">
        <v>2017</v>
      </c>
      <c r="C13" s="374">
        <v>9.5000000000000001E-2</v>
      </c>
      <c r="D13" s="374">
        <v>9.5500000000000002E-2</v>
      </c>
    </row>
    <row r="14" spans="1:13">
      <c r="B14" s="372">
        <v>2018</v>
      </c>
      <c r="C14" s="374">
        <v>7.85E-2</v>
      </c>
      <c r="D14" s="374">
        <v>6.3100000000000003E-2</v>
      </c>
    </row>
    <row r="15" spans="1:13">
      <c r="B15" s="372">
        <v>2019</v>
      </c>
      <c r="C15" s="374">
        <v>6.9800000000000001E-2</v>
      </c>
      <c r="D15" s="374">
        <v>7.1400000000000005E-2</v>
      </c>
    </row>
    <row r="16" spans="1:13">
      <c r="B16" s="372">
        <v>2020</v>
      </c>
      <c r="C16" s="374">
        <v>8.8800000000000004E-2</v>
      </c>
      <c r="D16" s="374">
        <v>5.8200000000000002E-2</v>
      </c>
    </row>
    <row r="18" spans="2:4" ht="17.649999999999999">
      <c r="B18" s="365" t="s">
        <v>5432</v>
      </c>
    </row>
    <row r="20" spans="2:4">
      <c r="B20" t="s">
        <v>5492</v>
      </c>
    </row>
    <row r="22" spans="2:4" ht="42.75">
      <c r="B22" s="307"/>
      <c r="C22" s="307" t="s">
        <v>5448</v>
      </c>
      <c r="D22" s="307" t="s">
        <v>5449</v>
      </c>
    </row>
    <row r="23" spans="2:4">
      <c r="B23" s="373" t="s">
        <v>5448</v>
      </c>
      <c r="C23" s="375">
        <v>9.6254699999999998E-5</v>
      </c>
      <c r="D23" s="372"/>
    </row>
    <row r="24" spans="2:4">
      <c r="B24" s="373" t="s">
        <v>5449</v>
      </c>
      <c r="C24" s="375">
        <v>6.74936E-5</v>
      </c>
      <c r="D24" s="372">
        <v>1.6761099999999999E-4</v>
      </c>
    </row>
    <row r="26" spans="2:4" ht="17.649999999999999">
      <c r="B26" s="365" t="s">
        <v>3731</v>
      </c>
    </row>
    <row r="27" spans="2:4">
      <c r="B27" s="366"/>
    </row>
    <row r="28" spans="2:4">
      <c r="B28" s="367" t="s">
        <v>5493</v>
      </c>
    </row>
    <row r="29" spans="2:4">
      <c r="B29" s="367" t="s">
        <v>5494</v>
      </c>
    </row>
    <row r="30" spans="2:4">
      <c r="B30" s="367" t="s">
        <v>5495</v>
      </c>
    </row>
    <row r="32" spans="2:4">
      <c r="B32" t="s">
        <v>5496</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60"/>
  <sheetViews>
    <sheetView showGridLines="0" topLeftCell="A34" workbookViewId="0">
      <selection activeCell="B62" sqref="B62"/>
    </sheetView>
  </sheetViews>
  <sheetFormatPr defaultRowHeight="14.25"/>
  <cols>
    <col min="1" max="3" width="9.1328125" customWidth="1"/>
    <col min="4" max="4" width="19.1328125" customWidth="1"/>
    <col min="5" max="5" width="2.86328125" customWidth="1"/>
    <col min="6" max="6" width="6.1328125" customWidth="1"/>
    <col min="7" max="7" width="8.265625" customWidth="1"/>
    <col min="8" max="8" width="9" customWidth="1"/>
    <col min="9" max="9" width="8.3984375" customWidth="1"/>
    <col min="10" max="10" width="9.73046875" customWidth="1"/>
  </cols>
  <sheetData>
    <row r="1" spans="1:10">
      <c r="A1" s="380" t="s">
        <v>5433</v>
      </c>
      <c r="B1" s="380"/>
      <c r="C1" s="380"/>
      <c r="F1" s="382" t="s">
        <v>5453</v>
      </c>
      <c r="G1" s="383"/>
      <c r="H1" s="383"/>
      <c r="I1" s="383"/>
      <c r="J1" s="384"/>
    </row>
    <row r="2" spans="1:10">
      <c r="A2" s="1" t="s">
        <v>3511</v>
      </c>
      <c r="B2" s="1" t="s">
        <v>3512</v>
      </c>
      <c r="C2" s="1" t="s">
        <v>1760</v>
      </c>
      <c r="F2" s="1" t="s">
        <v>5454</v>
      </c>
      <c r="G2" s="364">
        <f>AVERAGE(A3:A7)</f>
        <v>21.2</v>
      </c>
      <c r="H2" s="353" t="s">
        <v>5456</v>
      </c>
      <c r="I2" s="1" t="s">
        <v>5457</v>
      </c>
      <c r="J2" s="1" t="s">
        <v>5459</v>
      </c>
    </row>
    <row r="3" spans="1:10">
      <c r="A3" s="356">
        <v>10</v>
      </c>
      <c r="B3" s="356">
        <v>14</v>
      </c>
      <c r="C3" s="356">
        <v>38</v>
      </c>
      <c r="F3" s="1" t="s">
        <v>5455</v>
      </c>
      <c r="G3" s="364">
        <f>AVERAGE(B3:B7)</f>
        <v>29</v>
      </c>
      <c r="H3" s="358">
        <f>A3-$G$2</f>
        <v>-11.2</v>
      </c>
      <c r="I3" s="358">
        <f>B3-$G$3</f>
        <v>-15</v>
      </c>
      <c r="J3" s="358">
        <f>C3-$G$4</f>
        <v>9.3999999999999986</v>
      </c>
    </row>
    <row r="4" spans="1:10">
      <c r="A4" s="357">
        <v>25</v>
      </c>
      <c r="B4" s="357">
        <v>29</v>
      </c>
      <c r="C4" s="357">
        <v>27</v>
      </c>
      <c r="F4" s="1" t="s">
        <v>5458</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4.65" thickBot="1">
      <c r="A10" s="380" t="s">
        <v>5452</v>
      </c>
      <c r="B10" s="380"/>
      <c r="C10" s="380"/>
      <c r="D10" s="380"/>
      <c r="G10" s="380" t="s">
        <v>5451</v>
      </c>
      <c r="H10" s="380"/>
      <c r="I10" s="380"/>
      <c r="J10" s="380"/>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4.6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row r="16" spans="1:10">
      <c r="A16" t="s">
        <v>5497</v>
      </c>
    </row>
    <row r="17" spans="2:5" ht="17.649999999999999">
      <c r="B17" s="365" t="s">
        <v>5433</v>
      </c>
    </row>
    <row r="19" spans="2:5">
      <c r="B19" s="307"/>
      <c r="C19" s="307" t="s">
        <v>3511</v>
      </c>
      <c r="D19" s="307" t="s">
        <v>3512</v>
      </c>
      <c r="E19" s="307" t="s">
        <v>1760</v>
      </c>
    </row>
    <row r="20" spans="2:5">
      <c r="B20" s="372">
        <v>1</v>
      </c>
      <c r="C20" s="372">
        <v>10</v>
      </c>
      <c r="D20" s="372">
        <v>14</v>
      </c>
      <c r="E20" s="372">
        <v>38</v>
      </c>
    </row>
    <row r="21" spans="2:5">
      <c r="B21" s="372">
        <v>2</v>
      </c>
      <c r="C21" s="372">
        <v>25</v>
      </c>
      <c r="D21" s="372">
        <v>29</v>
      </c>
      <c r="E21" s="372">
        <v>27</v>
      </c>
    </row>
    <row r="22" spans="2:5">
      <c r="B22" s="372">
        <v>3</v>
      </c>
      <c r="C22" s="372">
        <v>15</v>
      </c>
      <c r="D22" s="372">
        <v>33</v>
      </c>
      <c r="E22" s="372">
        <v>21</v>
      </c>
    </row>
    <row r="23" spans="2:5">
      <c r="B23" s="372">
        <v>4</v>
      </c>
      <c r="C23" s="372">
        <v>23</v>
      </c>
      <c r="D23" s="372">
        <v>41</v>
      </c>
      <c r="E23" s="372">
        <v>35</v>
      </c>
    </row>
    <row r="24" spans="2:5">
      <c r="B24" s="372">
        <v>5</v>
      </c>
      <c r="C24" s="372">
        <v>33</v>
      </c>
      <c r="D24" s="372">
        <v>28</v>
      </c>
      <c r="E24" s="372">
        <v>22</v>
      </c>
    </row>
    <row r="26" spans="2:5" ht="17.649999999999999">
      <c r="B26" s="365" t="s">
        <v>5453</v>
      </c>
    </row>
    <row r="28" spans="2:5">
      <c r="B28" t="s">
        <v>5476</v>
      </c>
    </row>
    <row r="30" spans="2:5">
      <c r="B30" s="307" t="s">
        <v>5477</v>
      </c>
      <c r="C30" s="307" t="s">
        <v>3817</v>
      </c>
      <c r="D30" s="307" t="s">
        <v>5478</v>
      </c>
    </row>
    <row r="31" spans="2:5">
      <c r="B31" s="372" t="s">
        <v>5454</v>
      </c>
      <c r="C31" s="372">
        <v>21</v>
      </c>
      <c r="D31" s="372" t="s">
        <v>5479</v>
      </c>
    </row>
    <row r="32" spans="2:5">
      <c r="B32" s="372" t="s">
        <v>5455</v>
      </c>
      <c r="C32" s="372">
        <v>29</v>
      </c>
      <c r="D32" s="372" t="s">
        <v>5480</v>
      </c>
    </row>
    <row r="33" spans="1:5">
      <c r="B33" s="372" t="s">
        <v>5458</v>
      </c>
      <c r="C33" s="372">
        <v>29</v>
      </c>
      <c r="D33" s="372" t="s">
        <v>5481</v>
      </c>
    </row>
    <row r="35" spans="1:5" ht="17.649999999999999">
      <c r="B35" s="365" t="s">
        <v>5451</v>
      </c>
    </row>
    <row r="37" spans="1:5">
      <c r="B37" t="s">
        <v>5482</v>
      </c>
    </row>
    <row r="39" spans="1:5">
      <c r="B39" s="368"/>
      <c r="C39" s="368" t="s">
        <v>3511</v>
      </c>
      <c r="D39" s="368" t="s">
        <v>3512</v>
      </c>
      <c r="E39" s="368" t="s">
        <v>1760</v>
      </c>
    </row>
    <row r="40" spans="1:5">
      <c r="B40" s="370" t="s">
        <v>3511</v>
      </c>
      <c r="C40" s="309">
        <v>64.16</v>
      </c>
      <c r="D40" s="309">
        <v>32.96</v>
      </c>
      <c r="E40" s="309">
        <v>-26.12</v>
      </c>
    </row>
    <row r="41" spans="1:5">
      <c r="B41" s="370" t="s">
        <v>3512</v>
      </c>
      <c r="C41" s="309">
        <v>32.96</v>
      </c>
      <c r="D41" s="309">
        <v>77.2</v>
      </c>
      <c r="E41" s="309">
        <v>-17.600000000000001</v>
      </c>
    </row>
    <row r="42" spans="1:5">
      <c r="B42" s="370" t="s">
        <v>1760</v>
      </c>
      <c r="C42" s="309">
        <v>-26.12</v>
      </c>
      <c r="D42" s="309">
        <v>-17.600000000000001</v>
      </c>
      <c r="E42" s="309">
        <v>46.64</v>
      </c>
    </row>
    <row r="44" spans="1:5" ht="17.649999999999999">
      <c r="B44" s="365" t="s">
        <v>5452</v>
      </c>
    </row>
    <row r="46" spans="1:5">
      <c r="B46" t="s">
        <v>5483</v>
      </c>
    </row>
    <row r="48" spans="1:5">
      <c r="A48" s="55"/>
      <c r="B48" s="307"/>
      <c r="C48" s="307" t="s">
        <v>3511</v>
      </c>
      <c r="D48" s="307" t="s">
        <v>3512</v>
      </c>
      <c r="E48" s="307" t="s">
        <v>1760</v>
      </c>
    </row>
    <row r="49" spans="1:5">
      <c r="A49" s="55"/>
      <c r="B49" s="373" t="s">
        <v>3511</v>
      </c>
      <c r="C49" s="372">
        <v>64.16</v>
      </c>
      <c r="D49" s="372"/>
      <c r="E49" s="372"/>
    </row>
    <row r="50" spans="1:5">
      <c r="A50" s="55"/>
      <c r="B50" s="373" t="s">
        <v>3512</v>
      </c>
      <c r="C50" s="372">
        <v>30.6</v>
      </c>
      <c r="D50" s="372">
        <v>77.2</v>
      </c>
      <c r="E50" s="372"/>
    </row>
    <row r="51" spans="1:5">
      <c r="A51" s="55"/>
      <c r="B51" s="373" t="s">
        <v>1760</v>
      </c>
      <c r="C51" s="372">
        <v>-26.12</v>
      </c>
      <c r="D51" s="372">
        <v>-17.600000000000001</v>
      </c>
      <c r="E51" s="372">
        <v>46.64</v>
      </c>
    </row>
    <row r="53" spans="1:5" ht="17.649999999999999">
      <c r="B53" s="365" t="s">
        <v>5484</v>
      </c>
    </row>
    <row r="54" spans="1:5">
      <c r="B54" s="366"/>
    </row>
    <row r="55" spans="1:5">
      <c r="B55" s="367" t="s">
        <v>5485</v>
      </c>
    </row>
    <row r="56" spans="1:5">
      <c r="B56" s="371" t="s">
        <v>5486</v>
      </c>
    </row>
    <row r="57" spans="1:5">
      <c r="B57" s="371" t="s">
        <v>5487</v>
      </c>
    </row>
    <row r="58" spans="1:5">
      <c r="B58" s="371" t="s">
        <v>5488</v>
      </c>
    </row>
    <row r="59" spans="1:5">
      <c r="B59" s="367" t="s">
        <v>5489</v>
      </c>
    </row>
    <row r="60" spans="1:5">
      <c r="B60" s="371" t="s">
        <v>5490</v>
      </c>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62"/>
  <sheetViews>
    <sheetView showGridLines="0" topLeftCell="A55" zoomScaleNormal="100" workbookViewId="0">
      <selection activeCell="B64" sqref="B64"/>
    </sheetView>
  </sheetViews>
  <sheetFormatPr defaultRowHeight="14.25"/>
  <cols>
    <col min="1" max="1" width="11.1328125" bestFit="1" customWidth="1"/>
    <col min="2" max="2" width="9" customWidth="1"/>
    <col min="3" max="3" width="7.59765625" customWidth="1"/>
    <col min="4" max="4" width="8.3984375" customWidth="1"/>
    <col min="5" max="5" width="17.1328125" customWidth="1"/>
    <col min="7" max="9" width="12" bestFit="1" customWidth="1"/>
  </cols>
  <sheetData>
    <row r="2" spans="1:9" ht="14.65" thickBot="1">
      <c r="A2" s="380" t="s">
        <v>670</v>
      </c>
      <c r="B2" s="382" t="s">
        <v>5460</v>
      </c>
      <c r="C2" s="383"/>
      <c r="D2" s="384"/>
      <c r="F2" s="380" t="s">
        <v>5432</v>
      </c>
      <c r="G2" s="380"/>
      <c r="H2" s="380"/>
      <c r="I2" s="380"/>
    </row>
    <row r="3" spans="1:9">
      <c r="A3" s="380"/>
      <c r="B3" s="1" t="s">
        <v>4192</v>
      </c>
      <c r="C3" s="1" t="s">
        <v>4193</v>
      </c>
      <c r="D3" s="1" t="s">
        <v>5342</v>
      </c>
      <c r="F3" s="245"/>
      <c r="G3" s="245" t="s">
        <v>4192</v>
      </c>
      <c r="H3" s="245" t="s">
        <v>4193</v>
      </c>
      <c r="I3" s="245" t="s">
        <v>5342</v>
      </c>
    </row>
    <row r="4" spans="1:9" ht="14.65" thickBot="1">
      <c r="A4" s="20">
        <v>44835</v>
      </c>
      <c r="B4" s="361">
        <v>9.5399999999999999E-2</v>
      </c>
      <c r="C4" s="361">
        <v>9.98E-2</v>
      </c>
      <c r="D4" s="361">
        <v>8.3299999999999999E-2</v>
      </c>
      <c r="F4" t="s">
        <v>4192</v>
      </c>
      <c r="G4">
        <f>VARP(CovMat_FAQ!$B$4:$B$8)</f>
        <v>6.6849895999999999E-3</v>
      </c>
      <c r="H4">
        <v>3.4547694000000005E-3</v>
      </c>
      <c r="I4" s="169">
        <v>2.5162404E-3</v>
      </c>
    </row>
    <row r="5" spans="1:9" ht="14.65" thickBot="1">
      <c r="A5" s="20">
        <v>44836</v>
      </c>
      <c r="B5" s="361">
        <v>3.2800000000000003E-2</v>
      </c>
      <c r="C5" s="361">
        <v>4.2950000000000002E-2</v>
      </c>
      <c r="D5" s="361">
        <v>5.9200000000000003E-2</v>
      </c>
      <c r="F5" t="s">
        <v>4193</v>
      </c>
      <c r="G5">
        <v>3.4547694000000005E-3</v>
      </c>
      <c r="H5">
        <f>VARP(CovMat_FAQ!$C$4:$C$8)</f>
        <v>1.8764855999999985E-3</v>
      </c>
      <c r="I5" s="169">
        <v>1.4883396E-3</v>
      </c>
    </row>
    <row r="6" spans="1:9" ht="14.65" thickBot="1">
      <c r="A6" s="20">
        <v>44837</v>
      </c>
      <c r="B6" s="361">
        <v>-6.6299999999999998E-2</v>
      </c>
      <c r="C6" s="361">
        <v>1.84E-2</v>
      </c>
      <c r="D6" s="361">
        <v>9.3799999999999994E-2</v>
      </c>
      <c r="F6" s="169" t="s">
        <v>5342</v>
      </c>
      <c r="G6" s="169">
        <v>2.5162404E-3</v>
      </c>
      <c r="H6" s="169">
        <v>1.4883396E-3</v>
      </c>
      <c r="I6" s="169">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4.65" thickBot="1">
      <c r="F9" s="380" t="s">
        <v>5462</v>
      </c>
      <c r="G9" s="380"/>
      <c r="H9" s="380"/>
      <c r="I9" s="380"/>
    </row>
    <row r="10" spans="1:9">
      <c r="A10" s="1" t="s">
        <v>2788</v>
      </c>
      <c r="B10" s="2">
        <v>5</v>
      </c>
      <c r="F10" s="245"/>
      <c r="G10" s="245" t="s">
        <v>4192</v>
      </c>
      <c r="H10" s="245" t="s">
        <v>4193</v>
      </c>
      <c r="I10" s="245" t="s">
        <v>5342</v>
      </c>
    </row>
    <row r="11" spans="1:9">
      <c r="A11" s="1" t="s">
        <v>5461</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t="s">
        <v>5342</v>
      </c>
      <c r="G13">
        <v>3.1453004999999999E-3</v>
      </c>
      <c r="H13">
        <v>1.8604245E-3</v>
      </c>
      <c r="I13">
        <v>2.9655970000000004E-3</v>
      </c>
    </row>
    <row r="14" spans="1:9">
      <c r="F14" s="362"/>
      <c r="G14" s="362"/>
      <c r="H14" s="362"/>
      <c r="I14" s="362"/>
    </row>
    <row r="15" spans="1:9" ht="28.5">
      <c r="F15" s="8" t="s">
        <v>4893</v>
      </c>
      <c r="G15" s="47">
        <f>_xlfn.VAR.S(B4:B8)</f>
        <v>8.356236999999999E-3</v>
      </c>
      <c r="H15" s="47">
        <f>_xlfn.VAR.S(C4:C8)</f>
        <v>2.3456069999999987E-3</v>
      </c>
      <c r="I15" s="47">
        <f>_xlfn.VAR.S(D4:D8)</f>
        <v>2.9655969999999986E-3</v>
      </c>
    </row>
    <row r="19" spans="2:5">
      <c r="B19" t="s">
        <v>5464</v>
      </c>
    </row>
    <row r="21" spans="2:5" ht="17.649999999999999">
      <c r="B21" s="365" t="s">
        <v>5460</v>
      </c>
    </row>
    <row r="22" spans="2:5">
      <c r="B22" s="366"/>
    </row>
    <row r="23" spans="2:5">
      <c r="B23" s="367" t="s">
        <v>5465</v>
      </c>
    </row>
    <row r="24" spans="2:5">
      <c r="B24" s="367" t="s">
        <v>5466</v>
      </c>
    </row>
    <row r="26" spans="2:5">
      <c r="B26" s="368" t="s">
        <v>670</v>
      </c>
      <c r="C26" s="368" t="s">
        <v>4192</v>
      </c>
      <c r="D26" s="368" t="s">
        <v>4193</v>
      </c>
      <c r="E26" s="368" t="s">
        <v>5342</v>
      </c>
    </row>
    <row r="27" spans="2:5">
      <c r="B27" s="369">
        <v>44835</v>
      </c>
      <c r="C27" s="309">
        <v>9.5399999999999999E-2</v>
      </c>
      <c r="D27" s="309">
        <v>9.98E-2</v>
      </c>
      <c r="E27" s="309">
        <v>8.3299999999999999E-2</v>
      </c>
    </row>
    <row r="28" spans="2:5">
      <c r="B28" s="369">
        <v>44836</v>
      </c>
      <c r="C28" s="309">
        <v>3.2800000000000003E-2</v>
      </c>
      <c r="D28" s="309">
        <v>4.2999999999999997E-2</v>
      </c>
      <c r="E28" s="309">
        <v>5.9200000000000003E-2</v>
      </c>
    </row>
    <row r="29" spans="2:5">
      <c r="B29" s="369">
        <v>44837</v>
      </c>
      <c r="C29" s="309">
        <v>-6.6299999999999998E-2</v>
      </c>
      <c r="D29" s="309">
        <v>1.84E-2</v>
      </c>
      <c r="E29" s="309">
        <v>9.3799999999999994E-2</v>
      </c>
    </row>
    <row r="30" spans="2:5">
      <c r="B30" s="369">
        <v>44838</v>
      </c>
      <c r="C30" s="309">
        <v>7.85E-2</v>
      </c>
      <c r="D30" s="309">
        <v>8.2600000000000007E-2</v>
      </c>
      <c r="E30" s="309">
        <v>7.2700000000000001E-2</v>
      </c>
    </row>
    <row r="31" spans="2:5">
      <c r="B31" s="369">
        <v>44839</v>
      </c>
      <c r="C31" s="309">
        <v>0.1835</v>
      </c>
      <c r="D31" s="309">
        <v>0.1421</v>
      </c>
      <c r="E31" s="309">
        <v>0.1956</v>
      </c>
    </row>
    <row r="33" spans="2:5" ht="17.649999999999999">
      <c r="B33" s="365" t="s">
        <v>5432</v>
      </c>
    </row>
    <row r="35" spans="2:5">
      <c r="B35" t="s">
        <v>5467</v>
      </c>
    </row>
    <row r="37" spans="2:5">
      <c r="B37" s="368"/>
      <c r="C37" s="368" t="s">
        <v>4192</v>
      </c>
      <c r="D37" s="368" t="s">
        <v>4193</v>
      </c>
      <c r="E37" s="368" t="s">
        <v>5342</v>
      </c>
    </row>
    <row r="38" spans="2:5">
      <c r="B38" s="370" t="s">
        <v>4192</v>
      </c>
      <c r="C38" s="309">
        <v>6.68499E-3</v>
      </c>
      <c r="D38" s="309">
        <v>3.4547689999999999E-3</v>
      </c>
      <c r="E38" s="309">
        <v>2.5162399999999999E-3</v>
      </c>
    </row>
    <row r="39" spans="2:5">
      <c r="B39" s="370" t="s">
        <v>4193</v>
      </c>
      <c r="C39" s="309">
        <v>3.4547689999999999E-3</v>
      </c>
      <c r="D39" s="309">
        <v>1.8764859999999999E-3</v>
      </c>
      <c r="E39" s="309">
        <v>1.4883400000000001E-3</v>
      </c>
    </row>
    <row r="40" spans="2:5">
      <c r="B40" s="370" t="s">
        <v>5342</v>
      </c>
      <c r="C40" s="309">
        <v>2.5162399999999999E-3</v>
      </c>
      <c r="D40" s="309">
        <v>1.4883400000000001E-3</v>
      </c>
      <c r="E40" s="309">
        <v>2.3724779999999999E-3</v>
      </c>
    </row>
    <row r="42" spans="2:5" ht="17.649999999999999">
      <c r="B42" s="365" t="s">
        <v>5462</v>
      </c>
    </row>
    <row r="44" spans="2:5">
      <c r="B44" t="s">
        <v>5468</v>
      </c>
    </row>
    <row r="46" spans="2:5">
      <c r="B46" s="368"/>
      <c r="C46" s="368" t="s">
        <v>4192</v>
      </c>
      <c r="D46" s="368" t="s">
        <v>4193</v>
      </c>
      <c r="E46" s="368" t="s">
        <v>5342</v>
      </c>
    </row>
    <row r="47" spans="2:5">
      <c r="B47" s="370" t="s">
        <v>4192</v>
      </c>
      <c r="C47" s="309">
        <v>8.3562370000000007E-3</v>
      </c>
      <c r="D47" s="309">
        <v>4.3184620000000003E-3</v>
      </c>
      <c r="E47" s="309">
        <v>3.1453010000000001E-3</v>
      </c>
    </row>
    <row r="48" spans="2:5">
      <c r="B48" s="370" t="s">
        <v>4193</v>
      </c>
      <c r="C48" s="309">
        <v>4.3184620000000003E-3</v>
      </c>
      <c r="D48" s="309">
        <v>2.345607E-3</v>
      </c>
      <c r="E48" s="309">
        <v>1.860425E-3</v>
      </c>
    </row>
    <row r="49" spans="2:5">
      <c r="B49" s="370" t="s">
        <v>5342</v>
      </c>
      <c r="C49" s="309">
        <v>3.1453010000000001E-3</v>
      </c>
      <c r="D49" s="309">
        <v>1.860425E-3</v>
      </c>
      <c r="E49" s="309">
        <v>2.9655969999999999E-3</v>
      </c>
    </row>
    <row r="51" spans="2:5" ht="17.649999999999999">
      <c r="B51" s="365" t="s">
        <v>4893</v>
      </c>
    </row>
    <row r="53" spans="2:5">
      <c r="B53" t="s">
        <v>5469</v>
      </c>
    </row>
    <row r="54" spans="2:5">
      <c r="B54" s="366"/>
    </row>
    <row r="55" spans="2:5">
      <c r="B55" s="367" t="s">
        <v>5470</v>
      </c>
    </row>
    <row r="56" spans="2:5">
      <c r="B56" s="367" t="s">
        <v>5471</v>
      </c>
    </row>
    <row r="57" spans="2:5">
      <c r="B57" s="367" t="s">
        <v>5472</v>
      </c>
    </row>
    <row r="59" spans="2:5" ht="17.649999999999999">
      <c r="B59" s="365" t="s">
        <v>5473</v>
      </c>
    </row>
    <row r="60" spans="2:5">
      <c r="B60" s="366"/>
    </row>
    <row r="61" spans="2:5">
      <c r="B61" s="367" t="s">
        <v>5474</v>
      </c>
    </row>
    <row r="62" spans="2:5">
      <c r="B62" s="367" t="s">
        <v>5475</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4.25"/>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4.25"/>
  <cols>
    <col min="5" max="5" width="10.1328125" bestFit="1" customWidth="1"/>
    <col min="6" max="6" width="11.398437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4.25"/>
  <cols>
    <col min="1" max="1" width="16.59765625" bestFit="1" customWidth="1"/>
    <col min="2" max="2" width="20.86328125" bestFit="1" customWidth="1"/>
    <col min="3" max="3" width="15.398437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Kunj Barot</cp:lastModifiedBy>
  <cp:lastPrinted>2022-12-22T05:10:37Z</cp:lastPrinted>
  <dcterms:created xsi:type="dcterms:W3CDTF">2022-06-20T02:59:14Z</dcterms:created>
  <dcterms:modified xsi:type="dcterms:W3CDTF">2024-07-12T05:30:13Z</dcterms:modified>
</cp:coreProperties>
</file>