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nj/Desktop/Stevens/Spring '20/CS 513/Midterm/"/>
    </mc:Choice>
  </mc:AlternateContent>
  <xr:revisionPtr revIDLastSave="0" documentId="13_ncr:1_{6CD398FE-8AC1-E744-879A-F015BEDF14AF}" xr6:coauthVersionLast="45" xr6:coauthVersionMax="45" xr10:uidLastSave="{00000000-0000-0000-0000-000000000000}"/>
  <bookViews>
    <workbookView xWindow="0" yWindow="460" windowWidth="28800" windowHeight="15840" xr2:uid="{7FFC036D-BAB2-7A4A-942A-4E8CDE39820F}"/>
  </bookViews>
  <sheets>
    <sheet name="Sheet1" sheetId="4" r:id="rId1"/>
    <sheet name="Solution3" sheetId="1" r:id="rId2"/>
    <sheet name="Solution4" sheetId="2" r:id="rId3"/>
    <sheet name="Solution9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1" i="3" l="1"/>
  <c r="C41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E14" i="3"/>
  <c r="D14" i="3"/>
  <c r="C14" i="3"/>
  <c r="H9" i="3"/>
  <c r="G9" i="3"/>
  <c r="H8" i="3"/>
  <c r="G8" i="3"/>
  <c r="H7" i="3"/>
  <c r="G7" i="3"/>
  <c r="H6" i="3"/>
  <c r="G6" i="3"/>
  <c r="I30" i="3" l="1"/>
  <c r="I36" i="3"/>
  <c r="I8" i="3"/>
  <c r="I7" i="3"/>
  <c r="I9" i="3"/>
  <c r="I34" i="3"/>
  <c r="I6" i="3"/>
  <c r="I35" i="3"/>
  <c r="I31" i="3"/>
  <c r="J31" i="3" s="1"/>
  <c r="I32" i="3"/>
  <c r="J32" i="3" s="1"/>
  <c r="I33" i="3"/>
  <c r="J33" i="3" s="1"/>
  <c r="G68" i="2" l="1"/>
  <c r="F68" i="2"/>
  <c r="E68" i="2"/>
  <c r="D68" i="2"/>
  <c r="I68" i="2" s="1"/>
  <c r="C68" i="2"/>
  <c r="B68" i="2"/>
  <c r="H68" i="2" s="1"/>
  <c r="G67" i="2"/>
  <c r="F67" i="2"/>
  <c r="E67" i="2"/>
  <c r="D67" i="2"/>
  <c r="C67" i="2"/>
  <c r="B67" i="2"/>
  <c r="G66" i="2"/>
  <c r="F66" i="2"/>
  <c r="E66" i="2"/>
  <c r="D66" i="2"/>
  <c r="C66" i="2"/>
  <c r="B66" i="2"/>
  <c r="H66" i="2" s="1"/>
  <c r="G64" i="2"/>
  <c r="F64" i="2"/>
  <c r="E64" i="2"/>
  <c r="D64" i="2"/>
  <c r="C64" i="2"/>
  <c r="B64" i="2"/>
  <c r="G62" i="2"/>
  <c r="F62" i="2"/>
  <c r="E62" i="2"/>
  <c r="D62" i="2"/>
  <c r="C62" i="2"/>
  <c r="B62" i="2"/>
  <c r="H62" i="2" s="1"/>
  <c r="H60" i="2"/>
  <c r="J60" i="2" s="1"/>
  <c r="G60" i="2"/>
  <c r="I60" i="2" s="1"/>
  <c r="F60" i="2"/>
  <c r="B60" i="2"/>
  <c r="G59" i="2"/>
  <c r="F59" i="2"/>
  <c r="E59" i="2"/>
  <c r="D59" i="2"/>
  <c r="B59" i="2"/>
  <c r="H59" i="2" s="1"/>
  <c r="G58" i="2"/>
  <c r="F58" i="2"/>
  <c r="B58" i="2"/>
  <c r="H58" i="2" s="1"/>
  <c r="G57" i="2"/>
  <c r="F57" i="2"/>
  <c r="E57" i="2"/>
  <c r="D57" i="2"/>
  <c r="B57" i="2"/>
  <c r="H57" i="2" s="1"/>
  <c r="H67" i="2" l="1"/>
  <c r="J67" i="2" s="1"/>
  <c r="I58" i="2"/>
  <c r="J58" i="2" s="1"/>
  <c r="I64" i="2"/>
  <c r="I67" i="2"/>
  <c r="J59" i="2"/>
  <c r="I57" i="2"/>
  <c r="J57" i="2" s="1"/>
  <c r="I59" i="2"/>
  <c r="I62" i="2"/>
  <c r="J62" i="2" s="1"/>
  <c r="H64" i="2"/>
  <c r="J64" i="2" s="1"/>
  <c r="I66" i="2"/>
  <c r="J68" i="2"/>
  <c r="J66" i="2"/>
  <c r="J60" i="1" l="1"/>
  <c r="I60" i="1"/>
  <c r="H60" i="1"/>
  <c r="G60" i="1"/>
  <c r="J59" i="1"/>
  <c r="I59" i="1"/>
  <c r="H59" i="1"/>
  <c r="G59" i="1"/>
  <c r="J58" i="1"/>
  <c r="I58" i="1"/>
  <c r="H58" i="1"/>
  <c r="G58" i="1"/>
  <c r="L51" i="1"/>
  <c r="I51" i="1"/>
  <c r="R51" i="1" s="1"/>
  <c r="H51" i="1"/>
  <c r="G51" i="1"/>
  <c r="F51" i="1"/>
  <c r="L50" i="1"/>
  <c r="I50" i="1"/>
  <c r="O50" i="1" s="1"/>
  <c r="H50" i="1"/>
  <c r="G50" i="1"/>
  <c r="F50" i="1"/>
  <c r="L49" i="1"/>
  <c r="I49" i="1"/>
  <c r="O49" i="1" s="1"/>
  <c r="H49" i="1"/>
  <c r="G49" i="1"/>
  <c r="F49" i="1"/>
  <c r="R48" i="1"/>
  <c r="L48" i="1"/>
  <c r="I48" i="1"/>
  <c r="O48" i="1" s="1"/>
  <c r="H48" i="1"/>
  <c r="G48" i="1"/>
  <c r="F48" i="1"/>
  <c r="L47" i="1"/>
  <c r="I47" i="1"/>
  <c r="R47" i="1" s="1"/>
  <c r="H47" i="1"/>
  <c r="G47" i="1"/>
  <c r="F47" i="1"/>
  <c r="L46" i="1"/>
  <c r="I46" i="1"/>
  <c r="O46" i="1" s="1"/>
  <c r="H46" i="1"/>
  <c r="G46" i="1"/>
  <c r="F46" i="1"/>
  <c r="L45" i="1"/>
  <c r="I45" i="1"/>
  <c r="O45" i="1" s="1"/>
  <c r="H45" i="1"/>
  <c r="G45" i="1"/>
  <c r="F45" i="1"/>
  <c r="L44" i="1"/>
  <c r="I44" i="1"/>
  <c r="O44" i="1" s="1"/>
  <c r="H44" i="1"/>
  <c r="G44" i="1"/>
  <c r="F44" i="1"/>
  <c r="L43" i="1"/>
  <c r="I43" i="1"/>
  <c r="R43" i="1" s="1"/>
  <c r="H43" i="1"/>
  <c r="G43" i="1"/>
  <c r="F43" i="1"/>
  <c r="L42" i="1"/>
  <c r="I42" i="1"/>
  <c r="O42" i="1" s="1"/>
  <c r="H42" i="1"/>
  <c r="G42" i="1"/>
  <c r="F42" i="1"/>
  <c r="L41" i="1"/>
  <c r="I41" i="1"/>
  <c r="O41" i="1" s="1"/>
  <c r="H41" i="1"/>
  <c r="G41" i="1"/>
  <c r="F41" i="1"/>
  <c r="L40" i="1"/>
  <c r="I40" i="1"/>
  <c r="R40" i="1" s="1"/>
  <c r="H40" i="1"/>
  <c r="G40" i="1"/>
  <c r="F40" i="1"/>
  <c r="L39" i="1"/>
  <c r="I39" i="1"/>
  <c r="O39" i="1" s="1"/>
  <c r="H39" i="1"/>
  <c r="G39" i="1"/>
  <c r="F39" i="1"/>
  <c r="L38" i="1"/>
  <c r="I38" i="1"/>
  <c r="O38" i="1" s="1"/>
  <c r="H38" i="1"/>
  <c r="G38" i="1"/>
  <c r="F38" i="1"/>
  <c r="L37" i="1"/>
  <c r="I37" i="1"/>
  <c r="O37" i="1" s="1"/>
  <c r="H37" i="1"/>
  <c r="G37" i="1"/>
  <c r="Q37" i="1" s="1"/>
  <c r="F37" i="1"/>
  <c r="L36" i="1"/>
  <c r="I36" i="1"/>
  <c r="R36" i="1" s="1"/>
  <c r="H36" i="1"/>
  <c r="G36" i="1"/>
  <c r="F36" i="1"/>
  <c r="L35" i="1"/>
  <c r="I35" i="1"/>
  <c r="R35" i="1" s="1"/>
  <c r="H35" i="1"/>
  <c r="G35" i="1"/>
  <c r="F35" i="1"/>
  <c r="L34" i="1"/>
  <c r="I34" i="1"/>
  <c r="O34" i="1" s="1"/>
  <c r="H34" i="1"/>
  <c r="G34" i="1"/>
  <c r="F34" i="1"/>
  <c r="L33" i="1"/>
  <c r="I33" i="1"/>
  <c r="H33" i="1"/>
  <c r="G33" i="1"/>
  <c r="F33" i="1"/>
  <c r="L32" i="1"/>
  <c r="I32" i="1"/>
  <c r="R32" i="1" s="1"/>
  <c r="H32" i="1"/>
  <c r="G32" i="1"/>
  <c r="F32" i="1"/>
  <c r="L31" i="1"/>
  <c r="I31" i="1"/>
  <c r="R31" i="1" s="1"/>
  <c r="H31" i="1"/>
  <c r="G31" i="1"/>
  <c r="F31" i="1"/>
  <c r="L30" i="1"/>
  <c r="I30" i="1"/>
  <c r="H30" i="1"/>
  <c r="G30" i="1"/>
  <c r="F30" i="1"/>
  <c r="L29" i="1"/>
  <c r="I29" i="1"/>
  <c r="O29" i="1" s="1"/>
  <c r="H29" i="1"/>
  <c r="G29" i="1"/>
  <c r="F29" i="1"/>
  <c r="L28" i="1"/>
  <c r="I28" i="1"/>
  <c r="O28" i="1" s="1"/>
  <c r="H28" i="1"/>
  <c r="G28" i="1"/>
  <c r="F28" i="1"/>
  <c r="L27" i="1"/>
  <c r="I27" i="1"/>
  <c r="R27" i="1" s="1"/>
  <c r="H27" i="1"/>
  <c r="G27" i="1"/>
  <c r="F27" i="1"/>
  <c r="L26" i="1"/>
  <c r="I26" i="1"/>
  <c r="H26" i="1"/>
  <c r="G26" i="1"/>
  <c r="F26" i="1"/>
  <c r="L25" i="1"/>
  <c r="I25" i="1"/>
  <c r="O25" i="1" s="1"/>
  <c r="H25" i="1"/>
  <c r="G25" i="1"/>
  <c r="F25" i="1"/>
  <c r="L24" i="1"/>
  <c r="I24" i="1"/>
  <c r="R24" i="1" s="1"/>
  <c r="H24" i="1"/>
  <c r="G24" i="1"/>
  <c r="F24" i="1"/>
  <c r="O23" i="1"/>
  <c r="L23" i="1"/>
  <c r="I23" i="1"/>
  <c r="R23" i="1" s="1"/>
  <c r="H23" i="1"/>
  <c r="G23" i="1"/>
  <c r="F23" i="1"/>
  <c r="L22" i="1"/>
  <c r="I22" i="1"/>
  <c r="H22" i="1"/>
  <c r="G22" i="1"/>
  <c r="F22" i="1"/>
  <c r="L21" i="1"/>
  <c r="I21" i="1"/>
  <c r="O21" i="1" s="1"/>
  <c r="H21" i="1"/>
  <c r="G21" i="1"/>
  <c r="F21" i="1"/>
  <c r="O20" i="1"/>
  <c r="L20" i="1"/>
  <c r="I20" i="1"/>
  <c r="R20" i="1" s="1"/>
  <c r="H20" i="1"/>
  <c r="G20" i="1"/>
  <c r="F20" i="1"/>
  <c r="L19" i="1"/>
  <c r="I19" i="1"/>
  <c r="R19" i="1" s="1"/>
  <c r="H19" i="1"/>
  <c r="G19" i="1"/>
  <c r="F19" i="1"/>
  <c r="L18" i="1"/>
  <c r="I18" i="1"/>
  <c r="H18" i="1"/>
  <c r="G18" i="1"/>
  <c r="F18" i="1"/>
  <c r="L17" i="1"/>
  <c r="I17" i="1"/>
  <c r="O17" i="1" s="1"/>
  <c r="H17" i="1"/>
  <c r="G17" i="1"/>
  <c r="F17" i="1"/>
  <c r="L16" i="1"/>
  <c r="I16" i="1"/>
  <c r="R16" i="1" s="1"/>
  <c r="H16" i="1"/>
  <c r="G16" i="1"/>
  <c r="F16" i="1"/>
  <c r="L15" i="1"/>
  <c r="I15" i="1"/>
  <c r="R15" i="1" s="1"/>
  <c r="H15" i="1"/>
  <c r="G15" i="1"/>
  <c r="F15" i="1"/>
  <c r="L14" i="1"/>
  <c r="I14" i="1"/>
  <c r="H14" i="1"/>
  <c r="G14" i="1"/>
  <c r="F14" i="1"/>
  <c r="L13" i="1"/>
  <c r="I13" i="1"/>
  <c r="O13" i="1" s="1"/>
  <c r="H13" i="1"/>
  <c r="G13" i="1"/>
  <c r="F13" i="1"/>
  <c r="L12" i="1"/>
  <c r="I12" i="1"/>
  <c r="R12" i="1" s="1"/>
  <c r="H12" i="1"/>
  <c r="G12" i="1"/>
  <c r="F12" i="1"/>
  <c r="L11" i="1"/>
  <c r="I11" i="1"/>
  <c r="R11" i="1" s="1"/>
  <c r="H11" i="1"/>
  <c r="G11" i="1"/>
  <c r="F11" i="1"/>
  <c r="L10" i="1"/>
  <c r="I10" i="1"/>
  <c r="R10" i="1" s="1"/>
  <c r="H10" i="1"/>
  <c r="G10" i="1"/>
  <c r="F10" i="1"/>
  <c r="L9" i="1"/>
  <c r="I9" i="1"/>
  <c r="R9" i="1" s="1"/>
  <c r="H9" i="1"/>
  <c r="G9" i="1"/>
  <c r="F9" i="1"/>
  <c r="L8" i="1"/>
  <c r="I8" i="1"/>
  <c r="O8" i="1" s="1"/>
  <c r="H8" i="1"/>
  <c r="G8" i="1"/>
  <c r="F8" i="1"/>
  <c r="L7" i="1"/>
  <c r="I7" i="1"/>
  <c r="O7" i="1" s="1"/>
  <c r="H7" i="1"/>
  <c r="G7" i="1"/>
  <c r="F7" i="1"/>
  <c r="L6" i="1"/>
  <c r="I6" i="1"/>
  <c r="R6" i="1" s="1"/>
  <c r="H6" i="1"/>
  <c r="G6" i="1"/>
  <c r="F6" i="1"/>
  <c r="L5" i="1"/>
  <c r="I5" i="1"/>
  <c r="R5" i="1" s="1"/>
  <c r="H5" i="1"/>
  <c r="G5" i="1"/>
  <c r="F5" i="1"/>
  <c r="L4" i="1"/>
  <c r="I4" i="1"/>
  <c r="O4" i="1" s="1"/>
  <c r="H4" i="1"/>
  <c r="G4" i="1"/>
  <c r="F4" i="1"/>
  <c r="L3" i="1"/>
  <c r="I3" i="1"/>
  <c r="O3" i="1" s="1"/>
  <c r="H3" i="1"/>
  <c r="G3" i="1"/>
  <c r="F3" i="1"/>
  <c r="L2" i="1"/>
  <c r="I2" i="1"/>
  <c r="O2" i="1" s="1"/>
  <c r="H2" i="1"/>
  <c r="G2" i="1"/>
  <c r="F2" i="1"/>
  <c r="Q3" i="1" l="1"/>
  <c r="O32" i="1"/>
  <c r="O15" i="1"/>
  <c r="O27" i="1"/>
  <c r="N36" i="1"/>
  <c r="Q46" i="1"/>
  <c r="K47" i="1"/>
  <c r="O47" i="1"/>
  <c r="R25" i="1"/>
  <c r="N38" i="1"/>
  <c r="N5" i="1"/>
  <c r="O11" i="1"/>
  <c r="Q12" i="1"/>
  <c r="O16" i="1"/>
  <c r="K18" i="1"/>
  <c r="R21" i="1"/>
  <c r="Q26" i="1"/>
  <c r="Q30" i="1"/>
  <c r="O31" i="1"/>
  <c r="O36" i="1"/>
  <c r="N45" i="1"/>
  <c r="R2" i="1"/>
  <c r="K5" i="1"/>
  <c r="O5" i="1"/>
  <c r="Q8" i="1"/>
  <c r="N22" i="1"/>
  <c r="O24" i="1"/>
  <c r="K29" i="1"/>
  <c r="N34" i="1"/>
  <c r="N40" i="1"/>
  <c r="Q42" i="1"/>
  <c r="O43" i="1"/>
  <c r="K15" i="1"/>
  <c r="K27" i="1"/>
  <c r="K34" i="1"/>
  <c r="N35" i="1"/>
  <c r="N41" i="1"/>
  <c r="Q47" i="1"/>
  <c r="O6" i="1"/>
  <c r="K8" i="1"/>
  <c r="N10" i="1"/>
  <c r="K10" i="1"/>
  <c r="K11" i="1"/>
  <c r="Q14" i="1"/>
  <c r="K16" i="1"/>
  <c r="N18" i="1"/>
  <c r="Q20" i="1"/>
  <c r="K24" i="1"/>
  <c r="N24" i="1"/>
  <c r="R28" i="1"/>
  <c r="R39" i="1"/>
  <c r="K43" i="1"/>
  <c r="R44" i="1"/>
  <c r="K50" i="1"/>
  <c r="N50" i="1"/>
  <c r="Q41" i="1"/>
  <c r="N51" i="1"/>
  <c r="Q51" i="1"/>
  <c r="N2" i="1"/>
  <c r="K4" i="1"/>
  <c r="N6" i="1"/>
  <c r="K6" i="1"/>
  <c r="Q7" i="1"/>
  <c r="N9" i="1"/>
  <c r="O10" i="1"/>
  <c r="N12" i="1"/>
  <c r="R13" i="1"/>
  <c r="K17" i="1"/>
  <c r="Q18" i="1"/>
  <c r="K19" i="1"/>
  <c r="O19" i="1"/>
  <c r="Q22" i="1"/>
  <c r="K33" i="1"/>
  <c r="Q34" i="1"/>
  <c r="K35" i="1"/>
  <c r="O35" i="1"/>
  <c r="K38" i="1"/>
  <c r="N39" i="1"/>
  <c r="O40" i="1"/>
  <c r="N44" i="1"/>
  <c r="Q45" i="1"/>
  <c r="N49" i="1"/>
  <c r="Q50" i="1"/>
  <c r="K51" i="1"/>
  <c r="O51" i="1"/>
  <c r="Q4" i="1"/>
  <c r="R7" i="1"/>
  <c r="K9" i="1"/>
  <c r="O9" i="1"/>
  <c r="N11" i="1"/>
  <c r="K12" i="1"/>
  <c r="O12" i="1"/>
  <c r="Q13" i="1"/>
  <c r="N16" i="1"/>
  <c r="N17" i="1"/>
  <c r="K21" i="1"/>
  <c r="N23" i="1"/>
  <c r="K23" i="1"/>
  <c r="K25" i="1"/>
  <c r="K28" i="1"/>
  <c r="N31" i="1"/>
  <c r="K31" i="1"/>
  <c r="Q33" i="1"/>
  <c r="N37" i="1"/>
  <c r="Q38" i="1"/>
  <c r="K39" i="1"/>
  <c r="N43" i="1"/>
  <c r="N48" i="1"/>
  <c r="Q49" i="1"/>
  <c r="R3" i="1"/>
  <c r="O14" i="1"/>
  <c r="R14" i="1"/>
  <c r="O26" i="1"/>
  <c r="R26" i="1"/>
  <c r="Q29" i="1"/>
  <c r="Q32" i="1"/>
  <c r="K32" i="1"/>
  <c r="O33" i="1"/>
  <c r="R33" i="1"/>
  <c r="K2" i="1"/>
  <c r="N3" i="1"/>
  <c r="N7" i="1"/>
  <c r="K3" i="1"/>
  <c r="N4" i="1"/>
  <c r="R4" i="1"/>
  <c r="Q5" i="1"/>
  <c r="K7" i="1"/>
  <c r="N8" i="1"/>
  <c r="R8" i="1"/>
  <c r="Q9" i="1"/>
  <c r="N13" i="1"/>
  <c r="N14" i="1"/>
  <c r="K14" i="1"/>
  <c r="Q17" i="1"/>
  <c r="K20" i="1"/>
  <c r="N21" i="1"/>
  <c r="K22" i="1"/>
  <c r="Q24" i="1"/>
  <c r="N26" i="1"/>
  <c r="N27" i="1"/>
  <c r="N28" i="1"/>
  <c r="R29" i="1"/>
  <c r="O30" i="1"/>
  <c r="R30" i="1"/>
  <c r="Q2" i="1"/>
  <c r="Q6" i="1"/>
  <c r="Q10" i="1"/>
  <c r="K13" i="1"/>
  <c r="N15" i="1"/>
  <c r="R17" i="1"/>
  <c r="O18" i="1"/>
  <c r="R18" i="1"/>
  <c r="Q21" i="1"/>
  <c r="N25" i="1"/>
  <c r="K26" i="1"/>
  <c r="Q28" i="1"/>
  <c r="N30" i="1"/>
  <c r="N32" i="1"/>
  <c r="Q11" i="1"/>
  <c r="Q16" i="1"/>
  <c r="N19" i="1"/>
  <c r="N20" i="1"/>
  <c r="O22" i="1"/>
  <c r="R22" i="1"/>
  <c r="Q25" i="1"/>
  <c r="N29" i="1"/>
  <c r="K30" i="1"/>
  <c r="N33" i="1"/>
  <c r="K36" i="1"/>
  <c r="R37" i="1"/>
  <c r="K40" i="1"/>
  <c r="R41" i="1"/>
  <c r="K44" i="1"/>
  <c r="R45" i="1"/>
  <c r="K48" i="1"/>
  <c r="R49" i="1"/>
  <c r="Q15" i="1"/>
  <c r="Q19" i="1"/>
  <c r="Q23" i="1"/>
  <c r="Q27" i="1"/>
  <c r="Q31" i="1"/>
  <c r="R34" i="1"/>
  <c r="Q35" i="1"/>
  <c r="K37" i="1"/>
  <c r="R38" i="1"/>
  <c r="Q39" i="1"/>
  <c r="K41" i="1"/>
  <c r="N42" i="1"/>
  <c r="R42" i="1"/>
  <c r="Q43" i="1"/>
  <c r="K45" i="1"/>
  <c r="N46" i="1"/>
  <c r="R46" i="1"/>
  <c r="K49" i="1"/>
  <c r="R50" i="1"/>
  <c r="Q36" i="1"/>
  <c r="Q40" i="1"/>
  <c r="K42" i="1"/>
  <c r="Q44" i="1"/>
  <c r="K46" i="1"/>
  <c r="N47" i="1"/>
  <c r="Q48" i="1"/>
  <c r="P44" i="1" l="1"/>
  <c r="M29" i="1"/>
  <c r="M37" i="1"/>
  <c r="P45" i="1"/>
  <c r="M40" i="1"/>
  <c r="J45" i="1"/>
  <c r="J41" i="1"/>
  <c r="P49" i="1"/>
  <c r="J47" i="1"/>
  <c r="J48" i="1"/>
  <c r="J42" i="1"/>
  <c r="P19" i="1"/>
  <c r="M48" i="1"/>
  <c r="M32" i="1"/>
  <c r="P6" i="1"/>
  <c r="J33" i="1"/>
  <c r="M28" i="1"/>
  <c r="J22" i="1"/>
  <c r="J14" i="1"/>
  <c r="M3" i="1"/>
  <c r="P47" i="1"/>
  <c r="P37" i="1"/>
  <c r="M31" i="1"/>
  <c r="M24" i="1"/>
  <c r="J18" i="1"/>
  <c r="M17" i="1"/>
  <c r="P26" i="1"/>
  <c r="J17" i="1"/>
  <c r="J6" i="1"/>
  <c r="M2" i="1"/>
  <c r="J12" i="1"/>
  <c r="P8" i="1"/>
  <c r="J24" i="1"/>
  <c r="P30" i="1"/>
  <c r="P35" i="1"/>
  <c r="J40" i="1"/>
  <c r="P48" i="1"/>
  <c r="P43" i="1"/>
  <c r="P25" i="1"/>
  <c r="P50" i="1"/>
  <c r="M39" i="1"/>
  <c r="M47" i="1"/>
  <c r="P40" i="1"/>
  <c r="P31" i="1"/>
  <c r="P15" i="1"/>
  <c r="J44" i="1"/>
  <c r="J36" i="1"/>
  <c r="M43" i="1"/>
  <c r="P33" i="1"/>
  <c r="P16" i="1"/>
  <c r="M49" i="1"/>
  <c r="J38" i="1"/>
  <c r="M30" i="1"/>
  <c r="P21" i="1"/>
  <c r="M15" i="1"/>
  <c r="P2" i="1"/>
  <c r="P46" i="1"/>
  <c r="M38" i="1"/>
  <c r="M27" i="1"/>
  <c r="M21" i="1"/>
  <c r="M14" i="1"/>
  <c r="M8" i="1"/>
  <c r="M4" i="1"/>
  <c r="J2" i="1"/>
  <c r="J43" i="1"/>
  <c r="M36" i="1"/>
  <c r="J32" i="1"/>
  <c r="P29" i="1"/>
  <c r="J23" i="1"/>
  <c r="J28" i="1"/>
  <c r="M16" i="1"/>
  <c r="P22" i="1"/>
  <c r="M12" i="1"/>
  <c r="M6" i="1"/>
  <c r="J16" i="1"/>
  <c r="J29" i="1"/>
  <c r="J5" i="1"/>
  <c r="P14" i="1"/>
  <c r="J11" i="1"/>
  <c r="P23" i="1"/>
  <c r="P38" i="1"/>
  <c r="J49" i="1"/>
  <c r="P39" i="1"/>
  <c r="M19" i="1"/>
  <c r="M25" i="1"/>
  <c r="J46" i="1"/>
  <c r="P36" i="1"/>
  <c r="M46" i="1"/>
  <c r="M42" i="1"/>
  <c r="J37" i="1"/>
  <c r="P27" i="1"/>
  <c r="M33" i="1"/>
  <c r="J39" i="1"/>
  <c r="J30" i="1"/>
  <c r="P11" i="1"/>
  <c r="J35" i="1"/>
  <c r="P28" i="1"/>
  <c r="J13" i="1"/>
  <c r="P51" i="1"/>
  <c r="M45" i="1"/>
  <c r="M35" i="1"/>
  <c r="M26" i="1"/>
  <c r="J20" i="1"/>
  <c r="M13" i="1"/>
  <c r="J7" i="1"/>
  <c r="J3" i="1"/>
  <c r="M50" i="1"/>
  <c r="P42" i="1"/>
  <c r="M34" i="1"/>
  <c r="P32" i="1"/>
  <c r="M23" i="1"/>
  <c r="J25" i="1"/>
  <c r="M11" i="1"/>
  <c r="J19" i="1"/>
  <c r="M9" i="1"/>
  <c r="J4" i="1"/>
  <c r="J10" i="1"/>
  <c r="M22" i="1"/>
  <c r="P3" i="1"/>
  <c r="J8" i="1"/>
  <c r="M5" i="1"/>
  <c r="M20" i="1"/>
  <c r="J51" i="1"/>
  <c r="M44" i="1"/>
  <c r="P34" i="1"/>
  <c r="J26" i="1"/>
  <c r="P10" i="1"/>
  <c r="M51" i="1"/>
  <c r="P41" i="1"/>
  <c r="J34" i="1"/>
  <c r="P24" i="1"/>
  <c r="P17" i="1"/>
  <c r="P9" i="1"/>
  <c r="P5" i="1"/>
  <c r="M7" i="1"/>
  <c r="J50" i="1"/>
  <c r="M41" i="1"/>
  <c r="J31" i="1"/>
  <c r="P20" i="1"/>
  <c r="P12" i="1"/>
  <c r="J21" i="1"/>
  <c r="P4" i="1"/>
  <c r="P18" i="1"/>
  <c r="P7" i="1"/>
  <c r="M18" i="1"/>
  <c r="M10" i="1"/>
  <c r="J15" i="1"/>
  <c r="J27" i="1"/>
  <c r="P13" i="1"/>
  <c r="J9" i="1"/>
  <c r="L58" i="1" l="1"/>
  <c r="N58" i="1"/>
  <c r="M58" i="1"/>
  <c r="N60" i="1"/>
  <c r="M60" i="1"/>
  <c r="L60" i="1"/>
  <c r="M59" i="1"/>
  <c r="L59" i="1"/>
  <c r="N5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Paras Garg</author>
  </authors>
  <commentList>
    <comment ref="G5" authorId="0" shapeId="0" xr:uid="{CE54FC6C-811A-3548-9358-E875942C3C33}">
      <text>
        <r>
          <rPr>
            <b/>
            <sz val="12"/>
            <color rgb="FFFF0000"/>
            <rFont val="Calibri"/>
            <family val="2"/>
          </rPr>
          <t xml:space="preserve">Used Min-Max Normalization 
</t>
        </r>
        <r>
          <rPr>
            <b/>
            <sz val="12"/>
            <color rgb="FFFF0000"/>
            <rFont val="Calibri"/>
            <family val="2"/>
          </rPr>
          <t>= (x - xMin) / (xMax - xMin)</t>
        </r>
      </text>
    </comment>
    <comment ref="I5" authorId="0" shapeId="0" xr:uid="{44E7DA80-8782-D94D-914D-CDD77CD093E2}">
      <text>
        <r>
          <rPr>
            <b/>
            <sz val="12"/>
            <color rgb="FFFF0000"/>
            <rFont val="Calibri"/>
            <family val="2"/>
          </rPr>
          <t xml:space="preserve">Using Eucledian Distance
</t>
        </r>
        <r>
          <rPr>
            <b/>
            <sz val="12"/>
            <color rgb="FFFF0000"/>
            <rFont val="Calibri"/>
            <family val="2"/>
          </rPr>
          <t>= sqrt( sum ( sq (x</t>
        </r>
        <r>
          <rPr>
            <sz val="12"/>
            <color rgb="FFFF0000"/>
            <rFont val="Calibri"/>
            <family val="2"/>
          </rPr>
          <t>i</t>
        </r>
        <r>
          <rPr>
            <b/>
            <sz val="12"/>
            <color rgb="FFFF0000"/>
            <rFont val="Calibri"/>
            <family val="2"/>
          </rPr>
          <t xml:space="preserve"> - y</t>
        </r>
        <r>
          <rPr>
            <sz val="12"/>
            <color rgb="FFFF0000"/>
            <rFont val="Calibri"/>
            <family val="2"/>
          </rPr>
          <t>i</t>
        </r>
        <r>
          <rPr>
            <b/>
            <sz val="12"/>
            <color rgb="FFFF0000"/>
            <rFont val="Calibri"/>
            <family val="2"/>
          </rPr>
          <t>) ) )</t>
        </r>
      </text>
    </comment>
  </commentList>
</comments>
</file>

<file path=xl/sharedStrings.xml><?xml version="1.0" encoding="utf-8"?>
<sst xmlns="http://schemas.openxmlformats.org/spreadsheetml/2006/main" count="422" uniqueCount="108">
  <si>
    <t>Exposure</t>
  </si>
  <si>
    <t>MaritalStatus</t>
  </si>
  <si>
    <t>MonthAtHospital</t>
  </si>
  <si>
    <t>Infected</t>
  </si>
  <si>
    <t>ExposureNormalized</t>
  </si>
  <si>
    <t>MaritalStatusNormalized</t>
  </si>
  <si>
    <t>MonthAtHospitalNormalized</t>
  </si>
  <si>
    <t>RankPoint1</t>
  </si>
  <si>
    <t>DistanceFromPoint1</t>
  </si>
  <si>
    <t>Infected1</t>
  </si>
  <si>
    <t>RankPoint2</t>
  </si>
  <si>
    <t>DistanceFromPoint2</t>
  </si>
  <si>
    <t>Infected2</t>
  </si>
  <si>
    <t>RankPoint3</t>
  </si>
  <si>
    <t>DistanceFromPoint3</t>
  </si>
  <si>
    <t>Infected3</t>
  </si>
  <si>
    <t>Married</t>
  </si>
  <si>
    <t>No</t>
  </si>
  <si>
    <t>Yes</t>
  </si>
  <si>
    <t>Single</t>
  </si>
  <si>
    <t>Following to be predicted:</t>
  </si>
  <si>
    <t>Predicted</t>
  </si>
  <si>
    <t>1st closest</t>
  </si>
  <si>
    <t>2nd closest</t>
  </si>
  <si>
    <t>3rd closest</t>
  </si>
  <si>
    <t>k</t>
  </si>
  <si>
    <t>Column1</t>
  </si>
  <si>
    <t>MaritalID</t>
  </si>
  <si>
    <t>MonthAtHospital_ID</t>
  </si>
  <si>
    <t>Candidate Split</t>
  </si>
  <si>
    <t>Ledt Child 0de, tl</t>
  </si>
  <si>
    <t>Right child 0de, tr</t>
  </si>
  <si>
    <t>less than 6 months</t>
  </si>
  <si>
    <t>JS 1</t>
  </si>
  <si>
    <t>JS 2,3,4</t>
  </si>
  <si>
    <t>6 or more months</t>
  </si>
  <si>
    <t>JS 2</t>
  </si>
  <si>
    <t>JS 1,3,4</t>
  </si>
  <si>
    <t>JS 3</t>
  </si>
  <si>
    <t>JS 1,2,4</t>
  </si>
  <si>
    <t>JS 4</t>
  </si>
  <si>
    <t>JS 1,2,3</t>
  </si>
  <si>
    <t>JS 1 or 2</t>
  </si>
  <si>
    <t>JS 3,4</t>
  </si>
  <si>
    <t>Marital Status</t>
  </si>
  <si>
    <t>Marital_ ID</t>
  </si>
  <si>
    <t>JS 1 or 3</t>
  </si>
  <si>
    <t>JS 2,4</t>
  </si>
  <si>
    <t>JS 1 or 4</t>
  </si>
  <si>
    <t>JS 2,3</t>
  </si>
  <si>
    <t>Marital_ID 1</t>
  </si>
  <si>
    <t>Marital_ID 2</t>
  </si>
  <si>
    <t>MonthAtHospital_ID 1</t>
  </si>
  <si>
    <t>MonthAtHospital_ ID 2</t>
  </si>
  <si>
    <t>Infected_ID</t>
  </si>
  <si>
    <t>p(j/tl)</t>
  </si>
  <si>
    <t>p(j/tr)</t>
  </si>
  <si>
    <t>2Pl * PR</t>
  </si>
  <si>
    <t>q(s/t)</t>
  </si>
  <si>
    <t>Overall</t>
  </si>
  <si>
    <t>PL</t>
  </si>
  <si>
    <t>PR</t>
  </si>
  <si>
    <t>L1</t>
  </si>
  <si>
    <t>L2</t>
  </si>
  <si>
    <t>JS1</t>
  </si>
  <si>
    <t>JS2</t>
  </si>
  <si>
    <t>JS3</t>
  </si>
  <si>
    <t>JS4</t>
  </si>
  <si>
    <t>Marital ID</t>
  </si>
  <si>
    <t xml:space="preserve"> MonthAtHospital ID</t>
  </si>
  <si>
    <t>ID</t>
  </si>
  <si>
    <t>AGE</t>
  </si>
  <si>
    <t>Asset Size</t>
  </si>
  <si>
    <t>Income</t>
  </si>
  <si>
    <t>AGE - MMN</t>
  </si>
  <si>
    <t>Assest Size - MMN</t>
  </si>
  <si>
    <t>DISTANCE from X</t>
  </si>
  <si>
    <t>X</t>
  </si>
  <si>
    <t>?</t>
  </si>
  <si>
    <t>100K</t>
  </si>
  <si>
    <t>90K</t>
  </si>
  <si>
    <t>150K</t>
  </si>
  <si>
    <t>Case</t>
  </si>
  <si>
    <t>Reason</t>
  </si>
  <si>
    <t>Minimum</t>
  </si>
  <si>
    <t>K = 1</t>
  </si>
  <si>
    <t>Maximum</t>
  </si>
  <si>
    <t>K = 2</t>
  </si>
  <si>
    <t>90K or 100K</t>
  </si>
  <si>
    <r>
      <t xml:space="preserve">Choosen randomly from 90K and 100K from 2 nearest neighbors </t>
    </r>
    <r>
      <rPr>
        <b/>
        <sz val="11"/>
        <color theme="0"/>
        <rFont val="Gisha"/>
        <family val="2"/>
      </rPr>
      <t>'ID 1'</t>
    </r>
    <r>
      <rPr>
        <sz val="11"/>
        <color theme="0"/>
        <rFont val="Gisha"/>
        <family val="2"/>
      </rPr>
      <t xml:space="preserve"> and </t>
    </r>
    <r>
      <rPr>
        <b/>
        <sz val="11"/>
        <color theme="0"/>
        <rFont val="Gisha"/>
        <family val="2"/>
      </rPr>
      <t>'ID 2'</t>
    </r>
  </si>
  <si>
    <t>Mean</t>
  </si>
  <si>
    <t>Case 1 : K = 1 and method = ”unweighted vote” is used</t>
  </si>
  <si>
    <r>
      <t xml:space="preserve">The value of Income would be </t>
    </r>
    <r>
      <rPr>
        <b/>
        <sz val="11"/>
        <color rgb="FF000000"/>
        <rFont val="Gisha"/>
        <family val="2"/>
      </rPr>
      <t xml:space="preserve">'90K'. </t>
    </r>
    <r>
      <rPr>
        <sz val="11"/>
        <color rgb="FF000000"/>
        <rFont val="Gisha"/>
        <family val="2"/>
      </rPr>
      <t xml:space="preserve">Considered the value of nearest neighbor </t>
    </r>
    <r>
      <rPr>
        <b/>
        <sz val="11"/>
        <color rgb="FF000000"/>
        <rFont val="Gisha"/>
        <family val="2"/>
      </rPr>
      <t>'ID 2'.</t>
    </r>
  </si>
  <si>
    <t>Case 2 : K = 2 and method = ”unweighted vote” is used</t>
  </si>
  <si>
    <r>
      <t xml:space="preserve">The value of Income could be </t>
    </r>
    <r>
      <rPr>
        <b/>
        <sz val="11"/>
        <color theme="1"/>
        <rFont val="Gisha"/>
        <family val="2"/>
      </rPr>
      <t xml:space="preserve">'100K' </t>
    </r>
    <r>
      <rPr>
        <sz val="11"/>
        <color theme="1"/>
        <rFont val="Gisha"/>
        <family val="2"/>
      </rPr>
      <t xml:space="preserve">or </t>
    </r>
    <r>
      <rPr>
        <b/>
        <sz val="11"/>
        <color theme="1"/>
        <rFont val="Gisha"/>
        <family val="2"/>
      </rPr>
      <t>'90K'</t>
    </r>
    <r>
      <rPr>
        <sz val="11"/>
        <color theme="1"/>
        <rFont val="Gisha"/>
        <family val="2"/>
      </rPr>
      <t xml:space="preserve">. Considered the value of two nearest neighbors </t>
    </r>
    <r>
      <rPr>
        <b/>
        <sz val="11"/>
        <color theme="1"/>
        <rFont val="Gisha"/>
        <family val="2"/>
      </rPr>
      <t>'ID 1' &amp; 'ID 2'</t>
    </r>
    <r>
      <rPr>
        <sz val="11"/>
        <color theme="1"/>
        <rFont val="Gisha"/>
        <family val="2"/>
      </rPr>
      <t xml:space="preserve">. So the value </t>
    </r>
    <r>
      <rPr>
        <b/>
        <sz val="11"/>
        <color theme="1"/>
        <rFont val="Gisha"/>
        <family val="2"/>
      </rPr>
      <t>90K</t>
    </r>
    <r>
      <rPr>
        <sz val="11"/>
        <color theme="1"/>
        <rFont val="Gisha"/>
        <family val="2"/>
      </rPr>
      <t xml:space="preserve"> is randomly selected from them.</t>
    </r>
  </si>
  <si>
    <t>Age</t>
  </si>
  <si>
    <t>WEIGHTED VOTE</t>
  </si>
  <si>
    <t>--</t>
  </si>
  <si>
    <t>Medium</t>
  </si>
  <si>
    <t>Low</t>
  </si>
  <si>
    <t>High</t>
  </si>
  <si>
    <t>infinite</t>
  </si>
  <si>
    <t>K = 3</t>
  </si>
  <si>
    <t>Considered the value of nearest neighbors 'ID 4', 5 and 6, and Majority among those three is chosen</t>
  </si>
  <si>
    <t>Case : K = 3 and method = ”distance weighted vote” is used</t>
  </si>
  <si>
    <r>
      <t xml:space="preserve">The value of Income would be </t>
    </r>
    <r>
      <rPr>
        <b/>
        <sz val="11"/>
        <color rgb="FF000000"/>
        <rFont val="Gisha"/>
        <family val="2"/>
      </rPr>
      <t xml:space="preserve">'High'. </t>
    </r>
    <r>
      <rPr>
        <sz val="11"/>
        <color rgb="FF000000"/>
        <rFont val="Gisha"/>
        <family val="2"/>
      </rPr>
      <t xml:space="preserve">Considered the values of nearest neighbors with </t>
    </r>
    <r>
      <rPr>
        <b/>
        <sz val="11"/>
        <color rgb="FF000000"/>
        <rFont val="Gisha"/>
        <family val="2"/>
      </rPr>
      <t xml:space="preserve">'ID 4', 'ID 5' &amp; 'ID 6', </t>
    </r>
    <r>
      <rPr>
        <sz val="11"/>
        <color rgb="FF000000"/>
        <rFont val="Gisha"/>
        <family val="2"/>
      </rPr>
      <t xml:space="preserve">'ID 4' has Medium but other two neighbors '5' &amp; '6' have High. Then instead of choosing randomly, we take vote between the values and as High appears twice and Medium only once. So, High is choosen. </t>
    </r>
  </si>
  <si>
    <r>
      <rPr>
        <sz val="12"/>
        <rFont val="Calibri"/>
        <family val="2"/>
        <scheme val="minor"/>
      </rPr>
      <t xml:space="preserve">Considered the value of nearest neighbor </t>
    </r>
    <r>
      <rPr>
        <b/>
        <sz val="11"/>
        <rFont val="Gisha"/>
        <family val="2"/>
      </rPr>
      <t>'ID 2'.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</si>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</sst>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00000000"/>
    <numFmt numFmtId="166" formatCode="0.0000000000000000"/>
  </numFmts>
  <fonts count="17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36"/>
      <color rgb="FF7030A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Gisha"/>
      <family val="2"/>
    </font>
    <font>
      <sz val="11"/>
      <color theme="0"/>
      <name val="Gisha"/>
      <family val="2"/>
    </font>
    <font>
      <b/>
      <sz val="11"/>
      <color rgb="FF000000"/>
      <name val="Gisha"/>
      <family val="2"/>
    </font>
    <font>
      <sz val="11"/>
      <color rgb="FF000000"/>
      <name val="Gisha"/>
      <family val="2"/>
    </font>
    <font>
      <sz val="11"/>
      <color theme="1"/>
      <name val="Gisha"/>
      <family val="2"/>
    </font>
    <font>
      <b/>
      <sz val="11"/>
      <color theme="1"/>
      <name val="Gisha"/>
      <family val="2"/>
    </font>
    <font>
      <sz val="11"/>
      <name val="Gisha"/>
      <family val="2"/>
    </font>
    <font>
      <sz val="12"/>
      <color rgb="FFFF0000"/>
      <name val="Calibri"/>
      <family val="2"/>
    </font>
    <font>
      <b/>
      <sz val="12"/>
      <color rgb="FFFF0000"/>
      <name val="Calibri"/>
      <family val="2"/>
    </font>
    <font>
      <sz val="12"/>
      <name val="Calibri"/>
      <family val="2"/>
      <scheme val="minor"/>
    </font>
    <font>
      <b/>
      <sz val="11"/>
      <name val="Gish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theme="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/>
      <right/>
      <top style="thin">
        <color theme="5" tint="-0.249977111117893"/>
      </top>
      <bottom style="thin">
        <color theme="5" tint="-0.249977111117893"/>
      </bottom>
      <diagonal/>
    </border>
    <border>
      <left/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/>
      <right style="thin">
        <color theme="5" tint="-0.249977111117893"/>
      </right>
      <top/>
      <bottom/>
      <diagonal/>
    </border>
    <border>
      <left style="thin">
        <color theme="5" tint="-0.249977111117893"/>
      </left>
      <right style="thin">
        <color theme="5" tint="-0.249977111117893"/>
      </right>
      <top/>
      <bottom/>
      <diagonal/>
    </border>
    <border>
      <left style="thin">
        <color theme="5" tint="-0.249977111117893"/>
      </left>
      <right style="thin">
        <color theme="5" tint="-0.249977111117893"/>
      </right>
      <top/>
      <bottom style="thin">
        <color theme="5" tint="-0.249977111117893"/>
      </bottom>
      <diagonal/>
    </border>
    <border>
      <left/>
      <right/>
      <top/>
      <bottom style="thin">
        <color theme="5" tint="-0.249977111117893"/>
      </bottom>
      <diagonal/>
    </border>
    <border>
      <left/>
      <right style="thin">
        <color theme="5" tint="-0.249977111117893"/>
      </right>
      <top/>
      <bottom style="thin">
        <color theme="5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1" fontId="0" fillId="0" borderId="0" xfId="0" applyNumberFormat="1" applyAlignment="1">
      <alignment horizontal="center" vertical="top"/>
    </xf>
    <xf numFmtId="0" fontId="1" fillId="0" borderId="0" xfId="0" applyFont="1"/>
    <xf numFmtId="164" fontId="0" fillId="0" borderId="0" xfId="0" applyNumberFormat="1"/>
    <xf numFmtId="0" fontId="1" fillId="0" borderId="5" xfId="0" applyFont="1" applyBorder="1" applyAlignment="1">
      <alignment horizontal="center"/>
    </xf>
    <xf numFmtId="0" fontId="3" fillId="0" borderId="0" xfId="0" applyFont="1"/>
    <xf numFmtId="0" fontId="0" fillId="0" borderId="6" xfId="0" applyBorder="1"/>
    <xf numFmtId="0" fontId="0" fillId="0" borderId="7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/>
    <xf numFmtId="166" fontId="0" fillId="0" borderId="0" xfId="0" applyNumberFormat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 wrapText="1"/>
    </xf>
    <xf numFmtId="0" fontId="2" fillId="6" borderId="3" xfId="0" applyFont="1" applyFill="1" applyBorder="1"/>
    <xf numFmtId="0" fontId="2" fillId="6" borderId="4" xfId="0" applyFont="1" applyFill="1" applyBorder="1"/>
    <xf numFmtId="0" fontId="1" fillId="3" borderId="0" xfId="0" applyFont="1" applyFill="1" applyAlignment="1">
      <alignment horizontal="center" vertical="top"/>
    </xf>
    <xf numFmtId="0" fontId="0" fillId="0" borderId="25" xfId="0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6" fillId="3" borderId="17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12" fillId="5" borderId="19" xfId="0" applyFont="1" applyFill="1" applyBorder="1" applyAlignment="1">
      <alignment horizontal="center" vertical="center"/>
    </xf>
    <xf numFmtId="0" fontId="12" fillId="5" borderId="21" xfId="0" applyFont="1" applyFill="1" applyBorder="1" applyAlignment="1">
      <alignment horizontal="center" vertical="center"/>
    </xf>
    <xf numFmtId="0" fontId="12" fillId="5" borderId="22" xfId="0" applyFont="1" applyFill="1" applyBorder="1" applyAlignment="1">
      <alignment horizontal="center" vertical="center"/>
    </xf>
    <xf numFmtId="0" fontId="12" fillId="5" borderId="0" xfId="0" applyFont="1" applyFill="1" applyAlignment="1">
      <alignment horizontal="center" vertical="center" wrapText="1"/>
    </xf>
    <xf numFmtId="0" fontId="12" fillId="5" borderId="20" xfId="0" applyFont="1" applyFill="1" applyBorder="1" applyAlignment="1">
      <alignment horizontal="center" vertical="center" wrapText="1"/>
    </xf>
    <xf numFmtId="0" fontId="12" fillId="5" borderId="23" xfId="0" applyFont="1" applyFill="1" applyBorder="1" applyAlignment="1">
      <alignment horizontal="center" vertical="center" wrapText="1"/>
    </xf>
    <xf numFmtId="0" fontId="12" fillId="5" borderId="24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50"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/>
        </patternFill>
      </fill>
      <alignment horizontal="center" vertical="top" textRotation="0" wrapText="0" indent="0" justifyLastLine="0" shrinkToFit="0" readingOrder="0"/>
    </dxf>
    <dxf>
      <numFmt numFmtId="164" formatCode="0.000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0.000"/>
      <alignment horizontal="center" vertical="top" textRotation="0" wrapText="0" indent="0" justifyLastLine="0" shrinkToFit="0" readingOrder="0"/>
    </dxf>
    <dxf>
      <numFmt numFmtId="164" formatCode="0.000"/>
      <alignment horizontal="center" vertical="top" textRotation="0" wrapText="0" indent="0" justifyLastLine="0" shrinkToFit="0" readingOrder="0"/>
    </dxf>
    <dxf>
      <numFmt numFmtId="1" formatCode="0"/>
      <alignment horizontal="center" vertical="top" textRotation="0" wrapText="0" indent="0" justifyLastLine="0" shrinkToFit="0" readingOrder="0"/>
    </dxf>
    <dxf>
      <numFmt numFmtId="164" formatCode="0.000"/>
      <alignment horizontal="center" vertical="top" textRotation="0" wrapText="0" indent="0" justifyLastLine="0" shrinkToFit="0" readingOrder="0"/>
    </dxf>
    <dxf>
      <numFmt numFmtId="164" formatCode="0.000"/>
      <alignment horizontal="center" vertical="top" textRotation="0" wrapText="0" indent="0" justifyLastLine="0" shrinkToFit="0" readingOrder="0"/>
    </dxf>
    <dxf>
      <numFmt numFmtId="1" formatCode="0"/>
      <alignment horizontal="center" vertical="top" textRotation="0" wrapText="0" indent="0" justifyLastLine="0" shrinkToFit="0" readingOrder="0"/>
    </dxf>
    <dxf>
      <numFmt numFmtId="164" formatCode="0.000"/>
      <alignment horizontal="center" vertical="top" textRotation="0" wrapText="0" indent="0" justifyLastLine="0" shrinkToFit="0" readingOrder="0"/>
    </dxf>
    <dxf>
      <numFmt numFmtId="164" formatCode="0.000"/>
      <alignment horizontal="center" vertical="top" textRotation="0" wrapText="0" indent="0" justifyLastLine="0" shrinkToFit="0" readingOrder="0"/>
    </dxf>
    <dxf>
      <numFmt numFmtId="1" formatCode="0"/>
      <alignment horizontal="center" vertical="top" textRotation="0" wrapText="0" indent="0" justifyLastLine="0" shrinkToFit="0" readingOrder="0"/>
    </dxf>
    <dxf>
      <numFmt numFmtId="164" formatCode="0.000"/>
      <alignment horizontal="center" vertical="top" textRotation="0" wrapText="0" indent="0" justifyLastLine="0" shrinkToFit="0" readingOrder="0"/>
    </dxf>
    <dxf>
      <numFmt numFmtId="164" formatCode="0.000"/>
      <alignment horizontal="center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38</xdr:row>
      <xdr:rowOff>0</xdr:rowOff>
    </xdr:from>
    <xdr:to>
      <xdr:col>5</xdr:col>
      <xdr:colOff>1200150</xdr:colOff>
      <xdr:row>42</xdr:row>
      <xdr:rowOff>177800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68A76675-4872-A241-B6B9-0D7C57C1E297}"/>
            </a:ext>
          </a:extLst>
        </xdr:cNvPr>
        <xdr:cNvSpPr/>
      </xdr:nvSpPr>
      <xdr:spPr>
        <a:xfrm>
          <a:off x="5829300" y="7607300"/>
          <a:ext cx="1200150" cy="9398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Root Node</a:t>
          </a:r>
          <a:endParaRPr lang="en-US">
            <a:solidFill>
              <a:schemeClr val="tx1"/>
            </a:solidFill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All Records</a:t>
          </a:r>
          <a:b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48</xdr:row>
      <xdr:rowOff>0</xdr:rowOff>
    </xdr:from>
    <xdr:to>
      <xdr:col>9</xdr:col>
      <xdr:colOff>857250</xdr:colOff>
      <xdr:row>52</xdr:row>
      <xdr:rowOff>184150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87F4B0DB-C513-D741-AEEE-A6D0E1713CF1}"/>
            </a:ext>
          </a:extLst>
        </xdr:cNvPr>
        <xdr:cNvSpPr/>
      </xdr:nvSpPr>
      <xdr:spPr>
        <a:xfrm>
          <a:off x="11988800" y="9512300"/>
          <a:ext cx="857250" cy="94615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Node B Records</a:t>
          </a:r>
        </a:p>
      </xdr:txBody>
    </xdr:sp>
    <xdr:clientData/>
  </xdr:twoCellAnchor>
  <xdr:twoCellAnchor>
    <xdr:from>
      <xdr:col>7</xdr:col>
      <xdr:colOff>0</xdr:colOff>
      <xdr:row>36</xdr:row>
      <xdr:rowOff>0</xdr:rowOff>
    </xdr:from>
    <xdr:to>
      <xdr:col>7</xdr:col>
      <xdr:colOff>885825</xdr:colOff>
      <xdr:row>37</xdr:row>
      <xdr:rowOff>82550</xdr:rowOff>
    </xdr:to>
    <xdr:sp macro="" textlink="">
      <xdr:nvSpPr>
        <xdr:cNvPr id="4" name="Rectangle: Diagonal Corners Rounded 20">
          <a:extLst>
            <a:ext uri="{FF2B5EF4-FFF2-40B4-BE49-F238E27FC236}">
              <a16:creationId xmlns:a16="http://schemas.microsoft.com/office/drawing/2014/main" id="{23CEE55B-38DC-AD45-9C00-B520FA25A0FC}"/>
            </a:ext>
          </a:extLst>
        </xdr:cNvPr>
        <xdr:cNvSpPr/>
      </xdr:nvSpPr>
      <xdr:spPr>
        <a:xfrm>
          <a:off x="8864600" y="7226300"/>
          <a:ext cx="885825" cy="273050"/>
        </a:xfrm>
        <a:prstGeom prst="round2Diag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JS 1 or 2</a:t>
          </a:r>
        </a:p>
      </xdr:txBody>
    </xdr:sp>
    <xdr:clientData/>
  </xdr:twoCellAnchor>
  <xdr:twoCellAnchor>
    <xdr:from>
      <xdr:col>9</xdr:col>
      <xdr:colOff>0</xdr:colOff>
      <xdr:row>32</xdr:row>
      <xdr:rowOff>0</xdr:rowOff>
    </xdr:from>
    <xdr:to>
      <xdr:col>9</xdr:col>
      <xdr:colOff>885825</xdr:colOff>
      <xdr:row>36</xdr:row>
      <xdr:rowOff>177800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DD97314F-AD55-3F4F-B103-41FFE23930EA}"/>
            </a:ext>
          </a:extLst>
        </xdr:cNvPr>
        <xdr:cNvSpPr/>
      </xdr:nvSpPr>
      <xdr:spPr>
        <a:xfrm>
          <a:off x="11988800" y="6464300"/>
          <a:ext cx="885825" cy="9398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Node A Records</a:t>
          </a:r>
        </a:p>
      </xdr:txBody>
    </xdr:sp>
    <xdr:clientData/>
  </xdr:twoCellAnchor>
  <xdr:twoCellAnchor>
    <xdr:from>
      <xdr:col>5</xdr:col>
      <xdr:colOff>1024392</xdr:colOff>
      <xdr:row>36</xdr:row>
      <xdr:rowOff>136525</xdr:rowOff>
    </xdr:from>
    <xdr:to>
      <xdr:col>7</xdr:col>
      <xdr:colOff>0</xdr:colOff>
      <xdr:row>38</xdr:row>
      <xdr:rowOff>137630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2C99CAF1-424F-E748-A9D9-87727B9D1CFB}"/>
            </a:ext>
          </a:extLst>
        </xdr:cNvPr>
        <xdr:cNvCxnSpPr>
          <a:stCxn id="2" idx="7"/>
          <a:endCxn id="4" idx="2"/>
        </xdr:cNvCxnSpPr>
      </xdr:nvCxnSpPr>
      <xdr:spPr>
        <a:xfrm flipV="1">
          <a:off x="6853692" y="7362825"/>
          <a:ext cx="2010908" cy="382105"/>
        </a:xfrm>
        <a:prstGeom prst="line">
          <a:avLst/>
        </a:prstGeom>
        <a:ln>
          <a:solidFill>
            <a:schemeClr val="accent6">
              <a:lumMod val="5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885825</xdr:colOff>
      <xdr:row>34</xdr:row>
      <xdr:rowOff>88900</xdr:rowOff>
    </xdr:from>
    <xdr:to>
      <xdr:col>9</xdr:col>
      <xdr:colOff>0</xdr:colOff>
      <xdr:row>36</xdr:row>
      <xdr:rowOff>136525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3E3BF778-DE47-3649-926F-BD086D5A2659}"/>
            </a:ext>
          </a:extLst>
        </xdr:cNvPr>
        <xdr:cNvCxnSpPr>
          <a:stCxn id="4" idx="0"/>
          <a:endCxn id="5" idx="2"/>
        </xdr:cNvCxnSpPr>
      </xdr:nvCxnSpPr>
      <xdr:spPr>
        <a:xfrm flipV="1">
          <a:off x="9750425" y="6934200"/>
          <a:ext cx="2238375" cy="4286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45</xdr:row>
      <xdr:rowOff>0</xdr:rowOff>
    </xdr:from>
    <xdr:to>
      <xdr:col>7</xdr:col>
      <xdr:colOff>885825</xdr:colOff>
      <xdr:row>46</xdr:row>
      <xdr:rowOff>146050</xdr:rowOff>
    </xdr:to>
    <xdr:sp macro="" textlink="">
      <xdr:nvSpPr>
        <xdr:cNvPr id="8" name="Rectangle: Diagonal Corners Rounded 23">
          <a:extLst>
            <a:ext uri="{FF2B5EF4-FFF2-40B4-BE49-F238E27FC236}">
              <a16:creationId xmlns:a16="http://schemas.microsoft.com/office/drawing/2014/main" id="{94FD8015-6F83-7547-9B6D-8A68A35CAFC0}"/>
            </a:ext>
          </a:extLst>
        </xdr:cNvPr>
        <xdr:cNvSpPr/>
      </xdr:nvSpPr>
      <xdr:spPr>
        <a:xfrm>
          <a:off x="8864600" y="8940800"/>
          <a:ext cx="885825" cy="336550"/>
        </a:xfrm>
        <a:prstGeom prst="round2Diag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JS 3 and 4</a:t>
          </a:r>
        </a:p>
      </xdr:txBody>
    </xdr:sp>
    <xdr:clientData/>
  </xdr:twoCellAnchor>
  <xdr:twoCellAnchor>
    <xdr:from>
      <xdr:col>5</xdr:col>
      <xdr:colOff>1024392</xdr:colOff>
      <xdr:row>42</xdr:row>
      <xdr:rowOff>40170</xdr:rowOff>
    </xdr:from>
    <xdr:to>
      <xdr:col>7</xdr:col>
      <xdr:colOff>0</xdr:colOff>
      <xdr:row>45</xdr:row>
      <xdr:rowOff>168275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400D0970-1303-1049-AD06-FD4A8643B5CE}"/>
            </a:ext>
          </a:extLst>
        </xdr:cNvPr>
        <xdr:cNvCxnSpPr>
          <a:stCxn id="2" idx="5"/>
          <a:endCxn id="8" idx="2"/>
        </xdr:cNvCxnSpPr>
      </xdr:nvCxnSpPr>
      <xdr:spPr>
        <a:xfrm>
          <a:off x="6853692" y="8409470"/>
          <a:ext cx="2010908" cy="69960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885825</xdr:colOff>
      <xdr:row>45</xdr:row>
      <xdr:rowOff>168275</xdr:rowOff>
    </xdr:from>
    <xdr:to>
      <xdr:col>9</xdr:col>
      <xdr:colOff>125541</xdr:colOff>
      <xdr:row>48</xdr:row>
      <xdr:rowOff>138560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CBAD2F29-7BF2-BD44-AB70-DF91A186A7EA}"/>
            </a:ext>
          </a:extLst>
        </xdr:cNvPr>
        <xdr:cNvCxnSpPr>
          <a:stCxn id="8" idx="0"/>
          <a:endCxn id="3" idx="1"/>
        </xdr:cNvCxnSpPr>
      </xdr:nvCxnSpPr>
      <xdr:spPr>
        <a:xfrm>
          <a:off x="9750425" y="9109075"/>
          <a:ext cx="2363916" cy="5417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05E8F4-C9D8-2641-A98D-10F47833B607}" name="Table2" displayName="Table2" ref="A1:D51" totalsRowShown="0" headerRowDxfId="49" dataDxfId="47" headerRowBorderDxfId="48" tableBorderDxfId="46">
  <autoFilter ref="A1:D51" xr:uid="{05E7B4F6-AC5E-DB42-A1D3-3713D6A3A0CE}"/>
  <tableColumns count="4">
    <tableColumn id="1" xr3:uid="{3891F400-61B6-E143-88B9-50C68EE65410}" name="Exposure" dataDxfId="45"/>
    <tableColumn id="2" xr3:uid="{9954F1D0-FC98-0A42-90D0-0EEBFA212A09}" name="MaritalStatus" dataDxfId="44"/>
    <tableColumn id="3" xr3:uid="{39E49FA8-38DB-5C43-805E-0FD5942A32A3}" name="MonthAtHospital" dataDxfId="43"/>
    <tableColumn id="4" xr3:uid="{42020475-7FF0-6A4B-9220-2F93CF463609}" name="Infected" dataDxfId="42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B006C40-3400-DF4E-9E62-286E68083C11}" name="Table39" displayName="Table39" ref="G5:I9" totalsRowShown="0">
  <autoFilter ref="G5:I9" xr:uid="{A162DA12-EB0C-1E44-97A9-B5D3E864F490}"/>
  <tableColumns count="3">
    <tableColumn id="1" xr3:uid="{3B87135B-AB81-E140-AD43-DFBF7DA1C495}" name="AGE - MMN">
      <calculatedColumnFormula>((C6-$C$12)/($C$13-$C$12))</calculatedColumnFormula>
    </tableColumn>
    <tableColumn id="2" xr3:uid="{B48A851B-A46B-E643-B211-16F011FD825F}" name="Assest Size - MMN">
      <calculatedColumnFormula>((D6-$D$12)/($D$13-$D$12))</calculatedColumnFormula>
    </tableColumn>
    <tableColumn id="3" xr3:uid="{4A07278F-5B2E-C947-B13B-7C42F7D7AD71}" name="DISTANCE from X">
      <calculatedColumnFormula>SQRT(SUM(POWER(($G$6-G6),2),POWER(($H$6-H6),2)))</calculatedColumnFormula>
    </tableColumn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C804959-CC1A-4C40-9A85-0EDB76F07A7D}" name="Table410" displayName="Table410" ref="B11:E14" totalsRowShown="0">
  <autoFilter ref="B11:E14" xr:uid="{4F587E50-B741-D343-9D88-86ED6B001A31}"/>
  <tableColumns count="4">
    <tableColumn id="1" xr3:uid="{6EF0419C-3C48-7A42-9D91-3988FF862F12}" name="Column1"/>
    <tableColumn id="2" xr3:uid="{FD554FC4-4B4B-CF4C-8711-243C03E96B16}" name="AGE"/>
    <tableColumn id="3" xr3:uid="{0DCDD22F-BA08-3C40-81FB-6F882B447B1C}" name="Asset Size"/>
    <tableColumn id="4" xr3:uid="{32DA91A7-DADB-204C-A5DA-1FB906CD9D51}" name="Income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50D4962-AE2F-D143-B1C4-74685F9A2601}" name="Table511" displayName="Table511" ref="G11:J13" totalsRowShown="0">
  <autoFilter ref="G11:J13" xr:uid="{4EC7D8FC-ECEC-3A41-83A3-96102F55685D}"/>
  <tableColumns count="4">
    <tableColumn id="1" xr3:uid="{5FB5DFB5-02DB-2148-950A-99B82F5448DC}" name="Case"/>
    <tableColumn id="2" xr3:uid="{0EB100BB-BF35-C14C-B895-414806C9200A}" name="Income"/>
    <tableColumn id="3" xr3:uid="{3A727A71-2FEC-484F-B4B8-D1236EAF0C0B}" name="Reason"/>
    <tableColumn id="4" xr3:uid="{350F048B-20D5-4544-AC57-2A27F8DB81BE}" name="Column1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21408D1-D0C7-F945-BABD-68BDBA0CBBC3}" name="Table612" displayName="Table612" ref="B29:E36" totalsRowShown="0">
  <autoFilter ref="B29:E36" xr:uid="{14429BA6-BD2E-E94D-A323-33829D69268D}"/>
  <tableColumns count="4">
    <tableColumn id="1" xr3:uid="{AF6A3803-AB68-5C48-85C9-58195C107CAB}" name="ID"/>
    <tableColumn id="2" xr3:uid="{A7457156-6328-CB41-8A6A-E49BB662ACD1}" name="Age"/>
    <tableColumn id="3" xr3:uid="{7EF843DC-AE83-584D-9CA7-921A431C7E73}" name="Asset Size"/>
    <tableColumn id="4" xr3:uid="{960F5AE1-405A-754D-92B2-CD5990FD8215}" name="Income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006144A-4273-304C-89AB-308FEA17E1DE}" name="Table713" displayName="Table713" ref="G29:J36" totalsRowShown="0">
  <autoFilter ref="G29:J36" xr:uid="{FB612CD3-5A2F-0D4F-8939-D6FE27B05B49}"/>
  <tableColumns count="4">
    <tableColumn id="1" xr3:uid="{75AB9B76-BA98-CD46-ADE7-2D1B78F60EE3}" name="AGE - MMN">
      <calculatedColumnFormula>((C30-$C$31)/($C$33-$C$31))</calculatedColumnFormula>
    </tableColumn>
    <tableColumn id="2" xr3:uid="{F5A6B080-FE06-3048-9F0A-345F8F0B0437}" name="Assest Size - MMN">
      <calculatedColumnFormula>((D30-$D$31)/($D$33-$D$31))</calculatedColumnFormula>
    </tableColumn>
    <tableColumn id="3" xr3:uid="{8B54907A-DB21-D84E-9ECA-2E56C8CD20DD}" name="DISTANCE from X">
      <calculatedColumnFormula>SQRT(SUM(POWER(($G$30-G30),2),POWER(($H$30-H30),2)))</calculatedColumnFormula>
    </tableColumn>
    <tableColumn id="4" xr3:uid="{D9B417F4-0EE2-9442-881F-1A49D4BF4683}" name="WEIGHTED VOTE"/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43BB1E5-45A1-2A42-9B01-0E43550872A7}" name="Table8" displayName="Table8" ref="B38:D41" totalsRowShown="0">
  <autoFilter ref="B38:D41" xr:uid="{5BDEAE9F-D7CE-9D45-A502-49934B22B690}"/>
  <tableColumns count="3">
    <tableColumn id="1" xr3:uid="{3069E460-2F6E-544D-9468-57C7A4D2B79A}" name="Column1"/>
    <tableColumn id="2" xr3:uid="{DE8734A0-01FE-B24A-A1EF-4FE9F4073D00}" name="AGE"/>
    <tableColumn id="3" xr3:uid="{4BEF9FC9-2BEB-7C4F-BAE1-ACB146647943}" name="Asset Size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EF5FD0-94CC-7942-93E2-A1FE3A875A79}" name="Table3" displayName="Table3" ref="A57:E60" totalsRowShown="0" headerRowDxfId="41" dataDxfId="40">
  <autoFilter ref="A57:E60" xr:uid="{FB3836E1-2938-4B4B-8A81-773E9159756A}"/>
  <tableColumns count="5">
    <tableColumn id="1" xr3:uid="{9149EE0A-335D-094A-BE82-F02812BAB270}" name="Exposure" dataDxfId="39"/>
    <tableColumn id="2" xr3:uid="{D4DE6551-6CBE-6E43-8B19-B0F7741AEC85}" name="MaritalStatus" dataDxfId="38"/>
    <tableColumn id="3" xr3:uid="{A0399546-D2F9-BB46-A6E6-8CD9F80388AB}" name="MonthAtHospital" dataDxfId="37"/>
    <tableColumn id="4" xr3:uid="{2DDE8968-DD20-CA47-AB6B-FA248763C24F}" name="Infected" dataDxfId="36"/>
    <tableColumn id="5" xr3:uid="{1DFAC0BE-16B1-1B45-9BB1-0A3E7C129971}" name="Predicted" dataDxfId="3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3E2B69-27DC-AF4C-8F39-99AD9F357563}" name="Table4" displayName="Table4" ref="F1:R51" totalsRowShown="0" dataDxfId="34">
  <autoFilter ref="F1:R51" xr:uid="{B36225C1-52DC-104C-8D53-B0F045D3A490}"/>
  <tableColumns count="13">
    <tableColumn id="1" xr3:uid="{D4D81813-3935-E049-96AF-9DB00D956D22}" name="ExposureNormalized" dataDxfId="33">
      <calculatedColumnFormula>Table2[[#This Row],[Exposure]]/4</calculatedColumnFormula>
    </tableColumn>
    <tableColumn id="2" xr3:uid="{F0FB5663-20CC-F441-BFE3-E3D5DDFC362D}" name="MaritalStatusNormalized" dataDxfId="32">
      <calculatedColumnFormula>IF(Table2[[#This Row],[MaritalStatus]]="Married",1,0.5)</calculatedColumnFormula>
    </tableColumn>
    <tableColumn id="3" xr3:uid="{154C91B1-6255-B34E-843F-AEFB57A47386}" name="MonthAtHospitalNormalized" dataDxfId="31">
      <calculatedColumnFormula>Table2[[#This Row],[MonthAtHospital]]/MAX(Table2[MonthAtHospital])</calculatedColumnFormula>
    </tableColumn>
    <tableColumn id="4" xr3:uid="{E45C3AC0-EA17-E04A-8BEB-4115D6975AA6}" name="Infected" dataDxfId="30">
      <calculatedColumnFormula>Table2[[#This Row],[Infected]]</calculatedColumnFormula>
    </tableColumn>
    <tableColumn id="8" xr3:uid="{8CEBB7E5-2ECE-FC44-8FCC-3937C7E6CADF}" name="RankPoint1" dataDxfId="29">
      <calculatedColumnFormula>RANK(K2,$K$2:$K$51,1)+COUNTIF($K$2:K2,K2)-1</calculatedColumnFormula>
    </tableColumn>
    <tableColumn id="5" xr3:uid="{BB5BC9A4-7BE0-874B-BA85-67921FE6AEBB}" name="DistanceFromPoint1" dataDxfId="28">
      <calculatedColumnFormula>SQRT((Table4[[#This Row],[ExposureNormalized]]-$G$58)^2+(Table4[[#This Row],[MaritalStatusNormalized]]-$H$58)^2+(Table4[[#This Row],[MonthAtHospitalNormalized]]-$I$58)^2)</calculatedColumnFormula>
    </tableColumn>
    <tableColumn id="12" xr3:uid="{93065C9D-D83B-AE4B-8687-DF1A311824AA}" name="Infected1" dataDxfId="27">
      <calculatedColumnFormula>Table2[[#This Row],[Infected]]</calculatedColumnFormula>
    </tableColumn>
    <tableColumn id="9" xr3:uid="{08FA0126-4C02-5443-8B3E-C3B32FFDA8ED}" name="RankPoint2" dataDxfId="26">
      <calculatedColumnFormula>RANK(N2,$N$2:$N$51,1)+COUNTIF($N$2:N2,N2)-1</calculatedColumnFormula>
    </tableColumn>
    <tableColumn id="6" xr3:uid="{026EDFF1-BF00-0249-ADE9-627EAF27B1C9}" name="DistanceFromPoint2" dataDxfId="25">
      <calculatedColumnFormula>SQRT((Table4[[#This Row],[ExposureNormalized]]-$G$59)^2+(Table4[[#This Row],[MaritalStatusNormalized]]-$H$59)^2+(Table4[[#This Row],[MonthAtHospitalNormalized]]-$I$59)^2)</calculatedColumnFormula>
    </tableColumn>
    <tableColumn id="13" xr3:uid="{681F28D7-4EA5-0545-8306-4C146AF817C9}" name="Infected2" dataDxfId="24">
      <calculatedColumnFormula>Table4[[#This Row],[Infected]]</calculatedColumnFormula>
    </tableColumn>
    <tableColumn id="10" xr3:uid="{14967976-0AEB-5C4D-A202-F68D8618E396}" name="RankPoint3" dataDxfId="23">
      <calculatedColumnFormula>RANK(Q2,$Q$2:$Q$51,1)+COUNTIF($Q$2:Q2,Q2)-1</calculatedColumnFormula>
    </tableColumn>
    <tableColumn id="14" xr3:uid="{71CE035E-7C70-CE49-97ED-34432DFEDE2A}" name="DistanceFromPoint3" dataDxfId="22">
      <calculatedColumnFormula>SQRT((Table4[[#This Row],[ExposureNormalized]]-$G$60)^2+(Table4[[#This Row],[MaritalStatusNormalized]]-$H$60)^2+(Table4[[#This Row],[MonthAtHospitalNormalized]]-$I$60)^2)</calculatedColumnFormula>
    </tableColumn>
    <tableColumn id="7" xr3:uid="{1B461FF3-4859-8C45-8C52-77BD5701DA77}" name="Infected3" dataDxfId="21">
      <calculatedColumnFormula>Table4[[#This Row],[Infected]]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88C8A0-30EA-5C4D-A6E7-AEBE3066816B}" name="Table5" displayName="Table5" ref="G57:J60" totalsRowShown="0" headerRowDxfId="20" headerRowBorderDxfId="19" tableBorderDxfId="18">
  <autoFilter ref="G57:J60" xr:uid="{B2D46B21-3908-9046-B1A7-C238C1828342}"/>
  <tableColumns count="4">
    <tableColumn id="1" xr3:uid="{9992F482-E5B8-B141-8B9E-DA7B7A1F36A9}" name="ExposureNormalized">
      <calculatedColumnFormula>Table3[[#This Row],[Exposure]]/MAX(Table2[Exposure])</calculatedColumnFormula>
    </tableColumn>
    <tableColumn id="2" xr3:uid="{330A2F95-6A3E-E64D-8628-768897852277}" name="MaritalStatusNormalized" dataDxfId="17">
      <calculatedColumnFormula>IF(Table3[[#This Row],[MaritalStatus]]="Married",1,0.5)</calculatedColumnFormula>
    </tableColumn>
    <tableColumn id="3" xr3:uid="{0EB33134-9A14-E349-8EF8-5DC830F22F8E}" name="MonthAtHospitalNormalized" dataDxfId="16">
      <calculatedColumnFormula>Table3[[#This Row],[MonthAtHospital]]/MAX(Table2[MonthAtHospital])</calculatedColumnFormula>
    </tableColumn>
    <tableColumn id="4" xr3:uid="{C52A2B35-6DF6-F84A-AC2E-2789FECC85D8}" name="Infected">
      <calculatedColumnFormula>Table3[[#This Row],[Infected]]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BA0B917-112E-C649-824E-2E73B8BA6E8F}" name="Table6" displayName="Table6" ref="I62:I65" totalsRowShown="0" headerRowDxfId="15" dataDxfId="14">
  <autoFilter ref="I62:I65" xr:uid="{E4CC6AB3-E9B7-564D-A149-D1208349720D}"/>
  <tableColumns count="1">
    <tableColumn id="1" xr3:uid="{2EAD8F93-7D9F-624B-98E8-3D55CEA93B95}" name="k" dataDxfId="13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0BBDFFD-471C-2C4F-BAF6-BE155BBA459A}" name="Table7" displayName="Table7" ref="L57:O60" totalsRowShown="0">
  <autoFilter ref="L57:O60" xr:uid="{79503BDE-D0A4-8A4F-A0E5-9A90B0026443}"/>
  <tableColumns count="4">
    <tableColumn id="1" xr3:uid="{502626FB-33B8-324D-B72A-83C6E520F0F6}" name="1st closest"/>
    <tableColumn id="2" xr3:uid="{CF717F92-E579-EC4D-9F6D-F58D781384B2}" name="2nd closest"/>
    <tableColumn id="3" xr3:uid="{CACE72AE-FED1-A340-A6E0-90F5403D1B4F}" name="3rd closest"/>
    <tableColumn id="4" xr3:uid="{3D2B5194-3553-B04B-8296-2F4DE872D3B8}" name="Predicted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C1B3DDB-4D27-484D-9D39-1319FB04A735}" name="Table15" displayName="Table15" ref="A1:D51" totalsRowShown="0" headerRowDxfId="12" headerRowBorderDxfId="11" tableBorderDxfId="10" totalsRowBorderDxfId="9">
  <autoFilter ref="A1:D51" xr:uid="{002D597A-CB78-8D4D-917F-F966B2D26188}"/>
  <tableColumns count="4">
    <tableColumn id="1" xr3:uid="{8029D51A-DBA8-984F-AC84-A39D79B5CC88}" name="Exposure" dataDxfId="8"/>
    <tableColumn id="2" xr3:uid="{4A3D81DB-DF8D-3D46-A4B4-21508693EE09}" name="MaritalID" dataDxfId="7"/>
    <tableColumn id="3" xr3:uid="{44A79482-A3AE-0A40-9F34-4FFFF070E52F}" name="MonthAtHospital" dataDxfId="6"/>
    <tableColumn id="4" xr3:uid="{C9A14F57-4EA2-E744-BB2D-B25F62265DD7}" name="Infected" dataDxfId="5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933823C-99A5-A248-8422-5A65A30D3920}" name="Table16" displayName="Table16" ref="I5:K14" totalsRowShown="0" headerRowDxfId="4" tableBorderDxfId="3">
  <autoFilter ref="I5:K14" xr:uid="{24D9836F-F747-9841-80B6-9D3870B0F8C5}"/>
  <tableColumns count="3">
    <tableColumn id="1" xr3:uid="{43AA0FA8-EC96-F846-BDF7-2E7E5EF6CD99}" name="Candidate Split" dataDxfId="2"/>
    <tableColumn id="2" xr3:uid="{32CC1F3E-975C-EB47-9881-3EC72D6C0763}" name="Ledt Child 0de, tl" dataDxfId="1"/>
    <tableColumn id="3" xr3:uid="{2A5142C6-77FA-D145-AAD8-7FF25E34B972}" name="Right child 0de, tr" dataDxfId="0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6B1BE45-E26D-E24A-ACD3-E9091B24D50F}" name="Table28" displayName="Table28" ref="B5:E9" totalsRowShown="0">
  <autoFilter ref="B5:E9" xr:uid="{FE2796EB-F9C1-564F-8A37-15B3F2B0E48F}"/>
  <tableColumns count="4">
    <tableColumn id="1" xr3:uid="{2E72D47F-69D0-F447-BAD5-5982C194094E}" name="ID"/>
    <tableColumn id="2" xr3:uid="{0E6AB486-885C-6E44-8681-2439AB1F21F3}" name="AGE"/>
    <tableColumn id="3" xr3:uid="{39D7F77C-7D60-B247-9FBE-CC2F7434332D}" name="Asset Size"/>
    <tableColumn id="4" xr3:uid="{45E6A580-3ED4-8440-BE76-5D4CDA615CC8}" name="Income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vmlDrawing" Target="../drawings/vmlDrawing1.vml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CE100-08EF-6C48-9BBA-4FB18DAB4F69}">
  <dimension ref="A1:E52"/>
  <sheetViews>
    <sheetView tabSelected="1" workbookViewId="0">
      <selection activeCell="H31" sqref="H31"/>
    </sheetView>
  </sheetViews>
  <sheetFormatPr baseColWidth="10" defaultColWidth="8.83203125" defaultRowHeight="16"/>
  <cols>
    <col min="1" max="1" width="13.5" style="18" bestFit="1" customWidth="1"/>
    <col min="2" max="2" width="11.83203125" style="18" bestFit="1" customWidth="1"/>
    <col min="3" max="3" width="15" style="18" bestFit="1" customWidth="1"/>
    <col min="4" max="5" width="8.83203125" style="18"/>
  </cols>
  <sheetData>
    <row r="1" spans="1:4">
      <c r="A1" s="18" t="s">
        <v>0</v>
      </c>
      <c r="B1" s="18" t="s">
        <v>1</v>
      </c>
      <c r="C1" s="18" t="s">
        <v>2</v>
      </c>
      <c r="D1" s="18" t="s">
        <v>3</v>
      </c>
    </row>
    <row r="2" spans="1:4">
      <c r="A2" s="18">
        <v>3</v>
      </c>
      <c r="B2" s="81" t="s">
        <v>16</v>
      </c>
      <c r="C2" s="81">
        <v>7</v>
      </c>
      <c r="D2" s="81" t="s">
        <v>17</v>
      </c>
    </row>
    <row r="3" spans="1:4">
      <c r="A3" s="18">
        <v>3</v>
      </c>
      <c r="B3" s="81" t="s">
        <v>16</v>
      </c>
      <c r="C3" s="81">
        <v>2</v>
      </c>
      <c r="D3" s="81" t="s">
        <v>18</v>
      </c>
    </row>
    <row r="4" spans="1:4">
      <c r="A4" s="18">
        <v>3</v>
      </c>
      <c r="B4" s="81" t="s">
        <v>16</v>
      </c>
      <c r="C4" s="81">
        <v>7</v>
      </c>
      <c r="D4" s="81" t="s">
        <v>17</v>
      </c>
    </row>
    <row r="5" spans="1:4">
      <c r="A5" s="18">
        <v>1</v>
      </c>
      <c r="B5" s="81" t="s">
        <v>16</v>
      </c>
      <c r="C5" s="81">
        <v>18</v>
      </c>
      <c r="D5" s="81" t="s">
        <v>17</v>
      </c>
    </row>
    <row r="6" spans="1:4">
      <c r="A6" s="18">
        <v>4</v>
      </c>
      <c r="B6" s="81" t="s">
        <v>19</v>
      </c>
      <c r="C6" s="81">
        <v>1</v>
      </c>
      <c r="D6" s="81" t="s">
        <v>17</v>
      </c>
    </row>
    <row r="7" spans="1:4">
      <c r="A7" s="18">
        <v>3</v>
      </c>
      <c r="B7" s="81" t="s">
        <v>16</v>
      </c>
      <c r="C7" s="81">
        <v>2</v>
      </c>
      <c r="D7" s="81" t="s">
        <v>17</v>
      </c>
    </row>
    <row r="8" spans="1:4">
      <c r="A8" s="18">
        <v>2</v>
      </c>
      <c r="B8" s="81" t="s">
        <v>16</v>
      </c>
      <c r="C8" s="81">
        <v>3</v>
      </c>
      <c r="D8" s="81" t="s">
        <v>18</v>
      </c>
    </row>
    <row r="9" spans="1:4">
      <c r="A9" s="18">
        <v>1</v>
      </c>
      <c r="B9" s="81" t="s">
        <v>16</v>
      </c>
      <c r="C9" s="81">
        <v>7</v>
      </c>
      <c r="D9" s="81" t="s">
        <v>17</v>
      </c>
    </row>
    <row r="10" spans="1:4">
      <c r="A10" s="18">
        <v>4</v>
      </c>
      <c r="B10" s="81" t="s">
        <v>19</v>
      </c>
      <c r="C10" s="81">
        <v>6</v>
      </c>
      <c r="D10" s="81" t="s">
        <v>17</v>
      </c>
    </row>
    <row r="11" spans="1:4">
      <c r="A11" s="18">
        <v>4</v>
      </c>
      <c r="B11" s="81" t="s">
        <v>19</v>
      </c>
      <c r="C11" s="81">
        <v>6</v>
      </c>
      <c r="D11" s="81" t="s">
        <v>17</v>
      </c>
    </row>
    <row r="12" spans="1:4">
      <c r="A12" s="18">
        <v>4</v>
      </c>
      <c r="B12" s="81" t="s">
        <v>19</v>
      </c>
      <c r="C12" s="81">
        <v>1</v>
      </c>
      <c r="D12" s="81" t="s">
        <v>17</v>
      </c>
    </row>
    <row r="13" spans="1:4">
      <c r="A13" s="18">
        <v>2</v>
      </c>
      <c r="B13" s="81" t="s">
        <v>16</v>
      </c>
      <c r="C13" s="81">
        <v>7</v>
      </c>
      <c r="D13" s="81" t="s">
        <v>17</v>
      </c>
    </row>
    <row r="14" spans="1:4">
      <c r="A14" s="18">
        <v>1</v>
      </c>
      <c r="B14" s="81" t="s">
        <v>19</v>
      </c>
      <c r="C14" s="81">
        <v>2</v>
      </c>
      <c r="D14" s="81" t="s">
        <v>18</v>
      </c>
    </row>
    <row r="15" spans="1:4">
      <c r="A15" s="18">
        <v>3</v>
      </c>
      <c r="B15" s="81" t="s">
        <v>16</v>
      </c>
      <c r="C15" s="81">
        <v>10</v>
      </c>
      <c r="D15" s="81" t="s">
        <v>17</v>
      </c>
    </row>
    <row r="16" spans="1:4">
      <c r="A16" s="18">
        <v>1</v>
      </c>
      <c r="B16" s="81" t="s">
        <v>16</v>
      </c>
      <c r="C16" s="81">
        <v>12</v>
      </c>
      <c r="D16" s="81" t="s">
        <v>18</v>
      </c>
    </row>
    <row r="17" spans="1:4">
      <c r="A17" s="18">
        <v>1</v>
      </c>
      <c r="B17" s="81" t="s">
        <v>16</v>
      </c>
      <c r="C17" s="81">
        <v>29</v>
      </c>
      <c r="D17" s="81" t="s">
        <v>17</v>
      </c>
    </row>
    <row r="18" spans="1:4">
      <c r="A18" s="18">
        <v>4</v>
      </c>
      <c r="B18" s="81" t="s">
        <v>16</v>
      </c>
      <c r="C18" s="81">
        <v>22</v>
      </c>
      <c r="D18" s="81" t="s">
        <v>17</v>
      </c>
    </row>
    <row r="19" spans="1:4">
      <c r="A19" s="18">
        <v>2</v>
      </c>
      <c r="B19" s="81" t="s">
        <v>16</v>
      </c>
      <c r="C19" s="81">
        <v>1</v>
      </c>
      <c r="D19" s="81" t="s">
        <v>18</v>
      </c>
    </row>
    <row r="20" spans="1:4">
      <c r="A20" s="18">
        <v>3</v>
      </c>
      <c r="B20" s="81" t="s">
        <v>16</v>
      </c>
      <c r="C20" s="81">
        <v>2</v>
      </c>
      <c r="D20" s="81" t="s">
        <v>17</v>
      </c>
    </row>
    <row r="21" spans="1:4">
      <c r="A21" s="18">
        <v>3</v>
      </c>
      <c r="B21" s="81" t="s">
        <v>19</v>
      </c>
      <c r="C21" s="81">
        <v>11</v>
      </c>
      <c r="D21" s="81" t="s">
        <v>17</v>
      </c>
    </row>
    <row r="22" spans="1:4">
      <c r="A22" s="18">
        <v>2</v>
      </c>
      <c r="B22" s="81" t="s">
        <v>19</v>
      </c>
      <c r="C22" s="81">
        <v>3</v>
      </c>
      <c r="D22" s="81" t="s">
        <v>18</v>
      </c>
    </row>
    <row r="23" spans="1:4">
      <c r="A23" s="18">
        <v>3</v>
      </c>
      <c r="B23" s="81" t="s">
        <v>16</v>
      </c>
      <c r="C23" s="81">
        <v>1</v>
      </c>
      <c r="D23" s="81" t="s">
        <v>18</v>
      </c>
    </row>
    <row r="24" spans="1:4">
      <c r="A24" s="18">
        <v>3</v>
      </c>
      <c r="B24" s="81" t="s">
        <v>19</v>
      </c>
      <c r="C24" s="81">
        <v>1</v>
      </c>
      <c r="D24" s="81" t="s">
        <v>17</v>
      </c>
    </row>
    <row r="25" spans="1:4">
      <c r="A25" s="18">
        <v>4</v>
      </c>
      <c r="B25" s="81" t="s">
        <v>16</v>
      </c>
      <c r="C25" s="81">
        <v>5</v>
      </c>
      <c r="D25" s="81" t="s">
        <v>17</v>
      </c>
    </row>
    <row r="26" spans="1:4">
      <c r="A26" s="18">
        <v>1</v>
      </c>
      <c r="B26" s="81" t="s">
        <v>19</v>
      </c>
      <c r="C26" s="81">
        <v>9</v>
      </c>
      <c r="D26" s="81" t="s">
        <v>18</v>
      </c>
    </row>
    <row r="27" spans="1:4">
      <c r="A27" s="18">
        <v>3</v>
      </c>
      <c r="B27" s="81" t="s">
        <v>19</v>
      </c>
      <c r="C27" s="81">
        <v>8</v>
      </c>
      <c r="D27" s="81" t="s">
        <v>17</v>
      </c>
    </row>
    <row r="28" spans="1:4">
      <c r="A28" s="18">
        <v>3</v>
      </c>
      <c r="B28" s="81" t="s">
        <v>16</v>
      </c>
      <c r="C28" s="81">
        <v>5</v>
      </c>
      <c r="D28" s="81" t="s">
        <v>17</v>
      </c>
    </row>
    <row r="29" spans="1:4">
      <c r="A29" s="18">
        <v>3</v>
      </c>
      <c r="B29" s="81" t="s">
        <v>19</v>
      </c>
      <c r="C29" s="81">
        <v>1</v>
      </c>
      <c r="D29" s="81" t="s">
        <v>17</v>
      </c>
    </row>
    <row r="30" spans="1:4">
      <c r="A30" s="18">
        <v>2</v>
      </c>
      <c r="B30" s="81" t="s">
        <v>16</v>
      </c>
      <c r="C30" s="81">
        <v>5</v>
      </c>
      <c r="D30" s="81" t="s">
        <v>18</v>
      </c>
    </row>
    <row r="31" spans="1:4">
      <c r="A31" s="18">
        <v>4</v>
      </c>
      <c r="B31" s="81" t="s">
        <v>16</v>
      </c>
      <c r="C31" s="81">
        <v>18</v>
      </c>
      <c r="D31" s="81" t="s">
        <v>17</v>
      </c>
    </row>
    <row r="32" spans="1:4">
      <c r="A32" s="18">
        <v>4</v>
      </c>
      <c r="B32" s="81" t="s">
        <v>16</v>
      </c>
      <c r="C32" s="81">
        <v>3</v>
      </c>
      <c r="D32" s="81" t="s">
        <v>17</v>
      </c>
    </row>
    <row r="33" spans="1:4">
      <c r="A33" s="18">
        <v>3</v>
      </c>
      <c r="B33" s="81" t="s">
        <v>19</v>
      </c>
      <c r="C33" s="81">
        <v>10</v>
      </c>
      <c r="D33" s="81" t="s">
        <v>17</v>
      </c>
    </row>
    <row r="34" spans="1:4">
      <c r="A34" s="18">
        <v>1</v>
      </c>
      <c r="B34" s="81" t="s">
        <v>16</v>
      </c>
      <c r="C34" s="81">
        <v>10</v>
      </c>
      <c r="D34" s="81" t="s">
        <v>17</v>
      </c>
    </row>
    <row r="35" spans="1:4">
      <c r="A35" s="18">
        <v>4</v>
      </c>
      <c r="B35" s="81" t="s">
        <v>16</v>
      </c>
      <c r="C35" s="81">
        <v>8</v>
      </c>
      <c r="D35" s="81" t="s">
        <v>17</v>
      </c>
    </row>
    <row r="36" spans="1:4">
      <c r="A36" s="18">
        <v>2</v>
      </c>
      <c r="B36" s="81" t="s">
        <v>19</v>
      </c>
      <c r="C36" s="81">
        <v>5</v>
      </c>
      <c r="D36" s="81" t="s">
        <v>17</v>
      </c>
    </row>
    <row r="37" spans="1:4">
      <c r="A37" s="18">
        <v>1</v>
      </c>
      <c r="B37" s="81" t="s">
        <v>19</v>
      </c>
      <c r="C37" s="81">
        <v>3</v>
      </c>
      <c r="D37" s="81" t="s">
        <v>17</v>
      </c>
    </row>
    <row r="38" spans="1:4">
      <c r="A38" s="18">
        <v>3</v>
      </c>
      <c r="B38" s="81" t="s">
        <v>16</v>
      </c>
      <c r="C38" s="81">
        <v>2</v>
      </c>
      <c r="D38" s="81" t="s">
        <v>17</v>
      </c>
    </row>
    <row r="39" spans="1:4">
      <c r="A39" s="18">
        <v>4</v>
      </c>
      <c r="B39" s="81" t="s">
        <v>19</v>
      </c>
      <c r="C39" s="81">
        <v>5</v>
      </c>
      <c r="D39" s="81" t="s">
        <v>17</v>
      </c>
    </row>
    <row r="40" spans="1:4">
      <c r="A40" s="18">
        <v>1</v>
      </c>
      <c r="B40" s="81" t="s">
        <v>16</v>
      </c>
      <c r="C40" s="81">
        <v>34</v>
      </c>
      <c r="D40" s="81" t="s">
        <v>17</v>
      </c>
    </row>
    <row r="41" spans="1:4">
      <c r="A41" s="18">
        <v>3</v>
      </c>
      <c r="B41" s="81" t="s">
        <v>16</v>
      </c>
      <c r="C41" s="81">
        <v>2</v>
      </c>
      <c r="D41" s="81" t="s">
        <v>18</v>
      </c>
    </row>
    <row r="42" spans="1:4">
      <c r="A42" s="18">
        <v>4</v>
      </c>
      <c r="B42" s="81" t="s">
        <v>16</v>
      </c>
      <c r="C42" s="81">
        <v>3</v>
      </c>
      <c r="D42" s="81" t="s">
        <v>17</v>
      </c>
    </row>
    <row r="43" spans="1:4">
      <c r="A43" s="18">
        <v>4</v>
      </c>
      <c r="B43" s="81" t="s">
        <v>19</v>
      </c>
      <c r="C43" s="81">
        <v>1</v>
      </c>
      <c r="D43" s="81" t="s">
        <v>17</v>
      </c>
    </row>
    <row r="44" spans="1:4">
      <c r="A44" s="18">
        <v>1</v>
      </c>
      <c r="B44" s="81" t="s">
        <v>16</v>
      </c>
      <c r="C44" s="81">
        <v>6</v>
      </c>
      <c r="D44" s="81" t="s">
        <v>17</v>
      </c>
    </row>
    <row r="45" spans="1:4">
      <c r="A45" s="18">
        <v>4</v>
      </c>
      <c r="B45" s="81" t="s">
        <v>19</v>
      </c>
      <c r="C45" s="81">
        <v>2</v>
      </c>
      <c r="D45" s="81" t="s">
        <v>17</v>
      </c>
    </row>
    <row r="46" spans="1:4">
      <c r="A46" s="18">
        <v>3</v>
      </c>
      <c r="B46" s="81" t="s">
        <v>16</v>
      </c>
      <c r="C46" s="81">
        <v>19</v>
      </c>
      <c r="D46" s="81" t="s">
        <v>17</v>
      </c>
    </row>
    <row r="47" spans="1:4">
      <c r="A47" s="18">
        <v>4</v>
      </c>
      <c r="B47" s="81" t="s">
        <v>19</v>
      </c>
      <c r="C47" s="81">
        <v>2</v>
      </c>
      <c r="D47" s="81" t="s">
        <v>17</v>
      </c>
    </row>
    <row r="48" spans="1:4">
      <c r="A48" s="18">
        <v>1</v>
      </c>
      <c r="B48" s="81" t="s">
        <v>19</v>
      </c>
      <c r="C48" s="81">
        <v>9</v>
      </c>
      <c r="D48" s="81" t="s">
        <v>18</v>
      </c>
    </row>
    <row r="49" spans="1:4">
      <c r="A49" s="18">
        <v>2</v>
      </c>
      <c r="B49" s="81" t="s">
        <v>19</v>
      </c>
      <c r="C49" s="81">
        <v>6</v>
      </c>
      <c r="D49" s="81" t="s">
        <v>17</v>
      </c>
    </row>
    <row r="50" spans="1:4">
      <c r="A50" s="18">
        <v>3</v>
      </c>
      <c r="B50" s="81" t="s">
        <v>16</v>
      </c>
      <c r="C50" s="81">
        <v>11</v>
      </c>
      <c r="D50" s="81" t="s">
        <v>17</v>
      </c>
    </row>
    <row r="51" spans="1:4">
      <c r="A51" s="18">
        <v>4</v>
      </c>
      <c r="B51" s="81" t="s">
        <v>19</v>
      </c>
      <c r="C51" s="81">
        <v>6</v>
      </c>
      <c r="D51" s="81" t="s">
        <v>17</v>
      </c>
    </row>
    <row r="52" spans="1:4">
      <c r="C52" s="18" t="s">
        <v>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BFDD3-2845-2A4F-8ADF-F7F9DB37DD9F}">
  <dimension ref="A1:R65"/>
  <sheetViews>
    <sheetView topLeftCell="A22" workbookViewId="0">
      <selection activeCell="G18" sqref="G18"/>
    </sheetView>
  </sheetViews>
  <sheetFormatPr baseColWidth="10" defaultColWidth="8.83203125" defaultRowHeight="16"/>
  <cols>
    <col min="1" max="1" width="13.6640625" bestFit="1" customWidth="1"/>
    <col min="2" max="2" width="17.5" bestFit="1" customWidth="1"/>
    <col min="3" max="3" width="21" bestFit="1" customWidth="1"/>
    <col min="4" max="4" width="13" bestFit="1" customWidth="1"/>
    <col min="5" max="5" width="21" bestFit="1" customWidth="1"/>
    <col min="6" max="6" width="22" bestFit="1" customWidth="1"/>
    <col min="7" max="7" width="25.83203125" bestFit="1" customWidth="1"/>
    <col min="8" max="8" width="29.5" bestFit="1" customWidth="1"/>
    <col min="9" max="9" width="29.6640625" customWidth="1"/>
    <col min="10" max="10" width="13.33203125" bestFit="1" customWidth="1"/>
    <col min="11" max="11" width="21.5" bestFit="1" customWidth="1"/>
    <col min="12" max="12" width="11.6640625" bestFit="1" customWidth="1"/>
    <col min="13" max="13" width="13.33203125" bestFit="1" customWidth="1"/>
    <col min="14" max="14" width="21.5" bestFit="1" customWidth="1"/>
    <col min="15" max="15" width="11.6640625" bestFit="1" customWidth="1"/>
    <col min="16" max="16" width="13.33203125" bestFit="1" customWidth="1"/>
    <col min="17" max="17" width="21.5" bestFit="1" customWidth="1"/>
    <col min="18" max="18" width="11.6640625" bestFit="1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 t="s">
        <v>5</v>
      </c>
      <c r="H1" t="s">
        <v>6</v>
      </c>
      <c r="I1" t="s">
        <v>3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>
      <c r="A2" s="2">
        <v>3</v>
      </c>
      <c r="B2" s="3" t="s">
        <v>16</v>
      </c>
      <c r="C2" s="3">
        <v>7</v>
      </c>
      <c r="D2" s="3" t="s">
        <v>17</v>
      </c>
      <c r="F2" s="4">
        <f>Table2[[#This Row],[Exposure]]/4</f>
        <v>0.75</v>
      </c>
      <c r="G2" s="4">
        <f>IF(Table2[[#This Row],[MaritalStatus]]="Married",1,0.5)</f>
        <v>1</v>
      </c>
      <c r="H2" s="5">
        <f>Table2[[#This Row],[MonthAtHospital]]/MAX(Table2[MonthAtHospital])</f>
        <v>0.20588235294117646</v>
      </c>
      <c r="I2" s="5" t="str">
        <f>Table2[[#This Row],[Infected]]</f>
        <v>No</v>
      </c>
      <c r="J2" s="6">
        <f>RANK(K2,$K$2:$K$51,1)+COUNTIF($K$2:K2,K2)-1</f>
        <v>19</v>
      </c>
      <c r="K2" s="5">
        <f>SQRT((Table4[[#This Row],[ExposureNormalized]]-$G$58)^2+(Table4[[#This Row],[MaritalStatusNormalized]]-$H$58)^2+(Table4[[#This Row],[MonthAtHospitalNormalized]]-$I$58)^2)</f>
        <v>0.53022812874470426</v>
      </c>
      <c r="L2" s="5" t="str">
        <f>Table2[[#This Row],[Infected]]</f>
        <v>No</v>
      </c>
      <c r="M2" s="6">
        <f>RANK(N2,$N$2:$N$51,1)+COUNTIF($N$2:N2,N2)-1</f>
        <v>26</v>
      </c>
      <c r="N2" s="5">
        <f>SQRT((Table4[[#This Row],[ExposureNormalized]]-$G$59)^2+(Table4[[#This Row],[MaritalStatusNormalized]]-$H$59)^2+(Table4[[#This Row],[MonthAtHospitalNormalized]]-$I$59)^2)</f>
        <v>0.50772577945976671</v>
      </c>
      <c r="O2" s="5" t="str">
        <f>Table4[[#This Row],[Infected]]</f>
        <v>No</v>
      </c>
      <c r="P2" s="6">
        <f>RANK(Q2,$Q$2:$Q$51,1)+COUNTIF($Q$2:Q2,Q2)-1</f>
        <v>27</v>
      </c>
      <c r="Q2" s="5">
        <f>SQRT((Table4[[#This Row],[ExposureNormalized]]-$G$60)^2+(Table4[[#This Row],[MaritalStatusNormalized]]-$H$60)^2+(Table4[[#This Row],[MonthAtHospitalNormalized]]-$I$60)^2)</f>
        <v>0.55979018560806704</v>
      </c>
      <c r="R2" s="5" t="str">
        <f>Table4[[#This Row],[Infected]]</f>
        <v>No</v>
      </c>
    </row>
    <row r="3" spans="1:18">
      <c r="A3" s="2">
        <v>3</v>
      </c>
      <c r="B3" s="3" t="s">
        <v>16</v>
      </c>
      <c r="C3" s="3">
        <v>2</v>
      </c>
      <c r="D3" s="3" t="s">
        <v>18</v>
      </c>
      <c r="F3" s="4">
        <f>Table2[[#This Row],[Exposure]]/4</f>
        <v>0.75</v>
      </c>
      <c r="G3" s="4">
        <f>IF(Table2[[#This Row],[MaritalStatus]]="Married",1,0.5)</f>
        <v>1</v>
      </c>
      <c r="H3" s="5">
        <f>Table2[[#This Row],[MonthAtHospital]]/MAX(Table2[MonthAtHospital])</f>
        <v>5.8823529411764705E-2</v>
      </c>
      <c r="I3" s="5" t="str">
        <f>Table2[[#This Row],[Infected]]</f>
        <v>Yes</v>
      </c>
      <c r="J3" s="6">
        <f>RANK(K3,$K$2:$K$51,1)+COUNTIF($K$2:K3,K3)-1</f>
        <v>11</v>
      </c>
      <c r="K3" s="5">
        <f>SQRT((Table4[[#This Row],[ExposureNormalized]]-$G$58)^2+(Table4[[#This Row],[MaritalStatusNormalized]]-$H$58)^2+(Table4[[#This Row],[MonthAtHospitalNormalized]]-$I$58)^2)</f>
        <v>0.50086430488018829</v>
      </c>
      <c r="L3" s="5" t="str">
        <f>Table2[[#This Row],[Infected]]</f>
        <v>Yes</v>
      </c>
      <c r="M3" s="6">
        <f>RANK(N3,$N$2:$N$51,1)+COUNTIF($N$2:N3,N3)-1</f>
        <v>20</v>
      </c>
      <c r="N3" s="5">
        <f>SQRT((Table4[[#This Row],[ExposureNormalized]]-$G$59)^2+(Table4[[#This Row],[MaritalStatusNormalized]]-$H$59)^2+(Table4[[#This Row],[MonthAtHospitalNormalized]]-$I$59)^2)</f>
        <v>0.50344831672422619</v>
      </c>
      <c r="O3" s="5" t="str">
        <f>Table4[[#This Row],[Infected]]</f>
        <v>Yes</v>
      </c>
      <c r="P3" s="6">
        <f>RANK(Q3,$Q$2:$Q$51,1)+COUNTIF($Q$2:Q3,Q3)-1</f>
        <v>31</v>
      </c>
      <c r="Q3" s="5">
        <f>SQRT((Table4[[#This Row],[ExposureNormalized]]-$G$60)^2+(Table4[[#This Row],[MaritalStatusNormalized]]-$H$60)^2+(Table4[[#This Row],[MonthAtHospitalNormalized]]-$I$60)^2)</f>
        <v>0.57126248822220682</v>
      </c>
      <c r="R3" s="5" t="str">
        <f>Table4[[#This Row],[Infected]]</f>
        <v>Yes</v>
      </c>
    </row>
    <row r="4" spans="1:18">
      <c r="A4" s="2">
        <v>3</v>
      </c>
      <c r="B4" s="3" t="s">
        <v>16</v>
      </c>
      <c r="C4" s="3">
        <v>7</v>
      </c>
      <c r="D4" s="3" t="s">
        <v>17</v>
      </c>
      <c r="F4" s="4">
        <f>Table2[[#This Row],[Exposure]]/4</f>
        <v>0.75</v>
      </c>
      <c r="G4" s="4">
        <f>IF(Table2[[#This Row],[MaritalStatus]]="Married",1,0.5)</f>
        <v>1</v>
      </c>
      <c r="H4" s="5">
        <f>Table2[[#This Row],[MonthAtHospital]]/MAX(Table2[MonthAtHospital])</f>
        <v>0.20588235294117646</v>
      </c>
      <c r="I4" s="5" t="str">
        <f>Table2[[#This Row],[Infected]]</f>
        <v>No</v>
      </c>
      <c r="J4" s="6">
        <f>RANK(K4,$K$2:$K$51,1)+COUNTIF($K$2:K4,K4)-1</f>
        <v>20</v>
      </c>
      <c r="K4" s="5">
        <f>SQRT((Table4[[#This Row],[ExposureNormalized]]-$G$58)^2+(Table4[[#This Row],[MaritalStatusNormalized]]-$H$58)^2+(Table4[[#This Row],[MonthAtHospitalNormalized]]-$I$58)^2)</f>
        <v>0.53022812874470426</v>
      </c>
      <c r="L4" s="5" t="str">
        <f>Table2[[#This Row],[Infected]]</f>
        <v>No</v>
      </c>
      <c r="M4" s="6">
        <f>RANK(N4,$N$2:$N$51,1)+COUNTIF($N$2:N4,N4)-1</f>
        <v>27</v>
      </c>
      <c r="N4" s="5">
        <f>SQRT((Table4[[#This Row],[ExposureNormalized]]-$G$59)^2+(Table4[[#This Row],[MaritalStatusNormalized]]-$H$59)^2+(Table4[[#This Row],[MonthAtHospitalNormalized]]-$I$59)^2)</f>
        <v>0.50772577945976671</v>
      </c>
      <c r="O4" s="5" t="str">
        <f>Table4[[#This Row],[Infected]]</f>
        <v>No</v>
      </c>
      <c r="P4" s="6">
        <f>RANK(Q4,$Q$2:$Q$51,1)+COUNTIF($Q$2:Q4,Q4)-1</f>
        <v>28</v>
      </c>
      <c r="Q4" s="5">
        <f>SQRT((Table4[[#This Row],[ExposureNormalized]]-$G$60)^2+(Table4[[#This Row],[MaritalStatusNormalized]]-$H$60)^2+(Table4[[#This Row],[MonthAtHospitalNormalized]]-$I$60)^2)</f>
        <v>0.55979018560806704</v>
      </c>
      <c r="R4" s="5" t="str">
        <f>Table4[[#This Row],[Infected]]</f>
        <v>No</v>
      </c>
    </row>
    <row r="5" spans="1:18">
      <c r="A5" s="2">
        <v>1</v>
      </c>
      <c r="B5" s="3" t="s">
        <v>16</v>
      </c>
      <c r="C5" s="3">
        <v>18</v>
      </c>
      <c r="D5" s="3" t="s">
        <v>17</v>
      </c>
      <c r="F5" s="4">
        <f>Table2[[#This Row],[Exposure]]/4</f>
        <v>0.25</v>
      </c>
      <c r="G5" s="4">
        <f>IF(Table2[[#This Row],[MaritalStatus]]="Married",1,0.5)</f>
        <v>1</v>
      </c>
      <c r="H5" s="5">
        <f>Table2[[#This Row],[MonthAtHospital]]/MAX(Table2[MonthAtHospital])</f>
        <v>0.52941176470588236</v>
      </c>
      <c r="I5" s="5" t="str">
        <f>Table2[[#This Row],[Infected]]</f>
        <v>No</v>
      </c>
      <c r="J5" s="6">
        <f>RANK(K5,$K$2:$K$51,1)+COUNTIF($K$2:K5,K5)-1</f>
        <v>9</v>
      </c>
      <c r="K5" s="5">
        <f>SQRT((Table4[[#This Row],[ExposureNormalized]]-$G$58)^2+(Table4[[#This Row],[MaritalStatusNormalized]]-$H$58)^2+(Table4[[#This Row],[MonthAtHospitalNormalized]]-$I$58)^2)</f>
        <v>0.5</v>
      </c>
      <c r="L5" s="5" t="str">
        <f>Table2[[#This Row],[Infected]]</f>
        <v>No</v>
      </c>
      <c r="M5" s="6">
        <f>RANK(N5,$N$2:$N$51,1)+COUNTIF($N$2:N5,N5)-1</f>
        <v>48</v>
      </c>
      <c r="N5" s="5">
        <f>SQRT((Table4[[#This Row],[ExposureNormalized]]-$G$59)^2+(Table4[[#This Row],[MaritalStatusNormalized]]-$H$59)^2+(Table4[[#This Row],[MonthAtHospitalNormalized]]-$I$59)^2)</f>
        <v>0.81826045548491499</v>
      </c>
      <c r="O5" s="5" t="str">
        <f>Table4[[#This Row],[Infected]]</f>
        <v>No</v>
      </c>
      <c r="P5" s="6">
        <f>RANK(Q5,$Q$2:$Q$51,1)+COUNTIF($Q$2:Q5,Q5)-1</f>
        <v>41</v>
      </c>
      <c r="Q5" s="5">
        <f>SQRT((Table4[[#This Row],[ExposureNormalized]]-$G$60)^2+(Table4[[#This Row],[MaritalStatusNormalized]]-$H$60)^2+(Table4[[#This Row],[MonthAtHospitalNormalized]]-$I$60)^2)</f>
        <v>0.66111078802908885</v>
      </c>
      <c r="R5" s="5" t="str">
        <f>Table4[[#This Row],[Infected]]</f>
        <v>No</v>
      </c>
    </row>
    <row r="6" spans="1:18">
      <c r="A6" s="2">
        <v>4</v>
      </c>
      <c r="B6" s="3" t="s">
        <v>19</v>
      </c>
      <c r="C6" s="3">
        <v>1</v>
      </c>
      <c r="D6" s="3" t="s">
        <v>17</v>
      </c>
      <c r="F6" s="4">
        <f>Table2[[#This Row],[Exposure]]/4</f>
        <v>1</v>
      </c>
      <c r="G6" s="4">
        <f>IF(Table2[[#This Row],[MaritalStatus]]="Married",1,0.5)</f>
        <v>0.5</v>
      </c>
      <c r="H6" s="5">
        <f>Table2[[#This Row],[MonthAtHospital]]/MAX(Table2[MonthAtHospital])</f>
        <v>2.9411764705882353E-2</v>
      </c>
      <c r="I6" s="5" t="str">
        <f>Table2[[#This Row],[Infected]]</f>
        <v>No</v>
      </c>
      <c r="J6" s="6">
        <f>RANK(K6,$K$2:$K$51,1)+COUNTIF($K$2:K6,K6)-1</f>
        <v>39</v>
      </c>
      <c r="K6" s="5">
        <f>SQRT((Table4[[#This Row],[ExposureNormalized]]-$G$58)^2+(Table4[[#This Row],[MaritalStatusNormalized]]-$H$58)^2+(Table4[[#This Row],[MonthAtHospitalNormalized]]-$I$58)^2)</f>
        <v>0.90138781886599728</v>
      </c>
      <c r="L6" s="5" t="str">
        <f>Table2[[#This Row],[Infected]]</f>
        <v>No</v>
      </c>
      <c r="M6" s="6">
        <f>RANK(N6,$N$2:$N$51,1)+COUNTIF($N$2:N6,N6)-1</f>
        <v>15</v>
      </c>
      <c r="N6" s="5">
        <f>SQRT((Table4[[#This Row],[ExposureNormalized]]-$G$59)^2+(Table4[[#This Row],[MaritalStatusNormalized]]-$H$59)^2+(Table4[[#This Row],[MonthAtHospitalNormalized]]-$I$59)^2)</f>
        <v>0.26511406437235213</v>
      </c>
      <c r="O6" s="5" t="str">
        <f>Table4[[#This Row],[Infected]]</f>
        <v>No</v>
      </c>
      <c r="P6" s="6">
        <f>RANK(Q6,$Q$2:$Q$51,1)+COUNTIF($Q$2:Q6,Q6)-1</f>
        <v>22</v>
      </c>
      <c r="Q6" s="5">
        <f>SQRT((Table4[[#This Row],[ExposureNormalized]]-$G$60)^2+(Table4[[#This Row],[MaritalStatusNormalized]]-$H$60)^2+(Table4[[#This Row],[MonthAtHospitalNormalized]]-$I$60)^2)</f>
        <v>0.52117779843145151</v>
      </c>
      <c r="R6" s="5" t="str">
        <f>Table4[[#This Row],[Infected]]</f>
        <v>No</v>
      </c>
    </row>
    <row r="7" spans="1:18">
      <c r="A7" s="2">
        <v>3</v>
      </c>
      <c r="B7" s="3" t="s">
        <v>16</v>
      </c>
      <c r="C7" s="3">
        <v>2</v>
      </c>
      <c r="D7" s="3" t="s">
        <v>17</v>
      </c>
      <c r="F7" s="4">
        <f>Table2[[#This Row],[Exposure]]/4</f>
        <v>0.75</v>
      </c>
      <c r="G7" s="4">
        <f>IF(Table2[[#This Row],[MaritalStatus]]="Married",1,0.5)</f>
        <v>1</v>
      </c>
      <c r="H7" s="5">
        <f>Table2[[#This Row],[MonthAtHospital]]/MAX(Table2[MonthAtHospital])</f>
        <v>5.8823529411764705E-2</v>
      </c>
      <c r="I7" s="5" t="str">
        <f>Table2[[#This Row],[Infected]]</f>
        <v>No</v>
      </c>
      <c r="J7" s="6">
        <f>RANK(K7,$K$2:$K$51,1)+COUNTIF($K$2:K7,K7)-1</f>
        <v>12</v>
      </c>
      <c r="K7" s="5">
        <f>SQRT((Table4[[#This Row],[ExposureNormalized]]-$G$58)^2+(Table4[[#This Row],[MaritalStatusNormalized]]-$H$58)^2+(Table4[[#This Row],[MonthAtHospitalNormalized]]-$I$58)^2)</f>
        <v>0.50086430488018829</v>
      </c>
      <c r="L7" s="5" t="str">
        <f>Table2[[#This Row],[Infected]]</f>
        <v>No</v>
      </c>
      <c r="M7" s="6">
        <f>RANK(N7,$N$2:$N$51,1)+COUNTIF($N$2:N7,N7)-1</f>
        <v>21</v>
      </c>
      <c r="N7" s="5">
        <f>SQRT((Table4[[#This Row],[ExposureNormalized]]-$G$59)^2+(Table4[[#This Row],[MaritalStatusNormalized]]-$H$59)^2+(Table4[[#This Row],[MonthAtHospitalNormalized]]-$I$59)^2)</f>
        <v>0.50344831672422619</v>
      </c>
      <c r="O7" s="5" t="str">
        <f>Table4[[#This Row],[Infected]]</f>
        <v>No</v>
      </c>
      <c r="P7" s="6">
        <f>RANK(Q7,$Q$2:$Q$51,1)+COUNTIF($Q$2:Q7,Q7)-1</f>
        <v>32</v>
      </c>
      <c r="Q7" s="5">
        <f>SQRT((Table4[[#This Row],[ExposureNormalized]]-$G$60)^2+(Table4[[#This Row],[MaritalStatusNormalized]]-$H$60)^2+(Table4[[#This Row],[MonthAtHospitalNormalized]]-$I$60)^2)</f>
        <v>0.57126248822220682</v>
      </c>
      <c r="R7" s="5" t="str">
        <f>Table4[[#This Row],[Infected]]</f>
        <v>No</v>
      </c>
    </row>
    <row r="8" spans="1:18">
      <c r="A8" s="2">
        <v>2</v>
      </c>
      <c r="B8" s="3" t="s">
        <v>16</v>
      </c>
      <c r="C8" s="3">
        <v>3</v>
      </c>
      <c r="D8" s="3" t="s">
        <v>18</v>
      </c>
      <c r="F8" s="4">
        <f>Table2[[#This Row],[Exposure]]/4</f>
        <v>0.5</v>
      </c>
      <c r="G8" s="4">
        <f>IF(Table2[[#This Row],[MaritalStatus]]="Married",1,0.5)</f>
        <v>1</v>
      </c>
      <c r="H8" s="5">
        <f>Table2[[#This Row],[MonthAtHospital]]/MAX(Table2[MonthAtHospital])</f>
        <v>8.8235294117647065E-2</v>
      </c>
      <c r="I8" s="5" t="str">
        <f>Table2[[#This Row],[Infected]]</f>
        <v>Yes</v>
      </c>
      <c r="J8" s="6">
        <f>RANK(K8,$K$2:$K$51,1)+COUNTIF($K$2:K8,K8)-1</f>
        <v>4</v>
      </c>
      <c r="K8" s="5">
        <f>SQRT((Table4[[#This Row],[ExposureNormalized]]-$G$58)^2+(Table4[[#This Row],[MaritalStatusNormalized]]-$H$58)^2+(Table4[[#This Row],[MonthAtHospitalNormalized]]-$I$58)^2)</f>
        <v>0.25682719406724969</v>
      </c>
      <c r="L8" s="5" t="str">
        <f>Table2[[#This Row],[Infected]]</f>
        <v>Yes</v>
      </c>
      <c r="M8" s="6">
        <f>RANK(N8,$N$2:$N$51,1)+COUNTIF($N$2:N8,N8)-1</f>
        <v>33</v>
      </c>
      <c r="N8" s="5">
        <f>SQRT((Table4[[#This Row],[ExposureNormalized]]-$G$59)^2+(Table4[[#This Row],[MaritalStatusNormalized]]-$H$59)^2+(Table4[[#This Row],[MonthAtHospitalNormalized]]-$I$59)^2)</f>
        <v>0.55979018560806704</v>
      </c>
      <c r="O8" s="5" t="str">
        <f>Table4[[#This Row],[Infected]]</f>
        <v>Yes</v>
      </c>
      <c r="P8" s="6">
        <f>RANK(Q8,$Q$2:$Q$51,1)+COUNTIF($Q$2:Q8,Q8)-1</f>
        <v>19</v>
      </c>
      <c r="Q8" s="5">
        <f>SQRT((Table4[[#This Row],[ExposureNormalized]]-$G$60)^2+(Table4[[#This Row],[MaritalStatusNormalized]]-$H$60)^2+(Table4[[#This Row],[MonthAtHospitalNormalized]]-$I$60)^2)</f>
        <v>0.50772577945976671</v>
      </c>
      <c r="R8" s="5" t="str">
        <f>Table4[[#This Row],[Infected]]</f>
        <v>Yes</v>
      </c>
    </row>
    <row r="9" spans="1:18">
      <c r="A9" s="2">
        <v>1</v>
      </c>
      <c r="B9" s="3" t="s">
        <v>16</v>
      </c>
      <c r="C9" s="3">
        <v>7</v>
      </c>
      <c r="D9" s="3" t="s">
        <v>17</v>
      </c>
      <c r="F9" s="4">
        <f>Table2[[#This Row],[Exposure]]/4</f>
        <v>0.25</v>
      </c>
      <c r="G9" s="4">
        <f>IF(Table2[[#This Row],[MaritalStatus]]="Married",1,0.5)</f>
        <v>1</v>
      </c>
      <c r="H9" s="5">
        <f>Table2[[#This Row],[MonthAtHospital]]/MAX(Table2[MonthAtHospital])</f>
        <v>0.20588235294117646</v>
      </c>
      <c r="I9" s="5" t="str">
        <f>Table2[[#This Row],[Infected]]</f>
        <v>No</v>
      </c>
      <c r="J9" s="6">
        <f>RANK(K9,$K$2:$K$51,1)+COUNTIF($K$2:K9,K9)-1</f>
        <v>2</v>
      </c>
      <c r="K9" s="5">
        <f>SQRT((Table4[[#This Row],[ExposureNormalized]]-$G$58)^2+(Table4[[#This Row],[MaritalStatusNormalized]]-$H$58)^2+(Table4[[#This Row],[MonthAtHospitalNormalized]]-$I$58)^2)</f>
        <v>0.1764705882352941</v>
      </c>
      <c r="L9" s="5" t="str">
        <f>Table2[[#This Row],[Infected]]</f>
        <v>No</v>
      </c>
      <c r="M9" s="6">
        <f>RANK(N9,$N$2:$N$51,1)+COUNTIF($N$2:N9,N9)-1</f>
        <v>44</v>
      </c>
      <c r="N9" s="5">
        <f>SQRT((Table4[[#This Row],[ExposureNormalized]]-$G$59)^2+(Table4[[#This Row],[MaritalStatusNormalized]]-$H$59)^2+(Table4[[#This Row],[MonthAtHospitalNormalized]]-$I$59)^2)</f>
        <v>0.71259067291680689</v>
      </c>
      <c r="O9" s="5" t="str">
        <f>Table4[[#This Row],[Infected]]</f>
        <v>No</v>
      </c>
      <c r="P9" s="6">
        <f>RANK(Q9,$Q$2:$Q$51,1)+COUNTIF($Q$2:Q9,Q9)-1</f>
        <v>29</v>
      </c>
      <c r="Q9" s="5">
        <f>SQRT((Table4[[#This Row],[ExposureNormalized]]-$G$60)^2+(Table4[[#This Row],[MaritalStatusNormalized]]-$H$60)^2+(Table4[[#This Row],[MonthAtHospitalNormalized]]-$I$60)^2)</f>
        <v>0.55979018560806704</v>
      </c>
      <c r="R9" s="5" t="str">
        <f>Table4[[#This Row],[Infected]]</f>
        <v>No</v>
      </c>
    </row>
    <row r="10" spans="1:18">
      <c r="A10" s="2">
        <v>4</v>
      </c>
      <c r="B10" s="3" t="s">
        <v>19</v>
      </c>
      <c r="C10" s="3">
        <v>6</v>
      </c>
      <c r="D10" s="3" t="s">
        <v>17</v>
      </c>
      <c r="F10" s="4">
        <f>Table2[[#This Row],[Exposure]]/4</f>
        <v>1</v>
      </c>
      <c r="G10" s="4">
        <f>IF(Table2[[#This Row],[MaritalStatus]]="Married",1,0.5)</f>
        <v>0.5</v>
      </c>
      <c r="H10" s="5">
        <f>Table2[[#This Row],[MonthAtHospital]]/MAX(Table2[MonthAtHospital])</f>
        <v>0.17647058823529413</v>
      </c>
      <c r="I10" s="5" t="str">
        <f>Table2[[#This Row],[Infected]]</f>
        <v>No</v>
      </c>
      <c r="J10" s="6">
        <f>RANK(K10,$K$2:$K$51,1)+COUNTIF($K$2:K10,K10)-1</f>
        <v>46</v>
      </c>
      <c r="K10" s="5">
        <f>SQRT((Table4[[#This Row],[ExposureNormalized]]-$G$58)^2+(Table4[[#This Row],[MaritalStatusNormalized]]-$H$58)^2+(Table4[[#This Row],[MonthAtHospitalNormalized]]-$I$58)^2)</f>
        <v>0.91330515030730819</v>
      </c>
      <c r="L10" s="5" t="str">
        <f>Table2[[#This Row],[Infected]]</f>
        <v>No</v>
      </c>
      <c r="M10" s="6">
        <f>RANK(N10,$N$2:$N$51,1)+COUNTIF($N$2:N10,N10)-1</f>
        <v>9</v>
      </c>
      <c r="N10" s="5">
        <f>SQRT((Table4[[#This Row],[ExposureNormalized]]-$G$59)^2+(Table4[[#This Row],[MaritalStatusNormalized]]-$H$59)^2+(Table4[[#This Row],[MonthAtHospitalNormalized]]-$I$59)^2)</f>
        <v>0.25682719406724969</v>
      </c>
      <c r="O10" s="5" t="str">
        <f>Table4[[#This Row],[Infected]]</f>
        <v>No</v>
      </c>
      <c r="P10" s="6">
        <f>RANK(Q10,$Q$2:$Q$51,1)+COUNTIF($Q$2:Q10,Q10)-1</f>
        <v>13</v>
      </c>
      <c r="Q10" s="5">
        <f>SQRT((Table4[[#This Row],[ExposureNormalized]]-$G$60)^2+(Table4[[#This Row],[MaritalStatusNormalized]]-$H$60)^2+(Table4[[#This Row],[MonthAtHospitalNormalized]]-$I$60)^2)</f>
        <v>0.5</v>
      </c>
      <c r="R10" s="5" t="str">
        <f>Table4[[#This Row],[Infected]]</f>
        <v>No</v>
      </c>
    </row>
    <row r="11" spans="1:18">
      <c r="A11" s="2">
        <v>4</v>
      </c>
      <c r="B11" s="3" t="s">
        <v>19</v>
      </c>
      <c r="C11" s="3">
        <v>6</v>
      </c>
      <c r="D11" s="3" t="s">
        <v>17</v>
      </c>
      <c r="F11" s="4">
        <f>Table2[[#This Row],[Exposure]]/4</f>
        <v>1</v>
      </c>
      <c r="G11" s="4">
        <f>IF(Table2[[#This Row],[MaritalStatus]]="Married",1,0.5)</f>
        <v>0.5</v>
      </c>
      <c r="H11" s="5">
        <f>Table2[[#This Row],[MonthAtHospital]]/MAX(Table2[MonthAtHospital])</f>
        <v>0.17647058823529413</v>
      </c>
      <c r="I11" s="5" t="str">
        <f>Table2[[#This Row],[Infected]]</f>
        <v>No</v>
      </c>
      <c r="J11" s="6">
        <f>RANK(K11,$K$2:$K$51,1)+COUNTIF($K$2:K11,K11)-1</f>
        <v>47</v>
      </c>
      <c r="K11" s="5">
        <f>SQRT((Table4[[#This Row],[ExposureNormalized]]-$G$58)^2+(Table4[[#This Row],[MaritalStatusNormalized]]-$H$58)^2+(Table4[[#This Row],[MonthAtHospitalNormalized]]-$I$58)^2)</f>
        <v>0.91330515030730819</v>
      </c>
      <c r="L11" s="5" t="str">
        <f>Table2[[#This Row],[Infected]]</f>
        <v>No</v>
      </c>
      <c r="M11" s="6">
        <f>RANK(N11,$N$2:$N$51,1)+COUNTIF($N$2:N11,N11)-1</f>
        <v>10</v>
      </c>
      <c r="N11" s="5">
        <f>SQRT((Table4[[#This Row],[ExposureNormalized]]-$G$59)^2+(Table4[[#This Row],[MaritalStatusNormalized]]-$H$59)^2+(Table4[[#This Row],[MonthAtHospitalNormalized]]-$I$59)^2)</f>
        <v>0.25682719406724969</v>
      </c>
      <c r="O11" s="5" t="str">
        <f>Table4[[#This Row],[Infected]]</f>
        <v>No</v>
      </c>
      <c r="P11" s="6">
        <f>RANK(Q11,$Q$2:$Q$51,1)+COUNTIF($Q$2:Q11,Q11)-1</f>
        <v>14</v>
      </c>
      <c r="Q11" s="5">
        <f>SQRT((Table4[[#This Row],[ExposureNormalized]]-$G$60)^2+(Table4[[#This Row],[MaritalStatusNormalized]]-$H$60)^2+(Table4[[#This Row],[MonthAtHospitalNormalized]]-$I$60)^2)</f>
        <v>0.5</v>
      </c>
      <c r="R11" s="5" t="str">
        <f>Table4[[#This Row],[Infected]]</f>
        <v>No</v>
      </c>
    </row>
    <row r="12" spans="1:18">
      <c r="A12" s="2">
        <v>4</v>
      </c>
      <c r="B12" s="3" t="s">
        <v>19</v>
      </c>
      <c r="C12" s="3">
        <v>1</v>
      </c>
      <c r="D12" s="3" t="s">
        <v>17</v>
      </c>
      <c r="F12" s="4">
        <f>Table2[[#This Row],[Exposure]]/4</f>
        <v>1</v>
      </c>
      <c r="G12" s="4">
        <f>IF(Table2[[#This Row],[MaritalStatus]]="Married",1,0.5)</f>
        <v>0.5</v>
      </c>
      <c r="H12" s="5">
        <f>Table2[[#This Row],[MonthAtHospital]]/MAX(Table2[MonthAtHospital])</f>
        <v>2.9411764705882353E-2</v>
      </c>
      <c r="I12" s="5" t="str">
        <f>Table2[[#This Row],[Infected]]</f>
        <v>No</v>
      </c>
      <c r="J12" s="6">
        <f>RANK(K12,$K$2:$K$51,1)+COUNTIF($K$2:K12,K12)-1</f>
        <v>40</v>
      </c>
      <c r="K12" s="5">
        <f>SQRT((Table4[[#This Row],[ExposureNormalized]]-$G$58)^2+(Table4[[#This Row],[MaritalStatusNormalized]]-$H$58)^2+(Table4[[#This Row],[MonthAtHospitalNormalized]]-$I$58)^2)</f>
        <v>0.90138781886599728</v>
      </c>
      <c r="L12" s="5" t="str">
        <f>Table2[[#This Row],[Infected]]</f>
        <v>No</v>
      </c>
      <c r="M12" s="6">
        <f>RANK(N12,$N$2:$N$51,1)+COUNTIF($N$2:N12,N12)-1</f>
        <v>16</v>
      </c>
      <c r="N12" s="5">
        <f>SQRT((Table4[[#This Row],[ExposureNormalized]]-$G$59)^2+(Table4[[#This Row],[MaritalStatusNormalized]]-$H$59)^2+(Table4[[#This Row],[MonthAtHospitalNormalized]]-$I$59)^2)</f>
        <v>0.26511406437235213</v>
      </c>
      <c r="O12" s="5" t="str">
        <f>Table4[[#This Row],[Infected]]</f>
        <v>No</v>
      </c>
      <c r="P12" s="6">
        <f>RANK(Q12,$Q$2:$Q$51,1)+COUNTIF($Q$2:Q12,Q12)-1</f>
        <v>23</v>
      </c>
      <c r="Q12" s="5">
        <f>SQRT((Table4[[#This Row],[ExposureNormalized]]-$G$60)^2+(Table4[[#This Row],[MaritalStatusNormalized]]-$H$60)^2+(Table4[[#This Row],[MonthAtHospitalNormalized]]-$I$60)^2)</f>
        <v>0.52117779843145151</v>
      </c>
      <c r="R12" s="5" t="str">
        <f>Table4[[#This Row],[Infected]]</f>
        <v>No</v>
      </c>
    </row>
    <row r="13" spans="1:18">
      <c r="A13" s="2">
        <v>2</v>
      </c>
      <c r="B13" s="3" t="s">
        <v>16</v>
      </c>
      <c r="C13" s="3">
        <v>7</v>
      </c>
      <c r="D13" s="3" t="s">
        <v>17</v>
      </c>
      <c r="F13" s="4">
        <f>Table2[[#This Row],[Exposure]]/4</f>
        <v>0.5</v>
      </c>
      <c r="G13" s="4">
        <f>IF(Table2[[#This Row],[MaritalStatus]]="Married",1,0.5)</f>
        <v>1</v>
      </c>
      <c r="H13" s="5">
        <f>Table2[[#This Row],[MonthAtHospital]]/MAX(Table2[MonthAtHospital])</f>
        <v>0.20588235294117646</v>
      </c>
      <c r="I13" s="5" t="str">
        <f>Table2[[#This Row],[Infected]]</f>
        <v>No</v>
      </c>
      <c r="J13" s="6">
        <f>RANK(K13,$K$2:$K$51,1)+COUNTIF($K$2:K13,K13)-1</f>
        <v>7</v>
      </c>
      <c r="K13" s="5">
        <f>SQRT((Table4[[#This Row],[ExposureNormalized]]-$G$58)^2+(Table4[[#This Row],[MaritalStatusNormalized]]-$H$58)^2+(Table4[[#This Row],[MonthAtHospitalNormalized]]-$I$58)^2)</f>
        <v>0.30600958892183544</v>
      </c>
      <c r="L13" s="5" t="str">
        <f>Table2[[#This Row],[Infected]]</f>
        <v>No</v>
      </c>
      <c r="M13" s="6">
        <f>RANK(N13,$N$2:$N$51,1)+COUNTIF($N$2:N13,N13)-1</f>
        <v>38</v>
      </c>
      <c r="N13" s="5">
        <f>SQRT((Table4[[#This Row],[ExposureNormalized]]-$G$59)^2+(Table4[[#This Row],[MaritalStatusNormalized]]-$H$59)^2+(Table4[[#This Row],[MonthAtHospitalNormalized]]-$I$59)^2)</f>
        <v>0.56593768837923109</v>
      </c>
      <c r="O13" s="5" t="str">
        <f>Table4[[#This Row],[Infected]]</f>
        <v>No</v>
      </c>
      <c r="P13" s="6">
        <f>RANK(Q13,$Q$2:$Q$51,1)+COUNTIF($Q$2:Q13,Q13)-1</f>
        <v>16</v>
      </c>
      <c r="Q13" s="5">
        <f>SQRT((Table4[[#This Row],[ExposureNormalized]]-$G$60)^2+(Table4[[#This Row],[MaritalStatusNormalized]]-$H$60)^2+(Table4[[#This Row],[MonthAtHospitalNormalized]]-$I$60)^2)</f>
        <v>0.50086430488018829</v>
      </c>
      <c r="R13" s="5" t="str">
        <f>Table4[[#This Row],[Infected]]</f>
        <v>No</v>
      </c>
    </row>
    <row r="14" spans="1:18">
      <c r="A14" s="2">
        <v>1</v>
      </c>
      <c r="B14" s="3" t="s">
        <v>19</v>
      </c>
      <c r="C14" s="3">
        <v>2</v>
      </c>
      <c r="D14" s="3" t="s">
        <v>18</v>
      </c>
      <c r="F14" s="4">
        <f>Table2[[#This Row],[Exposure]]/4</f>
        <v>0.25</v>
      </c>
      <c r="G14" s="4">
        <f>IF(Table2[[#This Row],[MaritalStatus]]="Married",1,0.5)</f>
        <v>0.5</v>
      </c>
      <c r="H14" s="5">
        <f>Table2[[#This Row],[MonthAtHospital]]/MAX(Table2[MonthAtHospital])</f>
        <v>5.8823529411764705E-2</v>
      </c>
      <c r="I14" s="5" t="str">
        <f>Table2[[#This Row],[Infected]]</f>
        <v>Yes</v>
      </c>
      <c r="J14" s="6">
        <f>RANK(K14,$K$2:$K$51,1)+COUNTIF($K$2:K14,K14)-1</f>
        <v>13</v>
      </c>
      <c r="K14" s="5">
        <f>SQRT((Table4[[#This Row],[ExposureNormalized]]-$G$58)^2+(Table4[[#This Row],[MaritalStatusNormalized]]-$H$58)^2+(Table4[[#This Row],[MonthAtHospitalNormalized]]-$I$58)^2)</f>
        <v>0.50086430488018829</v>
      </c>
      <c r="L14" s="5" t="str">
        <f>Table2[[#This Row],[Infected]]</f>
        <v>Yes</v>
      </c>
      <c r="M14" s="6">
        <f>RANK(N14,$N$2:$N$51,1)+COUNTIF($N$2:N14,N14)-1</f>
        <v>22</v>
      </c>
      <c r="N14" s="5">
        <f>SQRT((Table4[[#This Row],[ExposureNormalized]]-$G$59)^2+(Table4[[#This Row],[MaritalStatusNormalized]]-$H$59)^2+(Table4[[#This Row],[MonthAtHospitalNormalized]]-$I$59)^2)</f>
        <v>0.50344831672422619</v>
      </c>
      <c r="O14" s="5" t="str">
        <f>Table4[[#This Row],[Infected]]</f>
        <v>Yes</v>
      </c>
      <c r="P14" s="6">
        <f>RANK(Q14,$Q$2:$Q$51,1)+COUNTIF($Q$2:Q14,Q14)-1</f>
        <v>8</v>
      </c>
      <c r="Q14" s="5">
        <f>SQRT((Table4[[#This Row],[ExposureNormalized]]-$G$60)^2+(Table4[[#This Row],[MaritalStatusNormalized]]-$H$60)^2+(Table4[[#This Row],[MonthAtHospitalNormalized]]-$I$60)^2)</f>
        <v>0.27629844453023433</v>
      </c>
      <c r="R14" s="5" t="str">
        <f>Table4[[#This Row],[Infected]]</f>
        <v>Yes</v>
      </c>
    </row>
    <row r="15" spans="1:18">
      <c r="A15" s="2">
        <v>3</v>
      </c>
      <c r="B15" s="3" t="s">
        <v>16</v>
      </c>
      <c r="C15" s="3">
        <v>10</v>
      </c>
      <c r="D15" s="3" t="s">
        <v>17</v>
      </c>
      <c r="F15" s="4">
        <f>Table2[[#This Row],[Exposure]]/4</f>
        <v>0.75</v>
      </c>
      <c r="G15" s="4">
        <f>IF(Table2[[#This Row],[MaritalStatus]]="Married",1,0.5)</f>
        <v>1</v>
      </c>
      <c r="H15" s="5">
        <f>Table2[[#This Row],[MonthAtHospital]]/MAX(Table2[MonthAtHospital])</f>
        <v>0.29411764705882354</v>
      </c>
      <c r="I15" s="5" t="str">
        <f>Table2[[#This Row],[Infected]]</f>
        <v>No</v>
      </c>
      <c r="J15" s="6">
        <f>RANK(K15,$K$2:$K$51,1)+COUNTIF($K$2:K15,K15)-1</f>
        <v>24</v>
      </c>
      <c r="K15" s="5">
        <f>SQRT((Table4[[#This Row],[ExposureNormalized]]-$G$58)^2+(Table4[[#This Row],[MaritalStatusNormalized]]-$H$58)^2+(Table4[[#This Row],[MonthAtHospitalNormalized]]-$I$58)^2)</f>
        <v>0.56574659004915717</v>
      </c>
      <c r="L15" s="5" t="str">
        <f>Table2[[#This Row],[Infected]]</f>
        <v>No</v>
      </c>
      <c r="M15" s="6">
        <f>RANK(N15,$N$2:$N$51,1)+COUNTIF($N$2:N15,N15)-1</f>
        <v>31</v>
      </c>
      <c r="N15" s="5">
        <f>SQRT((Table4[[#This Row],[ExposureNormalized]]-$G$59)^2+(Table4[[#This Row],[MaritalStatusNormalized]]-$H$59)^2+(Table4[[#This Row],[MonthAtHospitalNormalized]]-$I$59)^2)</f>
        <v>0.53022812874470437</v>
      </c>
      <c r="O15" s="5" t="str">
        <f>Table4[[#This Row],[Infected]]</f>
        <v>No</v>
      </c>
      <c r="P15" s="6">
        <f>RANK(Q15,$Q$2:$Q$51,1)+COUNTIF($Q$2:Q15,Q15)-1</f>
        <v>33</v>
      </c>
      <c r="Q15" s="5">
        <f>SQRT((Table4[[#This Row],[ExposureNormalized]]-$G$60)^2+(Table4[[#This Row],[MaritalStatusNormalized]]-$H$60)^2+(Table4[[#This Row],[MonthAtHospitalNormalized]]-$I$60)^2)</f>
        <v>0.57126248822220682</v>
      </c>
      <c r="R15" s="5" t="str">
        <f>Table4[[#This Row],[Infected]]</f>
        <v>No</v>
      </c>
    </row>
    <row r="16" spans="1:18">
      <c r="A16" s="2">
        <v>1</v>
      </c>
      <c r="B16" s="3" t="s">
        <v>16</v>
      </c>
      <c r="C16" s="3">
        <v>12</v>
      </c>
      <c r="D16" s="3" t="s">
        <v>18</v>
      </c>
      <c r="F16" s="4">
        <f>Table2[[#This Row],[Exposure]]/4</f>
        <v>0.25</v>
      </c>
      <c r="G16" s="4">
        <f>IF(Table2[[#This Row],[MaritalStatus]]="Married",1,0.5)</f>
        <v>1</v>
      </c>
      <c r="H16" s="5">
        <f>Table2[[#This Row],[MonthAtHospital]]/MAX(Table2[MonthAtHospital])</f>
        <v>0.35294117647058826</v>
      </c>
      <c r="I16" s="5" t="str">
        <f>Table2[[#This Row],[Infected]]</f>
        <v>Yes</v>
      </c>
      <c r="J16" s="6">
        <f>RANK(K16,$K$2:$K$51,1)+COUNTIF($K$2:K16,K16)-1</f>
        <v>8</v>
      </c>
      <c r="K16" s="5">
        <f>SQRT((Table4[[#This Row],[ExposureNormalized]]-$G$58)^2+(Table4[[#This Row],[MaritalStatusNormalized]]-$H$58)^2+(Table4[[#This Row],[MonthAtHospitalNormalized]]-$I$58)^2)</f>
        <v>0.3235294117647059</v>
      </c>
      <c r="L16" s="5" t="str">
        <f>Table2[[#This Row],[Infected]]</f>
        <v>Yes</v>
      </c>
      <c r="M16" s="6">
        <f>RANK(N16,$N$2:$N$51,1)+COUNTIF($N$2:N16,N16)-1</f>
        <v>46</v>
      </c>
      <c r="N16" s="5">
        <f>SQRT((Table4[[#This Row],[ExposureNormalized]]-$G$59)^2+(Table4[[#This Row],[MaritalStatusNormalized]]-$H$59)^2+(Table4[[#This Row],[MonthAtHospitalNormalized]]-$I$59)^2)</f>
        <v>0.74522702701881927</v>
      </c>
      <c r="O16" s="5" t="str">
        <f>Table4[[#This Row],[Infected]]</f>
        <v>Yes</v>
      </c>
      <c r="P16" s="6">
        <f>RANK(Q16,$Q$2:$Q$51,1)+COUNTIF($Q$2:Q16,Q16)-1</f>
        <v>40</v>
      </c>
      <c r="Q16" s="5">
        <f>SQRT((Table4[[#This Row],[ExposureNormalized]]-$G$60)^2+(Table4[[#This Row],[MaritalStatusNormalized]]-$H$60)^2+(Table4[[#This Row],[MonthAtHospitalNormalized]]-$I$60)^2)</f>
        <v>0.58620974788219848</v>
      </c>
      <c r="R16" s="5" t="str">
        <f>Table4[[#This Row],[Infected]]</f>
        <v>Yes</v>
      </c>
    </row>
    <row r="17" spans="1:18">
      <c r="A17" s="2">
        <v>1</v>
      </c>
      <c r="B17" s="3" t="s">
        <v>16</v>
      </c>
      <c r="C17" s="3">
        <v>29</v>
      </c>
      <c r="D17" s="3" t="s">
        <v>17</v>
      </c>
      <c r="F17" s="4">
        <f>Table2[[#This Row],[Exposure]]/4</f>
        <v>0.25</v>
      </c>
      <c r="G17" s="4">
        <f>IF(Table2[[#This Row],[MaritalStatus]]="Married",1,0.5)</f>
        <v>1</v>
      </c>
      <c r="H17" s="5">
        <f>Table2[[#This Row],[MonthAtHospital]]/MAX(Table2[MonthAtHospital])</f>
        <v>0.8529411764705882</v>
      </c>
      <c r="I17" s="5" t="str">
        <f>Table2[[#This Row],[Infected]]</f>
        <v>No</v>
      </c>
      <c r="J17" s="6">
        <f>RANK(K17,$K$2:$K$51,1)+COUNTIF($K$2:K17,K17)-1</f>
        <v>38</v>
      </c>
      <c r="K17" s="5">
        <f>SQRT((Table4[[#This Row],[ExposureNormalized]]-$G$58)^2+(Table4[[#This Row],[MaritalStatusNormalized]]-$H$58)^2+(Table4[[#This Row],[MonthAtHospitalNormalized]]-$I$58)^2)</f>
        <v>0.82352941176470584</v>
      </c>
      <c r="L17" s="5" t="str">
        <f>Table2[[#This Row],[Infected]]</f>
        <v>No</v>
      </c>
      <c r="M17" s="6">
        <f>RANK(N17,$N$2:$N$51,1)+COUNTIF($N$2:N17,N17)-1</f>
        <v>49</v>
      </c>
      <c r="N17" s="5">
        <f>SQRT((Table4[[#This Row],[ExposureNormalized]]-$G$59)^2+(Table4[[#This Row],[MaritalStatusNormalized]]-$H$59)^2+(Table4[[#This Row],[MonthAtHospitalNormalized]]-$I$59)^2)</f>
        <v>1.0201261880014485</v>
      </c>
      <c r="O17" s="5" t="str">
        <f>Table4[[#This Row],[Infected]]</f>
        <v>No</v>
      </c>
      <c r="P17" s="6">
        <f>RANK(Q17,$Q$2:$Q$51,1)+COUNTIF($Q$2:Q17,Q17)-1</f>
        <v>49</v>
      </c>
      <c r="Q17" s="5">
        <f>SQRT((Table4[[#This Row],[ExposureNormalized]]-$G$60)^2+(Table4[[#This Row],[MaritalStatusNormalized]]-$H$60)^2+(Table4[[#This Row],[MonthAtHospitalNormalized]]-$I$60)^2)</f>
        <v>0.87756051457857009</v>
      </c>
      <c r="R17" s="5" t="str">
        <f>Table4[[#This Row],[Infected]]</f>
        <v>No</v>
      </c>
    </row>
    <row r="18" spans="1:18">
      <c r="A18" s="2">
        <v>4</v>
      </c>
      <c r="B18" s="3" t="s">
        <v>16</v>
      </c>
      <c r="C18" s="3">
        <v>22</v>
      </c>
      <c r="D18" s="3" t="s">
        <v>17</v>
      </c>
      <c r="F18" s="4">
        <f>Table2[[#This Row],[Exposure]]/4</f>
        <v>1</v>
      </c>
      <c r="G18" s="4">
        <f>IF(Table2[[#This Row],[MaritalStatus]]="Married",1,0.5)</f>
        <v>1</v>
      </c>
      <c r="H18" s="5">
        <f>Table2[[#This Row],[MonthAtHospital]]/MAX(Table2[MonthAtHospital])</f>
        <v>0.6470588235294118</v>
      </c>
      <c r="I18" s="5" t="str">
        <f>Table2[[#This Row],[Infected]]</f>
        <v>No</v>
      </c>
      <c r="J18" s="6">
        <f>RANK(K18,$K$2:$K$51,1)+COUNTIF($K$2:K18,K18)-1</f>
        <v>50</v>
      </c>
      <c r="K18" s="5">
        <f>SQRT((Table4[[#This Row],[ExposureNormalized]]-$G$58)^2+(Table4[[#This Row],[MaritalStatusNormalized]]-$H$58)^2+(Table4[[#This Row],[MonthAtHospitalNormalized]]-$I$58)^2)</f>
        <v>0.97159039171523121</v>
      </c>
      <c r="L18" s="5" t="str">
        <f>Table2[[#This Row],[Infected]]</f>
        <v>No</v>
      </c>
      <c r="M18" s="6">
        <f>RANK(N18,$N$2:$N$51,1)+COUNTIF($N$2:N18,N18)-1</f>
        <v>47</v>
      </c>
      <c r="N18" s="5">
        <f>SQRT((Table4[[#This Row],[ExposureNormalized]]-$G$59)^2+(Table4[[#This Row],[MaritalStatusNormalized]]-$H$59)^2+(Table4[[#This Row],[MonthAtHospitalNormalized]]-$I$59)^2)</f>
        <v>0.76992000662990734</v>
      </c>
      <c r="O18" s="5" t="str">
        <f>Table4[[#This Row],[Infected]]</f>
        <v>No</v>
      </c>
      <c r="P18" s="6">
        <f>RANK(Q18,$Q$2:$Q$51,1)+COUNTIF($Q$2:Q18,Q18)-1</f>
        <v>48</v>
      </c>
      <c r="Q18" s="5">
        <f>SQRT((Table4[[#This Row],[ExposureNormalized]]-$G$60)^2+(Table4[[#This Row],[MaritalStatusNormalized]]-$H$60)^2+(Table4[[#This Row],[MonthAtHospitalNormalized]]-$I$60)^2)</f>
        <v>0.84938406342315598</v>
      </c>
      <c r="R18" s="5" t="str">
        <f>Table4[[#This Row],[Infected]]</f>
        <v>No</v>
      </c>
    </row>
    <row r="19" spans="1:18">
      <c r="A19" s="2">
        <v>2</v>
      </c>
      <c r="B19" s="3" t="s">
        <v>16</v>
      </c>
      <c r="C19" s="3">
        <v>1</v>
      </c>
      <c r="D19" s="3" t="s">
        <v>18</v>
      </c>
      <c r="F19" s="4">
        <f>Table2[[#This Row],[Exposure]]/4</f>
        <v>0.5</v>
      </c>
      <c r="G19" s="4">
        <f>IF(Table2[[#This Row],[MaritalStatus]]="Married",1,0.5)</f>
        <v>1</v>
      </c>
      <c r="H19" s="5">
        <f>Table2[[#This Row],[MonthAtHospital]]/MAX(Table2[MonthAtHospital])</f>
        <v>2.9411764705882353E-2</v>
      </c>
      <c r="I19" s="5" t="str">
        <f>Table2[[#This Row],[Infected]]</f>
        <v>Yes</v>
      </c>
      <c r="J19" s="6">
        <f>RANK(K19,$K$2:$K$51,1)+COUNTIF($K$2:K19,K19)-1</f>
        <v>3</v>
      </c>
      <c r="K19" s="5">
        <f>SQRT((Table4[[#This Row],[ExposureNormalized]]-$G$58)^2+(Table4[[#This Row],[MaritalStatusNormalized]]-$H$58)^2+(Table4[[#This Row],[MonthAtHospitalNormalized]]-$I$58)^2)</f>
        <v>0.25</v>
      </c>
      <c r="L19" s="5" t="str">
        <f>Table2[[#This Row],[Infected]]</f>
        <v>Yes</v>
      </c>
      <c r="M19" s="6">
        <f>RANK(N19,$N$2:$N$51,1)+COUNTIF($N$2:N19,N19)-1</f>
        <v>39</v>
      </c>
      <c r="N19" s="5">
        <f>SQRT((Table4[[#This Row],[ExposureNormalized]]-$G$59)^2+(Table4[[#This Row],[MaritalStatusNormalized]]-$H$59)^2+(Table4[[#This Row],[MonthAtHospitalNormalized]]-$I$59)^2)</f>
        <v>0.56593768837923109</v>
      </c>
      <c r="O19" s="5" t="str">
        <f>Table4[[#This Row],[Infected]]</f>
        <v>Yes</v>
      </c>
      <c r="P19" s="6">
        <f>RANK(Q19,$Q$2:$Q$51,1)+COUNTIF($Q$2:Q19,Q19)-1</f>
        <v>24</v>
      </c>
      <c r="Q19" s="5">
        <f>SQRT((Table4[[#This Row],[ExposureNormalized]]-$G$60)^2+(Table4[[#This Row],[MaritalStatusNormalized]]-$H$60)^2+(Table4[[#This Row],[MonthAtHospitalNormalized]]-$I$60)^2)</f>
        <v>0.52117779843145151</v>
      </c>
      <c r="R19" s="5" t="str">
        <f>Table4[[#This Row],[Infected]]</f>
        <v>Yes</v>
      </c>
    </row>
    <row r="20" spans="1:18">
      <c r="A20" s="2">
        <v>3</v>
      </c>
      <c r="B20" s="3" t="s">
        <v>16</v>
      </c>
      <c r="C20" s="3">
        <v>2</v>
      </c>
      <c r="D20" s="3" t="s">
        <v>17</v>
      </c>
      <c r="F20" s="4">
        <f>Table2[[#This Row],[Exposure]]/4</f>
        <v>0.75</v>
      </c>
      <c r="G20" s="4">
        <f>IF(Table2[[#This Row],[MaritalStatus]]="Married",1,0.5)</f>
        <v>1</v>
      </c>
      <c r="H20" s="5">
        <f>Table2[[#This Row],[MonthAtHospital]]/MAX(Table2[MonthAtHospital])</f>
        <v>5.8823529411764705E-2</v>
      </c>
      <c r="I20" s="5" t="str">
        <f>Table2[[#This Row],[Infected]]</f>
        <v>No</v>
      </c>
      <c r="J20" s="6">
        <f>RANK(K20,$K$2:$K$51,1)+COUNTIF($K$2:K20,K20)-1</f>
        <v>14</v>
      </c>
      <c r="K20" s="5">
        <f>SQRT((Table4[[#This Row],[ExposureNormalized]]-$G$58)^2+(Table4[[#This Row],[MaritalStatusNormalized]]-$H$58)^2+(Table4[[#This Row],[MonthAtHospitalNormalized]]-$I$58)^2)</f>
        <v>0.50086430488018829</v>
      </c>
      <c r="L20" s="5" t="str">
        <f>Table2[[#This Row],[Infected]]</f>
        <v>No</v>
      </c>
      <c r="M20" s="6">
        <f>RANK(N20,$N$2:$N$51,1)+COUNTIF($N$2:N20,N20)-1</f>
        <v>23</v>
      </c>
      <c r="N20" s="5">
        <f>SQRT((Table4[[#This Row],[ExposureNormalized]]-$G$59)^2+(Table4[[#This Row],[MaritalStatusNormalized]]-$H$59)^2+(Table4[[#This Row],[MonthAtHospitalNormalized]]-$I$59)^2)</f>
        <v>0.50344831672422619</v>
      </c>
      <c r="O20" s="5" t="str">
        <f>Table4[[#This Row],[Infected]]</f>
        <v>No</v>
      </c>
      <c r="P20" s="6">
        <f>RANK(Q20,$Q$2:$Q$51,1)+COUNTIF($Q$2:Q20,Q20)-1</f>
        <v>34</v>
      </c>
      <c r="Q20" s="5">
        <f>SQRT((Table4[[#This Row],[ExposureNormalized]]-$G$60)^2+(Table4[[#This Row],[MaritalStatusNormalized]]-$H$60)^2+(Table4[[#This Row],[MonthAtHospitalNormalized]]-$I$60)^2)</f>
        <v>0.57126248822220682</v>
      </c>
      <c r="R20" s="5" t="str">
        <f>Table4[[#This Row],[Infected]]</f>
        <v>No</v>
      </c>
    </row>
    <row r="21" spans="1:18">
      <c r="A21" s="2">
        <v>3</v>
      </c>
      <c r="B21" s="3" t="s">
        <v>19</v>
      </c>
      <c r="C21" s="3">
        <v>11</v>
      </c>
      <c r="D21" s="3" t="s">
        <v>17</v>
      </c>
      <c r="F21" s="4">
        <f>Table2[[#This Row],[Exposure]]/4</f>
        <v>0.75</v>
      </c>
      <c r="G21" s="4">
        <f>IF(Table2[[#This Row],[MaritalStatus]]="Married",1,0.5)</f>
        <v>0.5</v>
      </c>
      <c r="H21" s="5">
        <f>Table2[[#This Row],[MonthAtHospital]]/MAX(Table2[MonthAtHospital])</f>
        <v>0.3235294117647059</v>
      </c>
      <c r="I21" s="5" t="str">
        <f>Table2[[#This Row],[Infected]]</f>
        <v>No</v>
      </c>
      <c r="J21" s="6">
        <f>RANK(K21,$K$2:$K$51,1)+COUNTIF($K$2:K21,K21)-1</f>
        <v>36</v>
      </c>
      <c r="K21" s="5">
        <f>SQRT((Table4[[#This Row],[ExposureNormalized]]-$G$58)^2+(Table4[[#This Row],[MaritalStatusNormalized]]-$H$58)^2+(Table4[[#This Row],[MonthAtHospitalNormalized]]-$I$58)^2)</f>
        <v>0.76583626860538456</v>
      </c>
      <c r="L21" s="5" t="str">
        <f>Table2[[#This Row],[Infected]]</f>
        <v>No</v>
      </c>
      <c r="M21" s="6">
        <f>RANK(N21,$N$2:$N$51,1)+COUNTIF($N$2:N21,N21)-1</f>
        <v>5</v>
      </c>
      <c r="N21" s="5">
        <f>SQRT((Table4[[#This Row],[ExposureNormalized]]-$G$59)^2+(Table4[[#This Row],[MaritalStatusNormalized]]-$H$59)^2+(Table4[[#This Row],[MonthAtHospitalNormalized]]-$I$59)^2)</f>
        <v>0.20588235294117649</v>
      </c>
      <c r="O21" s="5" t="str">
        <f>Table4[[#This Row],[Infected]]</f>
        <v>No</v>
      </c>
      <c r="P21" s="6">
        <f>RANK(Q21,$Q$2:$Q$51,1)+COUNTIF($Q$2:Q21,Q21)-1</f>
        <v>10</v>
      </c>
      <c r="Q21" s="5">
        <f>SQRT((Table4[[#This Row],[ExposureNormalized]]-$G$60)^2+(Table4[[#This Row],[MaritalStatusNormalized]]-$H$60)^2+(Table4[[#This Row],[MonthAtHospitalNormalized]]-$I$60)^2)</f>
        <v>0.29004533710758851</v>
      </c>
      <c r="R21" s="5" t="str">
        <f>Table4[[#This Row],[Infected]]</f>
        <v>No</v>
      </c>
    </row>
    <row r="22" spans="1:18">
      <c r="A22" s="2">
        <v>2</v>
      </c>
      <c r="B22" s="3" t="s">
        <v>19</v>
      </c>
      <c r="C22" s="3">
        <v>3</v>
      </c>
      <c r="D22" s="3" t="s">
        <v>18</v>
      </c>
      <c r="F22" s="4">
        <f>Table2[[#This Row],[Exposure]]/4</f>
        <v>0.5</v>
      </c>
      <c r="G22" s="4">
        <f>IF(Table2[[#This Row],[MaritalStatus]]="Married",1,0.5)</f>
        <v>0.5</v>
      </c>
      <c r="H22" s="5">
        <f>Table2[[#This Row],[MonthAtHospital]]/MAX(Table2[MonthAtHospital])</f>
        <v>8.8235294117647065E-2</v>
      </c>
      <c r="I22" s="5" t="str">
        <f>Table2[[#This Row],[Infected]]</f>
        <v>Yes</v>
      </c>
      <c r="J22" s="6">
        <f>RANK(K22,$K$2:$K$51,1)+COUNTIF($K$2:K22,K22)-1</f>
        <v>23</v>
      </c>
      <c r="K22" s="5">
        <f>SQRT((Table4[[#This Row],[ExposureNormalized]]-$G$58)^2+(Table4[[#This Row],[MaritalStatusNormalized]]-$H$58)^2+(Table4[[#This Row],[MonthAtHospitalNormalized]]-$I$58)^2)</f>
        <v>0.56210337804754096</v>
      </c>
      <c r="L22" s="5" t="str">
        <f>Table2[[#This Row],[Infected]]</f>
        <v>Yes</v>
      </c>
      <c r="M22" s="6">
        <f>RANK(N22,$N$2:$N$51,1)+COUNTIF($N$2:N22,N22)-1</f>
        <v>6</v>
      </c>
      <c r="N22" s="5">
        <f>SQRT((Table4[[#This Row],[ExposureNormalized]]-$G$59)^2+(Table4[[#This Row],[MaritalStatusNormalized]]-$H$59)^2+(Table4[[#This Row],[MonthAtHospitalNormalized]]-$I$59)^2)</f>
        <v>0.25172415836211309</v>
      </c>
      <c r="O22" s="5" t="str">
        <f>Table4[[#This Row],[Infected]]</f>
        <v>Yes</v>
      </c>
      <c r="P22" s="6">
        <f>RANK(Q22,$Q$2:$Q$51,1)+COUNTIF($Q$2:Q22,Q22)-1</f>
        <v>3</v>
      </c>
      <c r="Q22" s="5">
        <f>SQRT((Table4[[#This Row],[ExposureNormalized]]-$G$60)^2+(Table4[[#This Row],[MaritalStatusNormalized]]-$H$60)^2+(Table4[[#This Row],[MonthAtHospitalNormalized]]-$I$60)^2)</f>
        <v>8.8235294117647065E-2</v>
      </c>
      <c r="R22" s="5" t="str">
        <f>Table4[[#This Row],[Infected]]</f>
        <v>Yes</v>
      </c>
    </row>
    <row r="23" spans="1:18">
      <c r="A23" s="2">
        <v>3</v>
      </c>
      <c r="B23" s="3" t="s">
        <v>16</v>
      </c>
      <c r="C23" s="3">
        <v>1</v>
      </c>
      <c r="D23" s="3" t="s">
        <v>18</v>
      </c>
      <c r="F23" s="4">
        <f>Table2[[#This Row],[Exposure]]/4</f>
        <v>0.75</v>
      </c>
      <c r="G23" s="4">
        <f>IF(Table2[[#This Row],[MaritalStatus]]="Married",1,0.5)</f>
        <v>1</v>
      </c>
      <c r="H23" s="5">
        <f>Table2[[#This Row],[MonthAtHospital]]/MAX(Table2[MonthAtHospital])</f>
        <v>2.9411764705882353E-2</v>
      </c>
      <c r="I23" s="5" t="str">
        <f>Table2[[#This Row],[Infected]]</f>
        <v>Yes</v>
      </c>
      <c r="J23" s="6">
        <f>RANK(K23,$K$2:$K$51,1)+COUNTIF($K$2:K23,K23)-1</f>
        <v>10</v>
      </c>
      <c r="K23" s="5">
        <f>SQRT((Table4[[#This Row],[ExposureNormalized]]-$G$58)^2+(Table4[[#This Row],[MaritalStatusNormalized]]-$H$58)^2+(Table4[[#This Row],[MonthAtHospitalNormalized]]-$I$58)^2)</f>
        <v>0.5</v>
      </c>
      <c r="L23" s="5" t="str">
        <f>Table2[[#This Row],[Infected]]</f>
        <v>Yes</v>
      </c>
      <c r="M23" s="6">
        <f>RANK(N23,$N$2:$N$51,1)+COUNTIF($N$2:N23,N23)-1</f>
        <v>28</v>
      </c>
      <c r="N23" s="5">
        <f>SQRT((Table4[[#This Row],[ExposureNormalized]]-$G$59)^2+(Table4[[#This Row],[MaritalStatusNormalized]]-$H$59)^2+(Table4[[#This Row],[MonthAtHospitalNormalized]]-$I$59)^2)</f>
        <v>0.50772577945976671</v>
      </c>
      <c r="O23" s="5" t="str">
        <f>Table4[[#This Row],[Infected]]</f>
        <v>Yes</v>
      </c>
      <c r="P23" s="6">
        <f>RANK(Q23,$Q$2:$Q$51,1)+COUNTIF($Q$2:Q23,Q23)-1</f>
        <v>38</v>
      </c>
      <c r="Q23" s="5">
        <f>SQRT((Table4[[#This Row],[ExposureNormalized]]-$G$60)^2+(Table4[[#This Row],[MaritalStatusNormalized]]-$H$60)^2+(Table4[[#This Row],[MonthAtHospitalNormalized]]-$I$60)^2)</f>
        <v>0.5780365884421631</v>
      </c>
      <c r="R23" s="5" t="str">
        <f>Table4[[#This Row],[Infected]]</f>
        <v>Yes</v>
      </c>
    </row>
    <row r="24" spans="1:18">
      <c r="A24" s="2">
        <v>3</v>
      </c>
      <c r="B24" s="3" t="s">
        <v>19</v>
      </c>
      <c r="C24" s="3">
        <v>1</v>
      </c>
      <c r="D24" s="3" t="s">
        <v>17</v>
      </c>
      <c r="F24" s="4">
        <f>Table2[[#This Row],[Exposure]]/4</f>
        <v>0.75</v>
      </c>
      <c r="G24" s="4">
        <f>IF(Table2[[#This Row],[MaritalStatus]]="Married",1,0.5)</f>
        <v>0.5</v>
      </c>
      <c r="H24" s="5">
        <f>Table2[[#This Row],[MonthAtHospital]]/MAX(Table2[MonthAtHospital])</f>
        <v>2.9411764705882353E-2</v>
      </c>
      <c r="I24" s="5" t="str">
        <f>Table2[[#This Row],[Infected]]</f>
        <v>No</v>
      </c>
      <c r="J24" s="6">
        <f>RANK(K24,$K$2:$K$51,1)+COUNTIF($K$2:K24,K24)-1</f>
        <v>28</v>
      </c>
      <c r="K24" s="5">
        <f>SQRT((Table4[[#This Row],[ExposureNormalized]]-$G$58)^2+(Table4[[#This Row],[MaritalStatusNormalized]]-$H$58)^2+(Table4[[#This Row],[MonthAtHospitalNormalized]]-$I$58)^2)</f>
        <v>0.70710678118654757</v>
      </c>
      <c r="L24" s="5" t="str">
        <f>Table2[[#This Row],[Infected]]</f>
        <v>No</v>
      </c>
      <c r="M24" s="6">
        <f>RANK(N24,$N$2:$N$51,1)+COUNTIF($N$2:N24,N24)-1</f>
        <v>1</v>
      </c>
      <c r="N24" s="5">
        <f>SQRT((Table4[[#This Row],[ExposureNormalized]]-$G$59)^2+(Table4[[#This Row],[MaritalStatusNormalized]]-$H$59)^2+(Table4[[#This Row],[MonthAtHospitalNormalized]]-$I$59)^2)</f>
        <v>8.8235294117647051E-2</v>
      </c>
      <c r="O24" s="5" t="str">
        <f>Table4[[#This Row],[Infected]]</f>
        <v>No</v>
      </c>
      <c r="P24" s="6">
        <f>RANK(Q24,$Q$2:$Q$51,1)+COUNTIF($Q$2:Q24,Q24)-1</f>
        <v>11</v>
      </c>
      <c r="Q24" s="5">
        <f>SQRT((Table4[[#This Row],[ExposureNormalized]]-$G$60)^2+(Table4[[#This Row],[MaritalStatusNormalized]]-$H$60)^2+(Table4[[#This Row],[MonthAtHospitalNormalized]]-$I$60)^2)</f>
        <v>0.29004533710758851</v>
      </c>
      <c r="R24" s="5" t="str">
        <f>Table4[[#This Row],[Infected]]</f>
        <v>No</v>
      </c>
    </row>
    <row r="25" spans="1:18">
      <c r="A25" s="2">
        <v>4</v>
      </c>
      <c r="B25" s="3" t="s">
        <v>16</v>
      </c>
      <c r="C25" s="3">
        <v>5</v>
      </c>
      <c r="D25" s="3" t="s">
        <v>17</v>
      </c>
      <c r="F25" s="4">
        <f>Table2[[#This Row],[Exposure]]/4</f>
        <v>1</v>
      </c>
      <c r="G25" s="4">
        <f>IF(Table2[[#This Row],[MaritalStatus]]="Married",1,0.5)</f>
        <v>1</v>
      </c>
      <c r="H25" s="5">
        <f>Table2[[#This Row],[MonthAtHospital]]/MAX(Table2[MonthAtHospital])</f>
        <v>0.14705882352941177</v>
      </c>
      <c r="I25" s="5" t="str">
        <f>Table2[[#This Row],[Infected]]</f>
        <v>No</v>
      </c>
      <c r="J25" s="6">
        <f>RANK(K25,$K$2:$K$51,1)+COUNTIF($K$2:K25,K25)-1</f>
        <v>35</v>
      </c>
      <c r="K25" s="5">
        <f>SQRT((Table4[[#This Row],[ExposureNormalized]]-$G$58)^2+(Table4[[#This Row],[MaritalStatusNormalized]]-$H$58)^2+(Table4[[#This Row],[MonthAtHospitalNormalized]]-$I$58)^2)</f>
        <v>0.75917114700825328</v>
      </c>
      <c r="L25" s="5" t="str">
        <f>Table2[[#This Row],[Infected]]</f>
        <v>No</v>
      </c>
      <c r="M25" s="6">
        <f>RANK(N25,$N$2:$N$51,1)+COUNTIF($N$2:N25,N25)-1</f>
        <v>34</v>
      </c>
      <c r="N25" s="5">
        <f>SQRT((Table4[[#This Row],[ExposureNormalized]]-$G$59)^2+(Table4[[#This Row],[MaritalStatusNormalized]]-$H$59)^2+(Table4[[#This Row],[MonthAtHospitalNormalized]]-$I$59)^2)</f>
        <v>0.55979018560806704</v>
      </c>
      <c r="O25" s="5" t="str">
        <f>Table4[[#This Row],[Infected]]</f>
        <v>No</v>
      </c>
      <c r="P25" s="6">
        <f>RANK(Q25,$Q$2:$Q$51,1)+COUNTIF($Q$2:Q25,Q25)-1</f>
        <v>43</v>
      </c>
      <c r="Q25" s="5">
        <f>SQRT((Table4[[#This Row],[ExposureNormalized]]-$G$60)^2+(Table4[[#This Row],[MaritalStatusNormalized]]-$H$60)^2+(Table4[[#This Row],[MonthAtHospitalNormalized]]-$I$60)^2)</f>
        <v>0.70771820091270377</v>
      </c>
      <c r="R25" s="5" t="str">
        <f>Table4[[#This Row],[Infected]]</f>
        <v>No</v>
      </c>
    </row>
    <row r="26" spans="1:18">
      <c r="A26" s="2">
        <v>1</v>
      </c>
      <c r="B26" s="3" t="s">
        <v>19</v>
      </c>
      <c r="C26" s="3">
        <v>9</v>
      </c>
      <c r="D26" s="3" t="s">
        <v>18</v>
      </c>
      <c r="F26" s="4">
        <f>Table2[[#This Row],[Exposure]]/4</f>
        <v>0.25</v>
      </c>
      <c r="G26" s="4">
        <f>IF(Table2[[#This Row],[MaritalStatus]]="Married",1,0.5)</f>
        <v>0.5</v>
      </c>
      <c r="H26" s="5">
        <f>Table2[[#This Row],[MonthAtHospital]]/MAX(Table2[MonthAtHospital])</f>
        <v>0.26470588235294118</v>
      </c>
      <c r="I26" s="5" t="str">
        <f>Table2[[#This Row],[Infected]]</f>
        <v>Yes</v>
      </c>
      <c r="J26" s="6">
        <f>RANK(K26,$K$2:$K$51,1)+COUNTIF($K$2:K26,K26)-1</f>
        <v>21</v>
      </c>
      <c r="K26" s="5">
        <f>SQRT((Table4[[#This Row],[ExposureNormalized]]-$G$58)^2+(Table4[[#This Row],[MaritalStatusNormalized]]-$H$58)^2+(Table4[[#This Row],[MonthAtHospitalNormalized]]-$I$58)^2)</f>
        <v>0.55259688906046867</v>
      </c>
      <c r="L26" s="5" t="str">
        <f>Table2[[#This Row],[Infected]]</f>
        <v>Yes</v>
      </c>
      <c r="M26" s="6">
        <f>RANK(N26,$N$2:$N$51,1)+COUNTIF($N$2:N26,N26)-1</f>
        <v>29</v>
      </c>
      <c r="N26" s="5">
        <f>SQRT((Table4[[#This Row],[ExposureNormalized]]-$G$59)^2+(Table4[[#This Row],[MaritalStatusNormalized]]-$H$59)^2+(Table4[[#This Row],[MonthAtHospitalNormalized]]-$I$59)^2)</f>
        <v>0.52117779843145151</v>
      </c>
      <c r="O26" s="5" t="str">
        <f>Table4[[#This Row],[Infected]]</f>
        <v>Yes</v>
      </c>
      <c r="P26" s="6">
        <f>RANK(Q26,$Q$2:$Q$51,1)+COUNTIF($Q$2:Q26,Q26)-1</f>
        <v>5</v>
      </c>
      <c r="Q26" s="5">
        <f>SQRT((Table4[[#This Row],[ExposureNormalized]]-$G$60)^2+(Table4[[#This Row],[MaritalStatusNormalized]]-$H$60)^2+(Table4[[#This Row],[MonthAtHospitalNormalized]]-$I$60)^2)</f>
        <v>0.26511406437235213</v>
      </c>
      <c r="R26" s="5" t="str">
        <f>Table4[[#This Row],[Infected]]</f>
        <v>Yes</v>
      </c>
    </row>
    <row r="27" spans="1:18">
      <c r="A27" s="2">
        <v>3</v>
      </c>
      <c r="B27" s="3" t="s">
        <v>19</v>
      </c>
      <c r="C27" s="3">
        <v>8</v>
      </c>
      <c r="D27" s="3" t="s">
        <v>17</v>
      </c>
      <c r="F27" s="4">
        <f>Table2[[#This Row],[Exposure]]/4</f>
        <v>0.75</v>
      </c>
      <c r="G27" s="4">
        <f>IF(Table2[[#This Row],[MaritalStatus]]="Married",1,0.5)</f>
        <v>0.5</v>
      </c>
      <c r="H27" s="5">
        <f>Table2[[#This Row],[MonthAtHospital]]/MAX(Table2[MonthAtHospital])</f>
        <v>0.23529411764705882</v>
      </c>
      <c r="I27" s="5" t="str">
        <f>Table2[[#This Row],[Infected]]</f>
        <v>No</v>
      </c>
      <c r="J27" s="6">
        <f>RANK(K27,$K$2:$K$51,1)+COUNTIF($K$2:K27,K27)-1</f>
        <v>31</v>
      </c>
      <c r="K27" s="5">
        <f>SQRT((Table4[[#This Row],[ExposureNormalized]]-$G$58)^2+(Table4[[#This Row],[MaritalStatusNormalized]]-$H$58)^2+(Table4[[#This Row],[MonthAtHospitalNormalized]]-$I$58)^2)</f>
        <v>0.73646964856170083</v>
      </c>
      <c r="L27" s="5" t="str">
        <f>Table2[[#This Row],[Infected]]</f>
        <v>No</v>
      </c>
      <c r="M27" s="6">
        <f>RANK(N27,$N$2:$N$51,1)+COUNTIF($N$2:N27,N27)-1</f>
        <v>3</v>
      </c>
      <c r="N27" s="5">
        <f>SQRT((Table4[[#This Row],[ExposureNormalized]]-$G$59)^2+(Table4[[#This Row],[MaritalStatusNormalized]]-$H$59)^2+(Table4[[#This Row],[MonthAtHospitalNormalized]]-$I$59)^2)</f>
        <v>0.11764705882352941</v>
      </c>
      <c r="O27" s="5" t="str">
        <f>Table4[[#This Row],[Infected]]</f>
        <v>No</v>
      </c>
      <c r="P27" s="6">
        <f>RANK(Q27,$Q$2:$Q$51,1)+COUNTIF($Q$2:Q27,Q27)-1</f>
        <v>4</v>
      </c>
      <c r="Q27" s="5">
        <f>SQRT((Table4[[#This Row],[ExposureNormalized]]-$G$60)^2+(Table4[[#This Row],[MaritalStatusNormalized]]-$H$60)^2+(Table4[[#This Row],[MonthAtHospitalNormalized]]-$I$60)^2)</f>
        <v>0.25682719406724969</v>
      </c>
      <c r="R27" s="5" t="str">
        <f>Table4[[#This Row],[Infected]]</f>
        <v>No</v>
      </c>
    </row>
    <row r="28" spans="1:18">
      <c r="A28" s="2">
        <v>3</v>
      </c>
      <c r="B28" s="3" t="s">
        <v>16</v>
      </c>
      <c r="C28" s="3">
        <v>5</v>
      </c>
      <c r="D28" s="3" t="s">
        <v>17</v>
      </c>
      <c r="F28" s="4">
        <f>Table2[[#This Row],[Exposure]]/4</f>
        <v>0.75</v>
      </c>
      <c r="G28" s="4">
        <f>IF(Table2[[#This Row],[MaritalStatus]]="Married",1,0.5)</f>
        <v>1</v>
      </c>
      <c r="H28" s="5">
        <f>Table2[[#This Row],[MonthAtHospital]]/MAX(Table2[MonthAtHospital])</f>
        <v>0.14705882352941177</v>
      </c>
      <c r="I28" s="5" t="str">
        <f>Table2[[#This Row],[Infected]]</f>
        <v>No</v>
      </c>
      <c r="J28" s="6">
        <f>RANK(K28,$K$2:$K$51,1)+COUNTIF($K$2:K28,K28)-1</f>
        <v>18</v>
      </c>
      <c r="K28" s="5">
        <f>SQRT((Table4[[#This Row],[ExposureNormalized]]-$G$58)^2+(Table4[[#This Row],[MaritalStatusNormalized]]-$H$58)^2+(Table4[[#This Row],[MonthAtHospitalNormalized]]-$I$58)^2)</f>
        <v>0.51365438813449937</v>
      </c>
      <c r="L28" s="5" t="str">
        <f>Table2[[#This Row],[Infected]]</f>
        <v>No</v>
      </c>
      <c r="M28" s="6">
        <f>RANK(N28,$N$2:$N$51,1)+COUNTIF($N$2:N28,N28)-1</f>
        <v>18</v>
      </c>
      <c r="N28" s="5">
        <f>SQRT((Table4[[#This Row],[ExposureNormalized]]-$G$59)^2+(Table4[[#This Row],[MaritalStatusNormalized]]-$H$59)^2+(Table4[[#This Row],[MonthAtHospitalNormalized]]-$I$59)^2)</f>
        <v>0.50086430488018829</v>
      </c>
      <c r="O28" s="5" t="str">
        <f>Table4[[#This Row],[Infected]]</f>
        <v>No</v>
      </c>
      <c r="P28" s="6">
        <f>RANK(Q28,$Q$2:$Q$51,1)+COUNTIF($Q$2:Q28,Q28)-1</f>
        <v>30</v>
      </c>
      <c r="Q28" s="5">
        <f>SQRT((Table4[[#This Row],[ExposureNormalized]]-$G$60)^2+(Table4[[#This Row],[MaritalStatusNormalized]]-$H$60)^2+(Table4[[#This Row],[MonthAtHospitalNormalized]]-$I$60)^2)</f>
        <v>0.55979018560806704</v>
      </c>
      <c r="R28" s="5" t="str">
        <f>Table4[[#This Row],[Infected]]</f>
        <v>No</v>
      </c>
    </row>
    <row r="29" spans="1:18">
      <c r="A29" s="2">
        <v>3</v>
      </c>
      <c r="B29" s="3" t="s">
        <v>19</v>
      </c>
      <c r="C29" s="3">
        <v>1</v>
      </c>
      <c r="D29" s="3" t="s">
        <v>17</v>
      </c>
      <c r="F29" s="4">
        <f>Table2[[#This Row],[Exposure]]/4</f>
        <v>0.75</v>
      </c>
      <c r="G29" s="4">
        <f>IF(Table2[[#This Row],[MaritalStatus]]="Married",1,0.5)</f>
        <v>0.5</v>
      </c>
      <c r="H29" s="5">
        <f>Table2[[#This Row],[MonthAtHospital]]/MAX(Table2[MonthAtHospital])</f>
        <v>2.9411764705882353E-2</v>
      </c>
      <c r="I29" s="5" t="str">
        <f>Table2[[#This Row],[Infected]]</f>
        <v>No</v>
      </c>
      <c r="J29" s="6">
        <f>RANK(K29,$K$2:$K$51,1)+COUNTIF($K$2:K29,K29)-1</f>
        <v>29</v>
      </c>
      <c r="K29" s="5">
        <f>SQRT((Table4[[#This Row],[ExposureNormalized]]-$G$58)^2+(Table4[[#This Row],[MaritalStatusNormalized]]-$H$58)^2+(Table4[[#This Row],[MonthAtHospitalNormalized]]-$I$58)^2)</f>
        <v>0.70710678118654757</v>
      </c>
      <c r="L29" s="5" t="str">
        <f>Table2[[#This Row],[Infected]]</f>
        <v>No</v>
      </c>
      <c r="M29" s="6">
        <f>RANK(N29,$N$2:$N$51,1)+COUNTIF($N$2:N29,N29)-1</f>
        <v>2</v>
      </c>
      <c r="N29" s="5">
        <f>SQRT((Table4[[#This Row],[ExposureNormalized]]-$G$59)^2+(Table4[[#This Row],[MaritalStatusNormalized]]-$H$59)^2+(Table4[[#This Row],[MonthAtHospitalNormalized]]-$I$59)^2)</f>
        <v>8.8235294117647051E-2</v>
      </c>
      <c r="O29" s="5" t="str">
        <f>Table4[[#This Row],[Infected]]</f>
        <v>No</v>
      </c>
      <c r="P29" s="6">
        <f>RANK(Q29,$Q$2:$Q$51,1)+COUNTIF($Q$2:Q29,Q29)-1</f>
        <v>12</v>
      </c>
      <c r="Q29" s="5">
        <f>SQRT((Table4[[#This Row],[ExposureNormalized]]-$G$60)^2+(Table4[[#This Row],[MaritalStatusNormalized]]-$H$60)^2+(Table4[[#This Row],[MonthAtHospitalNormalized]]-$I$60)^2)</f>
        <v>0.29004533710758851</v>
      </c>
      <c r="R29" s="5" t="str">
        <f>Table4[[#This Row],[Infected]]</f>
        <v>No</v>
      </c>
    </row>
    <row r="30" spans="1:18">
      <c r="A30" s="2">
        <v>2</v>
      </c>
      <c r="B30" s="3" t="s">
        <v>16</v>
      </c>
      <c r="C30" s="3">
        <v>5</v>
      </c>
      <c r="D30" s="3" t="s">
        <v>18</v>
      </c>
      <c r="F30" s="4">
        <f>Table2[[#This Row],[Exposure]]/4</f>
        <v>0.5</v>
      </c>
      <c r="G30" s="4">
        <f>IF(Table2[[#This Row],[MaritalStatus]]="Married",1,0.5)</f>
        <v>1</v>
      </c>
      <c r="H30" s="5">
        <f>Table2[[#This Row],[MonthAtHospital]]/MAX(Table2[MonthAtHospital])</f>
        <v>0.14705882352941177</v>
      </c>
      <c r="I30" s="5" t="str">
        <f>Table2[[#This Row],[Infected]]</f>
        <v>Yes</v>
      </c>
      <c r="J30" s="6">
        <f>RANK(K30,$K$2:$K$51,1)+COUNTIF($K$2:K30,K30)-1</f>
        <v>6</v>
      </c>
      <c r="K30" s="5">
        <f>SQRT((Table4[[#This Row],[ExposureNormalized]]-$G$58)^2+(Table4[[#This Row],[MaritalStatusNormalized]]-$H$58)^2+(Table4[[#This Row],[MonthAtHospitalNormalized]]-$I$58)^2)</f>
        <v>0.27629844453023433</v>
      </c>
      <c r="L30" s="5" t="str">
        <f>Table2[[#This Row],[Infected]]</f>
        <v>Yes</v>
      </c>
      <c r="M30" s="6">
        <f>RANK(N30,$N$2:$N$51,1)+COUNTIF($N$2:N30,N30)-1</f>
        <v>35</v>
      </c>
      <c r="N30" s="5">
        <f>SQRT((Table4[[#This Row],[ExposureNormalized]]-$G$59)^2+(Table4[[#This Row],[MaritalStatusNormalized]]-$H$59)^2+(Table4[[#This Row],[MonthAtHospitalNormalized]]-$I$59)^2)</f>
        <v>0.55979018560806704</v>
      </c>
      <c r="O30" s="5" t="str">
        <f>Table4[[#This Row],[Infected]]</f>
        <v>Yes</v>
      </c>
      <c r="P30" s="6">
        <f>RANK(Q30,$Q$2:$Q$51,1)+COUNTIF($Q$2:Q30,Q30)-1</f>
        <v>17</v>
      </c>
      <c r="Q30" s="5">
        <f>SQRT((Table4[[#This Row],[ExposureNormalized]]-$G$60)^2+(Table4[[#This Row],[MaritalStatusNormalized]]-$H$60)^2+(Table4[[#This Row],[MonthAtHospitalNormalized]]-$I$60)^2)</f>
        <v>0.50086430488018829</v>
      </c>
      <c r="R30" s="5" t="str">
        <f>Table4[[#This Row],[Infected]]</f>
        <v>Yes</v>
      </c>
    </row>
    <row r="31" spans="1:18">
      <c r="A31" s="2">
        <v>4</v>
      </c>
      <c r="B31" s="3" t="s">
        <v>16</v>
      </c>
      <c r="C31" s="3">
        <v>18</v>
      </c>
      <c r="D31" s="3" t="s">
        <v>17</v>
      </c>
      <c r="F31" s="4">
        <f>Table2[[#This Row],[Exposure]]/4</f>
        <v>1</v>
      </c>
      <c r="G31" s="4">
        <f>IF(Table2[[#This Row],[MaritalStatus]]="Married",1,0.5)</f>
        <v>1</v>
      </c>
      <c r="H31" s="5">
        <f>Table2[[#This Row],[MonthAtHospital]]/MAX(Table2[MonthAtHospital])</f>
        <v>0.52941176470588236</v>
      </c>
      <c r="I31" s="5" t="str">
        <f>Table2[[#This Row],[Infected]]</f>
        <v>No</v>
      </c>
      <c r="J31" s="6">
        <f>RANK(K31,$K$2:$K$51,1)+COUNTIF($K$2:K31,K31)-1</f>
        <v>41</v>
      </c>
      <c r="K31" s="5">
        <f>SQRT((Table4[[#This Row],[ExposureNormalized]]-$G$58)^2+(Table4[[#This Row],[MaritalStatusNormalized]]-$H$58)^2+(Table4[[#This Row],[MonthAtHospitalNormalized]]-$I$58)^2)</f>
        <v>0.90138781886599728</v>
      </c>
      <c r="L31" s="5" t="str">
        <f>Table2[[#This Row],[Infected]]</f>
        <v>No</v>
      </c>
      <c r="M31" s="6">
        <f>RANK(N31,$N$2:$N$51,1)+COUNTIF($N$2:N31,N31)-1</f>
        <v>42</v>
      </c>
      <c r="N31" s="5">
        <f>SQRT((Table4[[#This Row],[ExposureNormalized]]-$G$59)^2+(Table4[[#This Row],[MaritalStatusNormalized]]-$H$59)^2+(Table4[[#This Row],[MonthAtHospitalNormalized]]-$I$59)^2)</f>
        <v>0.69429833141840447</v>
      </c>
      <c r="O31" s="5" t="str">
        <f>Table4[[#This Row],[Infected]]</f>
        <v>No</v>
      </c>
      <c r="P31" s="6">
        <f>RANK(Q31,$Q$2:$Q$51,1)+COUNTIF($Q$2:Q31,Q31)-1</f>
        <v>47</v>
      </c>
      <c r="Q31" s="5">
        <f>SQRT((Table4[[#This Row],[ExposureNormalized]]-$G$60)^2+(Table4[[#This Row],[MaritalStatusNormalized]]-$H$60)^2+(Table4[[#This Row],[MonthAtHospitalNormalized]]-$I$60)^2)</f>
        <v>0.79029581426731788</v>
      </c>
      <c r="R31" s="5" t="str">
        <f>Table4[[#This Row],[Infected]]</f>
        <v>No</v>
      </c>
    </row>
    <row r="32" spans="1:18">
      <c r="A32" s="2">
        <v>4</v>
      </c>
      <c r="B32" s="3" t="s">
        <v>16</v>
      </c>
      <c r="C32" s="3">
        <v>3</v>
      </c>
      <c r="D32" s="3" t="s">
        <v>17</v>
      </c>
      <c r="F32" s="4">
        <f>Table2[[#This Row],[Exposure]]/4</f>
        <v>1</v>
      </c>
      <c r="G32" s="4">
        <f>IF(Table2[[#This Row],[MaritalStatus]]="Married",1,0.5)</f>
        <v>1</v>
      </c>
      <c r="H32" s="5">
        <f>Table2[[#This Row],[MonthAtHospital]]/MAX(Table2[MonthAtHospital])</f>
        <v>8.8235294117647065E-2</v>
      </c>
      <c r="I32" s="5" t="str">
        <f>Table2[[#This Row],[Infected]]</f>
        <v>No</v>
      </c>
      <c r="J32" s="6">
        <f>RANK(K32,$K$2:$K$51,1)+COUNTIF($K$2:K32,K32)-1</f>
        <v>32</v>
      </c>
      <c r="K32" s="5">
        <f>SQRT((Table4[[#This Row],[ExposureNormalized]]-$G$58)^2+(Table4[[#This Row],[MaritalStatusNormalized]]-$H$58)^2+(Table4[[#This Row],[MonthAtHospitalNormalized]]-$I$58)^2)</f>
        <v>0.75230326837815664</v>
      </c>
      <c r="L32" s="5" t="str">
        <f>Table2[[#This Row],[Infected]]</f>
        <v>No</v>
      </c>
      <c r="M32" s="6">
        <f>RANK(N32,$N$2:$N$51,1)+COUNTIF($N$2:N32,N32)-1</f>
        <v>36</v>
      </c>
      <c r="N32" s="5">
        <f>SQRT((Table4[[#This Row],[ExposureNormalized]]-$G$59)^2+(Table4[[#This Row],[MaritalStatusNormalized]]-$H$59)^2+(Table4[[#This Row],[MonthAtHospitalNormalized]]-$I$59)^2)</f>
        <v>0.55979018560806704</v>
      </c>
      <c r="O32" s="5" t="str">
        <f>Table4[[#This Row],[Infected]]</f>
        <v>No</v>
      </c>
      <c r="P32" s="6">
        <f>RANK(Q32,$Q$2:$Q$51,1)+COUNTIF($Q$2:Q32,Q32)-1</f>
        <v>45</v>
      </c>
      <c r="Q32" s="5">
        <f>SQRT((Table4[[#This Row],[ExposureNormalized]]-$G$60)^2+(Table4[[#This Row],[MaritalStatusNormalized]]-$H$60)^2+(Table4[[#This Row],[MonthAtHospitalNormalized]]-$I$60)^2)</f>
        <v>0.71259067291680689</v>
      </c>
      <c r="R32" s="5" t="str">
        <f>Table4[[#This Row],[Infected]]</f>
        <v>No</v>
      </c>
    </row>
    <row r="33" spans="1:18">
      <c r="A33" s="2">
        <v>3</v>
      </c>
      <c r="B33" s="3" t="s">
        <v>19</v>
      </c>
      <c r="C33" s="3">
        <v>10</v>
      </c>
      <c r="D33" s="3" t="s">
        <v>17</v>
      </c>
      <c r="F33" s="4">
        <f>Table2[[#This Row],[Exposure]]/4</f>
        <v>0.75</v>
      </c>
      <c r="G33" s="4">
        <f>IF(Table2[[#This Row],[MaritalStatus]]="Married",1,0.5)</f>
        <v>0.5</v>
      </c>
      <c r="H33" s="5">
        <f>Table2[[#This Row],[MonthAtHospital]]/MAX(Table2[MonthAtHospital])</f>
        <v>0.29411764705882354</v>
      </c>
      <c r="I33" s="5" t="str">
        <f>Table2[[#This Row],[Infected]]</f>
        <v>No</v>
      </c>
      <c r="J33" s="6">
        <f>RANK(K33,$K$2:$K$51,1)+COUNTIF($K$2:K33,K33)-1</f>
        <v>34</v>
      </c>
      <c r="K33" s="5">
        <f>SQRT((Table4[[#This Row],[ExposureNormalized]]-$G$58)^2+(Table4[[#This Row],[MaritalStatusNormalized]]-$H$58)^2+(Table4[[#This Row],[MonthAtHospitalNormalized]]-$I$58)^2)</f>
        <v>0.75502927370549622</v>
      </c>
      <c r="L33" s="5" t="str">
        <f>Table2[[#This Row],[Infected]]</f>
        <v>No</v>
      </c>
      <c r="M33" s="6">
        <f>RANK(N33,$N$2:$N$51,1)+COUNTIF($N$2:N33,N33)-1</f>
        <v>4</v>
      </c>
      <c r="N33" s="5">
        <f>SQRT((Table4[[#This Row],[ExposureNormalized]]-$G$59)^2+(Table4[[#This Row],[MaritalStatusNormalized]]-$H$59)^2+(Table4[[#This Row],[MonthAtHospitalNormalized]]-$I$59)^2)</f>
        <v>0.17647058823529413</v>
      </c>
      <c r="O33" s="5" t="str">
        <f>Table4[[#This Row],[Infected]]</f>
        <v>No</v>
      </c>
      <c r="P33" s="6">
        <f>RANK(Q33,$Q$2:$Q$51,1)+COUNTIF($Q$2:Q33,Q33)-1</f>
        <v>9</v>
      </c>
      <c r="Q33" s="5">
        <f>SQRT((Table4[[#This Row],[ExposureNormalized]]-$G$60)^2+(Table4[[#This Row],[MaritalStatusNormalized]]-$H$60)^2+(Table4[[#This Row],[MonthAtHospitalNormalized]]-$I$60)^2)</f>
        <v>0.27629844453023433</v>
      </c>
      <c r="R33" s="5" t="str">
        <f>Table4[[#This Row],[Infected]]</f>
        <v>No</v>
      </c>
    </row>
    <row r="34" spans="1:18">
      <c r="A34" s="2">
        <v>1</v>
      </c>
      <c r="B34" s="3" t="s">
        <v>16</v>
      </c>
      <c r="C34" s="3">
        <v>10</v>
      </c>
      <c r="D34" s="3" t="s">
        <v>17</v>
      </c>
      <c r="F34" s="4">
        <f>Table2[[#This Row],[Exposure]]/4</f>
        <v>0.25</v>
      </c>
      <c r="G34" s="4">
        <f>IF(Table2[[#This Row],[MaritalStatus]]="Married",1,0.5)</f>
        <v>1</v>
      </c>
      <c r="H34" s="5">
        <f>Table2[[#This Row],[MonthAtHospital]]/MAX(Table2[MonthAtHospital])</f>
        <v>0.29411764705882354</v>
      </c>
      <c r="I34" s="5" t="str">
        <f>Table2[[#This Row],[Infected]]</f>
        <v>No</v>
      </c>
      <c r="J34" s="6">
        <f>RANK(K34,$K$2:$K$51,1)+COUNTIF($K$2:K34,K34)-1</f>
        <v>5</v>
      </c>
      <c r="K34" s="5">
        <f>SQRT((Table4[[#This Row],[ExposureNormalized]]-$G$58)^2+(Table4[[#This Row],[MaritalStatusNormalized]]-$H$58)^2+(Table4[[#This Row],[MonthAtHospitalNormalized]]-$I$58)^2)</f>
        <v>0.26470588235294118</v>
      </c>
      <c r="L34" s="5" t="str">
        <f>Table2[[#This Row],[Infected]]</f>
        <v>No</v>
      </c>
      <c r="M34" s="6">
        <f>RANK(N34,$N$2:$N$51,1)+COUNTIF($N$2:N34,N34)-1</f>
        <v>45</v>
      </c>
      <c r="N34" s="5">
        <f>SQRT((Table4[[#This Row],[ExposureNormalized]]-$G$59)^2+(Table4[[#This Row],[MaritalStatusNormalized]]-$H$59)^2+(Table4[[#This Row],[MonthAtHospitalNormalized]]-$I$59)^2)</f>
        <v>0.72879480549199216</v>
      </c>
      <c r="O34" s="5" t="str">
        <f>Table4[[#This Row],[Infected]]</f>
        <v>No</v>
      </c>
      <c r="P34" s="6">
        <f>RANK(Q34,$Q$2:$Q$51,1)+COUNTIF($Q$2:Q34,Q34)-1</f>
        <v>35</v>
      </c>
      <c r="Q34" s="5">
        <f>SQRT((Table4[[#This Row],[ExposureNormalized]]-$G$60)^2+(Table4[[#This Row],[MaritalStatusNormalized]]-$H$60)^2+(Table4[[#This Row],[MonthAtHospitalNormalized]]-$I$60)^2)</f>
        <v>0.57126248822220682</v>
      </c>
      <c r="R34" s="5" t="str">
        <f>Table4[[#This Row],[Infected]]</f>
        <v>No</v>
      </c>
    </row>
    <row r="35" spans="1:18">
      <c r="A35" s="2">
        <v>4</v>
      </c>
      <c r="B35" s="3" t="s">
        <v>16</v>
      </c>
      <c r="C35" s="3">
        <v>8</v>
      </c>
      <c r="D35" s="3" t="s">
        <v>17</v>
      </c>
      <c r="F35" s="4">
        <f>Table2[[#This Row],[Exposure]]/4</f>
        <v>1</v>
      </c>
      <c r="G35" s="4">
        <f>IF(Table2[[#This Row],[MaritalStatus]]="Married",1,0.5)</f>
        <v>1</v>
      </c>
      <c r="H35" s="5">
        <f>Table2[[#This Row],[MonthAtHospital]]/MAX(Table2[MonthAtHospital])</f>
        <v>0.23529411764705882</v>
      </c>
      <c r="I35" s="5" t="str">
        <f>Table2[[#This Row],[Infected]]</f>
        <v>No</v>
      </c>
      <c r="J35" s="6">
        <f>RANK(K35,$K$2:$K$51,1)+COUNTIF($K$2:K35,K35)-1</f>
        <v>37</v>
      </c>
      <c r="K35" s="5">
        <f>SQRT((Table4[[#This Row],[ExposureNormalized]]-$G$58)^2+(Table4[[#This Row],[MaritalStatusNormalized]]-$H$58)^2+(Table4[[#This Row],[MonthAtHospitalNormalized]]-$I$58)^2)</f>
        <v>0.77774516601043253</v>
      </c>
      <c r="L35" s="5" t="str">
        <f>Table2[[#This Row],[Infected]]</f>
        <v>No</v>
      </c>
      <c r="M35" s="6">
        <f>RANK(N35,$N$2:$N$51,1)+COUNTIF($N$2:N35,N35)-1</f>
        <v>40</v>
      </c>
      <c r="N35" s="5">
        <f>SQRT((Table4[[#This Row],[ExposureNormalized]]-$G$59)^2+(Table4[[#This Row],[MaritalStatusNormalized]]-$H$59)^2+(Table4[[#This Row],[MonthAtHospitalNormalized]]-$I$59)^2)</f>
        <v>0.57126248822220682</v>
      </c>
      <c r="O35" s="5" t="str">
        <f>Table4[[#This Row],[Infected]]</f>
        <v>No</v>
      </c>
      <c r="P35" s="6">
        <f>RANK(Q35,$Q$2:$Q$51,1)+COUNTIF($Q$2:Q35,Q35)-1</f>
        <v>44</v>
      </c>
      <c r="Q35" s="5">
        <f>SQRT((Table4[[#This Row],[ExposureNormalized]]-$G$60)^2+(Table4[[#This Row],[MaritalStatusNormalized]]-$H$60)^2+(Table4[[#This Row],[MonthAtHospitalNormalized]]-$I$60)^2)</f>
        <v>0.70954929893028351</v>
      </c>
      <c r="R35" s="5" t="str">
        <f>Table4[[#This Row],[Infected]]</f>
        <v>No</v>
      </c>
    </row>
    <row r="36" spans="1:18">
      <c r="A36" s="2">
        <v>2</v>
      </c>
      <c r="B36" s="3" t="s">
        <v>19</v>
      </c>
      <c r="C36" s="3">
        <v>5</v>
      </c>
      <c r="D36" s="3" t="s">
        <v>17</v>
      </c>
      <c r="F36" s="4">
        <f>Table2[[#This Row],[Exposure]]/4</f>
        <v>0.5</v>
      </c>
      <c r="G36" s="4">
        <f>IF(Table2[[#This Row],[MaritalStatus]]="Married",1,0.5)</f>
        <v>0.5</v>
      </c>
      <c r="H36" s="5">
        <f>Table2[[#This Row],[MonthAtHospital]]/MAX(Table2[MonthAtHospital])</f>
        <v>0.14705882352941177</v>
      </c>
      <c r="I36" s="5" t="str">
        <f>Table2[[#This Row],[Infected]]</f>
        <v>No</v>
      </c>
      <c r="J36" s="6">
        <f>RANK(K36,$K$2:$K$51,1)+COUNTIF($K$2:K36,K36)-1</f>
        <v>25</v>
      </c>
      <c r="K36" s="5">
        <f>SQRT((Table4[[#This Row],[ExposureNormalized]]-$G$58)^2+(Table4[[#This Row],[MaritalStatusNormalized]]-$H$58)^2+(Table4[[#This Row],[MonthAtHospitalNormalized]]-$I$58)^2)</f>
        <v>0.57126248822220682</v>
      </c>
      <c r="L36" s="5" t="str">
        <f>Table2[[#This Row],[Infected]]</f>
        <v>No</v>
      </c>
      <c r="M36" s="6">
        <f>RANK(N36,$N$2:$N$51,1)+COUNTIF($N$2:N36,N36)-1</f>
        <v>7</v>
      </c>
      <c r="N36" s="5">
        <f>SQRT((Table4[[#This Row],[ExposureNormalized]]-$G$59)^2+(Table4[[#This Row],[MaritalStatusNormalized]]-$H$59)^2+(Table4[[#This Row],[MonthAtHospitalNormalized]]-$I$59)^2)</f>
        <v>0.25172415836211309</v>
      </c>
      <c r="O36" s="5" t="str">
        <f>Table4[[#This Row],[Infected]]</f>
        <v>No</v>
      </c>
      <c r="P36" s="6">
        <f>RANK(Q36,$Q$2:$Q$51,1)+COUNTIF($Q$2:Q36,Q36)-1</f>
        <v>2</v>
      </c>
      <c r="Q36" s="5">
        <f>SQRT((Table4[[#This Row],[ExposureNormalized]]-$G$60)^2+(Table4[[#This Row],[MaritalStatusNormalized]]-$H$60)^2+(Table4[[#This Row],[MonthAtHospitalNormalized]]-$I$60)^2)</f>
        <v>2.9411764705882359E-2</v>
      </c>
      <c r="R36" s="5" t="str">
        <f>Table4[[#This Row],[Infected]]</f>
        <v>No</v>
      </c>
    </row>
    <row r="37" spans="1:18">
      <c r="A37" s="2">
        <v>1</v>
      </c>
      <c r="B37" s="3" t="s">
        <v>19</v>
      </c>
      <c r="C37" s="3">
        <v>3</v>
      </c>
      <c r="D37" s="3" t="s">
        <v>17</v>
      </c>
      <c r="F37" s="4">
        <f>Table2[[#This Row],[Exposure]]/4</f>
        <v>0.25</v>
      </c>
      <c r="G37" s="4">
        <f>IF(Table2[[#This Row],[MaritalStatus]]="Married",1,0.5)</f>
        <v>0.5</v>
      </c>
      <c r="H37" s="5">
        <f>Table2[[#This Row],[MonthAtHospital]]/MAX(Table2[MonthAtHospital])</f>
        <v>8.8235294117647065E-2</v>
      </c>
      <c r="I37" s="5" t="str">
        <f>Table2[[#This Row],[Infected]]</f>
        <v>No</v>
      </c>
      <c r="J37" s="6">
        <f>RANK(K37,$K$2:$K$51,1)+COUNTIF($K$2:K37,K37)-1</f>
        <v>17</v>
      </c>
      <c r="K37" s="5">
        <f>SQRT((Table4[[#This Row],[ExposureNormalized]]-$G$58)^2+(Table4[[#This Row],[MaritalStatusNormalized]]-$H$58)^2+(Table4[[#This Row],[MonthAtHospitalNormalized]]-$I$58)^2)</f>
        <v>0.50344831672422619</v>
      </c>
      <c r="L37" s="5" t="str">
        <f>Table2[[#This Row],[Infected]]</f>
        <v>No</v>
      </c>
      <c r="M37" s="6">
        <f>RANK(N37,$N$2:$N$51,1)+COUNTIF($N$2:N37,N37)-1</f>
        <v>19</v>
      </c>
      <c r="N37" s="5">
        <f>SQRT((Table4[[#This Row],[ExposureNormalized]]-$G$59)^2+(Table4[[#This Row],[MaritalStatusNormalized]]-$H$59)^2+(Table4[[#This Row],[MonthAtHospitalNormalized]]-$I$59)^2)</f>
        <v>0.50086430488018829</v>
      </c>
      <c r="O37" s="5" t="str">
        <f>Table4[[#This Row],[Infected]]</f>
        <v>No</v>
      </c>
      <c r="P37" s="6">
        <f>RANK(Q37,$Q$2:$Q$51,1)+COUNTIF($Q$2:Q37,Q37)-1</f>
        <v>8</v>
      </c>
      <c r="Q37" s="5">
        <f>SQRT((Table4[[#This Row],[ExposureNormalized]]-$G$60)^2+(Table4[[#This Row],[MaritalStatusNormalized]]-$H$60)^2+(Table4[[#This Row],[MonthAtHospitalNormalized]]-$I$60)^2)</f>
        <v>0.26511406437235219</v>
      </c>
      <c r="R37" s="5" t="str">
        <f>Table4[[#This Row],[Infected]]</f>
        <v>No</v>
      </c>
    </row>
    <row r="38" spans="1:18">
      <c r="A38" s="2">
        <v>3</v>
      </c>
      <c r="B38" s="3" t="s">
        <v>16</v>
      </c>
      <c r="C38" s="3">
        <v>2</v>
      </c>
      <c r="D38" s="3" t="s">
        <v>17</v>
      </c>
      <c r="F38" s="4">
        <f>Table2[[#This Row],[Exposure]]/4</f>
        <v>0.75</v>
      </c>
      <c r="G38" s="4">
        <f>IF(Table2[[#This Row],[MaritalStatus]]="Married",1,0.5)</f>
        <v>1</v>
      </c>
      <c r="H38" s="5">
        <f>Table2[[#This Row],[MonthAtHospital]]/MAX(Table2[MonthAtHospital])</f>
        <v>5.8823529411764705E-2</v>
      </c>
      <c r="I38" s="5" t="str">
        <f>Table2[[#This Row],[Infected]]</f>
        <v>No</v>
      </c>
      <c r="J38" s="6">
        <f>RANK(K38,$K$2:$K$51,1)+COUNTIF($K$2:K38,K38)-1</f>
        <v>15</v>
      </c>
      <c r="K38" s="5">
        <f>SQRT((Table4[[#This Row],[ExposureNormalized]]-$G$58)^2+(Table4[[#This Row],[MaritalStatusNormalized]]-$H$58)^2+(Table4[[#This Row],[MonthAtHospitalNormalized]]-$I$58)^2)</f>
        <v>0.50086430488018829</v>
      </c>
      <c r="L38" s="5" t="str">
        <f>Table2[[#This Row],[Infected]]</f>
        <v>No</v>
      </c>
      <c r="M38" s="6">
        <f>RANK(N38,$N$2:$N$51,1)+COUNTIF($N$2:N38,N38)-1</f>
        <v>24</v>
      </c>
      <c r="N38" s="5">
        <f>SQRT((Table4[[#This Row],[ExposureNormalized]]-$G$59)^2+(Table4[[#This Row],[MaritalStatusNormalized]]-$H$59)^2+(Table4[[#This Row],[MonthAtHospitalNormalized]]-$I$59)^2)</f>
        <v>0.50344831672422619</v>
      </c>
      <c r="O38" s="5" t="str">
        <f>Table4[[#This Row],[Infected]]</f>
        <v>No</v>
      </c>
      <c r="P38" s="6">
        <f>RANK(Q38,$Q$2:$Q$51,1)+COUNTIF($Q$2:Q38,Q38)-1</f>
        <v>36</v>
      </c>
      <c r="Q38" s="5">
        <f>SQRT((Table4[[#This Row],[ExposureNormalized]]-$G$60)^2+(Table4[[#This Row],[MaritalStatusNormalized]]-$H$60)^2+(Table4[[#This Row],[MonthAtHospitalNormalized]]-$I$60)^2)</f>
        <v>0.57126248822220682</v>
      </c>
      <c r="R38" s="5" t="str">
        <f>Table4[[#This Row],[Infected]]</f>
        <v>No</v>
      </c>
    </row>
    <row r="39" spans="1:18">
      <c r="A39" s="2">
        <v>4</v>
      </c>
      <c r="B39" s="3" t="s">
        <v>19</v>
      </c>
      <c r="C39" s="3">
        <v>5</v>
      </c>
      <c r="D39" s="3" t="s">
        <v>17</v>
      </c>
      <c r="F39" s="4">
        <f>Table2[[#This Row],[Exposure]]/4</f>
        <v>1</v>
      </c>
      <c r="G39" s="4">
        <f>IF(Table2[[#This Row],[MaritalStatus]]="Married",1,0.5)</f>
        <v>0.5</v>
      </c>
      <c r="H39" s="5">
        <f>Table2[[#This Row],[MonthAtHospital]]/MAX(Table2[MonthAtHospital])</f>
        <v>0.14705882352941177</v>
      </c>
      <c r="I39" s="5" t="str">
        <f>Table2[[#This Row],[Infected]]</f>
        <v>No</v>
      </c>
      <c r="J39" s="6">
        <f>RANK(K39,$K$2:$K$51,1)+COUNTIF($K$2:K39,K39)-1</f>
        <v>45</v>
      </c>
      <c r="K39" s="5">
        <f>SQRT((Table4[[#This Row],[ExposureNormalized]]-$G$58)^2+(Table4[[#This Row],[MaritalStatusNormalized]]-$H$58)^2+(Table4[[#This Row],[MonthAtHospitalNormalized]]-$I$58)^2)</f>
        <v>0.90903290944268178</v>
      </c>
      <c r="L39" s="5" t="str">
        <f>Table2[[#This Row],[Infected]]</f>
        <v>No</v>
      </c>
      <c r="M39" s="6">
        <f>RANK(N39,$N$2:$N$51,1)+COUNTIF($N$2:N39,N39)-1</f>
        <v>8</v>
      </c>
      <c r="N39" s="5">
        <f>SQRT((Table4[[#This Row],[ExposureNormalized]]-$G$59)^2+(Table4[[#This Row],[MaritalStatusNormalized]]-$H$59)^2+(Table4[[#This Row],[MonthAtHospitalNormalized]]-$I$59)^2)</f>
        <v>0.25172415836211309</v>
      </c>
      <c r="O39" s="5" t="str">
        <f>Table4[[#This Row],[Infected]]</f>
        <v>No</v>
      </c>
      <c r="P39" s="6">
        <f>RANK(Q39,$Q$2:$Q$51,1)+COUNTIF($Q$2:Q39,Q39)-1</f>
        <v>18</v>
      </c>
      <c r="Q39" s="5">
        <f>SQRT((Table4[[#This Row],[ExposureNormalized]]-$G$60)^2+(Table4[[#This Row],[MaritalStatusNormalized]]-$H$60)^2+(Table4[[#This Row],[MonthAtHospitalNormalized]]-$I$60)^2)</f>
        <v>0.50086430488018829</v>
      </c>
      <c r="R39" s="5" t="str">
        <f>Table4[[#This Row],[Infected]]</f>
        <v>No</v>
      </c>
    </row>
    <row r="40" spans="1:18">
      <c r="A40" s="2">
        <v>1</v>
      </c>
      <c r="B40" s="3" t="s">
        <v>16</v>
      </c>
      <c r="C40" s="3">
        <v>34</v>
      </c>
      <c r="D40" s="3" t="s">
        <v>17</v>
      </c>
      <c r="F40" s="4">
        <f>Table2[[#This Row],[Exposure]]/4</f>
        <v>0.25</v>
      </c>
      <c r="G40" s="4">
        <f>IF(Table2[[#This Row],[MaritalStatus]]="Married",1,0.5)</f>
        <v>1</v>
      </c>
      <c r="H40" s="5">
        <f>Table2[[#This Row],[MonthAtHospital]]/MAX(Table2[MonthAtHospital])</f>
        <v>1</v>
      </c>
      <c r="I40" s="5" t="str">
        <f>Table2[[#This Row],[Infected]]</f>
        <v>No</v>
      </c>
      <c r="J40" s="6">
        <f>RANK(K40,$K$2:$K$51,1)+COUNTIF($K$2:K40,K40)-1</f>
        <v>49</v>
      </c>
      <c r="K40" s="5">
        <f>SQRT((Table4[[#This Row],[ExposureNormalized]]-$G$58)^2+(Table4[[#This Row],[MaritalStatusNormalized]]-$H$58)^2+(Table4[[#This Row],[MonthAtHospitalNormalized]]-$I$58)^2)</f>
        <v>0.97058823529411764</v>
      </c>
      <c r="L40" s="5" t="str">
        <f>Table2[[#This Row],[Infected]]</f>
        <v>No</v>
      </c>
      <c r="M40" s="6">
        <f>RANK(N40,$N$2:$N$51,1)+COUNTIF($N$2:N40,N40)-1</f>
        <v>50</v>
      </c>
      <c r="N40" s="5">
        <f>SQRT((Table4[[#This Row],[ExposureNormalized]]-$G$59)^2+(Table4[[#This Row],[MaritalStatusNormalized]]-$H$59)^2+(Table4[[#This Row],[MonthAtHospitalNormalized]]-$I$59)^2)</f>
        <v>1.1307283992200639</v>
      </c>
      <c r="O40" s="5" t="str">
        <f>Table4[[#This Row],[Infected]]</f>
        <v>No</v>
      </c>
      <c r="P40" s="6">
        <f>RANK(Q40,$Q$2:$Q$51,1)+COUNTIF($Q$2:Q40,Q40)-1</f>
        <v>50</v>
      </c>
      <c r="Q40" s="5">
        <f>SQRT((Table4[[#This Row],[ExposureNormalized]]-$G$60)^2+(Table4[[#This Row],[MaritalStatusNormalized]]-$H$60)^2+(Table4[[#This Row],[MonthAtHospitalNormalized]]-$I$60)^2)</f>
        <v>0.99533948582457155</v>
      </c>
      <c r="R40" s="5" t="str">
        <f>Table4[[#This Row],[Infected]]</f>
        <v>No</v>
      </c>
    </row>
    <row r="41" spans="1:18">
      <c r="A41" s="2">
        <v>3</v>
      </c>
      <c r="B41" s="3" t="s">
        <v>16</v>
      </c>
      <c r="C41" s="3">
        <v>2</v>
      </c>
      <c r="D41" s="3" t="s">
        <v>18</v>
      </c>
      <c r="F41" s="4">
        <f>Table2[[#This Row],[Exposure]]/4</f>
        <v>0.75</v>
      </c>
      <c r="G41" s="4">
        <f>IF(Table2[[#This Row],[MaritalStatus]]="Married",1,0.5)</f>
        <v>1</v>
      </c>
      <c r="H41" s="5">
        <f>Table2[[#This Row],[MonthAtHospital]]/MAX(Table2[MonthAtHospital])</f>
        <v>5.8823529411764705E-2</v>
      </c>
      <c r="I41" s="5" t="str">
        <f>Table2[[#This Row],[Infected]]</f>
        <v>Yes</v>
      </c>
      <c r="J41" s="6">
        <f>RANK(K41,$K$2:$K$51,1)+COUNTIF($K$2:K41,K41)-1</f>
        <v>16</v>
      </c>
      <c r="K41" s="5">
        <f>SQRT((Table4[[#This Row],[ExposureNormalized]]-$G$58)^2+(Table4[[#This Row],[MaritalStatusNormalized]]-$H$58)^2+(Table4[[#This Row],[MonthAtHospitalNormalized]]-$I$58)^2)</f>
        <v>0.50086430488018829</v>
      </c>
      <c r="L41" s="5" t="str">
        <f>Table2[[#This Row],[Infected]]</f>
        <v>Yes</v>
      </c>
      <c r="M41" s="6">
        <f>RANK(N41,$N$2:$N$51,1)+COUNTIF($N$2:N41,N41)-1</f>
        <v>25</v>
      </c>
      <c r="N41" s="5">
        <f>SQRT((Table4[[#This Row],[ExposureNormalized]]-$G$59)^2+(Table4[[#This Row],[MaritalStatusNormalized]]-$H$59)^2+(Table4[[#This Row],[MonthAtHospitalNormalized]]-$I$59)^2)</f>
        <v>0.50344831672422619</v>
      </c>
      <c r="O41" s="5" t="str">
        <f>Table4[[#This Row],[Infected]]</f>
        <v>Yes</v>
      </c>
      <c r="P41" s="6">
        <f>RANK(Q41,$Q$2:$Q$51,1)+COUNTIF($Q$2:Q41,Q41)-1</f>
        <v>37</v>
      </c>
      <c r="Q41" s="5">
        <f>SQRT((Table4[[#This Row],[ExposureNormalized]]-$G$60)^2+(Table4[[#This Row],[MaritalStatusNormalized]]-$H$60)^2+(Table4[[#This Row],[MonthAtHospitalNormalized]]-$I$60)^2)</f>
        <v>0.57126248822220682</v>
      </c>
      <c r="R41" s="5" t="str">
        <f>Table4[[#This Row],[Infected]]</f>
        <v>Yes</v>
      </c>
    </row>
    <row r="42" spans="1:18">
      <c r="A42" s="2">
        <v>4</v>
      </c>
      <c r="B42" s="3" t="s">
        <v>16</v>
      </c>
      <c r="C42" s="3">
        <v>3</v>
      </c>
      <c r="D42" s="3" t="s">
        <v>17</v>
      </c>
      <c r="F42" s="4">
        <f>Table2[[#This Row],[Exposure]]/4</f>
        <v>1</v>
      </c>
      <c r="G42" s="4">
        <f>IF(Table2[[#This Row],[MaritalStatus]]="Married",1,0.5)</f>
        <v>1</v>
      </c>
      <c r="H42" s="5">
        <f>Table2[[#This Row],[MonthAtHospital]]/MAX(Table2[MonthAtHospital])</f>
        <v>8.8235294117647065E-2</v>
      </c>
      <c r="I42" s="5" t="str">
        <f>Table2[[#This Row],[Infected]]</f>
        <v>No</v>
      </c>
      <c r="J42" s="6">
        <f>RANK(K42,$K$2:$K$51,1)+COUNTIF($K$2:K42,K42)-1</f>
        <v>33</v>
      </c>
      <c r="K42" s="5">
        <f>SQRT((Table4[[#This Row],[ExposureNormalized]]-$G$58)^2+(Table4[[#This Row],[MaritalStatusNormalized]]-$H$58)^2+(Table4[[#This Row],[MonthAtHospitalNormalized]]-$I$58)^2)</f>
        <v>0.75230326837815664</v>
      </c>
      <c r="L42" s="5" t="str">
        <f>Table2[[#This Row],[Infected]]</f>
        <v>No</v>
      </c>
      <c r="M42" s="6">
        <f>RANK(N42,$N$2:$N$51,1)+COUNTIF($N$2:N42,N42)-1</f>
        <v>37</v>
      </c>
      <c r="N42" s="5">
        <f>SQRT((Table4[[#This Row],[ExposureNormalized]]-$G$59)^2+(Table4[[#This Row],[MaritalStatusNormalized]]-$H$59)^2+(Table4[[#This Row],[MonthAtHospitalNormalized]]-$I$59)^2)</f>
        <v>0.55979018560806704</v>
      </c>
      <c r="O42" s="5" t="str">
        <f>Table4[[#This Row],[Infected]]</f>
        <v>No</v>
      </c>
      <c r="P42" s="6">
        <f>RANK(Q42,$Q$2:$Q$51,1)+COUNTIF($Q$2:Q42,Q42)-1</f>
        <v>46</v>
      </c>
      <c r="Q42" s="5">
        <f>SQRT((Table4[[#This Row],[ExposureNormalized]]-$G$60)^2+(Table4[[#This Row],[MaritalStatusNormalized]]-$H$60)^2+(Table4[[#This Row],[MonthAtHospitalNormalized]]-$I$60)^2)</f>
        <v>0.71259067291680689</v>
      </c>
      <c r="R42" s="5" t="str">
        <f>Table4[[#This Row],[Infected]]</f>
        <v>No</v>
      </c>
    </row>
    <row r="43" spans="1:18">
      <c r="A43" s="2">
        <v>4</v>
      </c>
      <c r="B43" s="3" t="s">
        <v>19</v>
      </c>
      <c r="C43" s="3">
        <v>1</v>
      </c>
      <c r="D43" s="3" t="s">
        <v>17</v>
      </c>
      <c r="F43" s="4">
        <f>Table2[[#This Row],[Exposure]]/4</f>
        <v>1</v>
      </c>
      <c r="G43" s="4">
        <f>IF(Table2[[#This Row],[MaritalStatus]]="Married",1,0.5)</f>
        <v>0.5</v>
      </c>
      <c r="H43" s="5">
        <f>Table2[[#This Row],[MonthAtHospital]]/MAX(Table2[MonthAtHospital])</f>
        <v>2.9411764705882353E-2</v>
      </c>
      <c r="I43" s="5" t="str">
        <f>Table2[[#This Row],[Infected]]</f>
        <v>No</v>
      </c>
      <c r="J43" s="6">
        <f>RANK(K43,$K$2:$K$51,1)+COUNTIF($K$2:K43,K43)-1</f>
        <v>42</v>
      </c>
      <c r="K43" s="5">
        <f>SQRT((Table4[[#This Row],[ExposureNormalized]]-$G$58)^2+(Table4[[#This Row],[MaritalStatusNormalized]]-$H$58)^2+(Table4[[#This Row],[MonthAtHospitalNormalized]]-$I$58)^2)</f>
        <v>0.90138781886599728</v>
      </c>
      <c r="L43" s="5" t="str">
        <f>Table2[[#This Row],[Infected]]</f>
        <v>No</v>
      </c>
      <c r="M43" s="6">
        <f>RANK(N43,$N$2:$N$51,1)+COUNTIF($N$2:N43,N43)-1</f>
        <v>17</v>
      </c>
      <c r="N43" s="5">
        <f>SQRT((Table4[[#This Row],[ExposureNormalized]]-$G$59)^2+(Table4[[#This Row],[MaritalStatusNormalized]]-$H$59)^2+(Table4[[#This Row],[MonthAtHospitalNormalized]]-$I$59)^2)</f>
        <v>0.26511406437235213</v>
      </c>
      <c r="O43" s="5" t="str">
        <f>Table4[[#This Row],[Infected]]</f>
        <v>No</v>
      </c>
      <c r="P43" s="6">
        <f>RANK(Q43,$Q$2:$Q$51,1)+COUNTIF($Q$2:Q43,Q43)-1</f>
        <v>25</v>
      </c>
      <c r="Q43" s="5">
        <f>SQRT((Table4[[#This Row],[ExposureNormalized]]-$G$60)^2+(Table4[[#This Row],[MaritalStatusNormalized]]-$H$60)^2+(Table4[[#This Row],[MonthAtHospitalNormalized]]-$I$60)^2)</f>
        <v>0.52117779843145151</v>
      </c>
      <c r="R43" s="5" t="str">
        <f>Table4[[#This Row],[Infected]]</f>
        <v>No</v>
      </c>
    </row>
    <row r="44" spans="1:18">
      <c r="A44" s="2">
        <v>1</v>
      </c>
      <c r="B44" s="3" t="s">
        <v>16</v>
      </c>
      <c r="C44" s="3">
        <v>6</v>
      </c>
      <c r="D44" s="3" t="s">
        <v>17</v>
      </c>
      <c r="F44" s="4">
        <f>Table2[[#This Row],[Exposure]]/4</f>
        <v>0.25</v>
      </c>
      <c r="G44" s="4">
        <f>IF(Table2[[#This Row],[MaritalStatus]]="Married",1,0.5)</f>
        <v>1</v>
      </c>
      <c r="H44" s="5">
        <f>Table2[[#This Row],[MonthAtHospital]]/MAX(Table2[MonthAtHospital])</f>
        <v>0.17647058823529413</v>
      </c>
      <c r="I44" s="5" t="str">
        <f>Table2[[#This Row],[Infected]]</f>
        <v>No</v>
      </c>
      <c r="J44" s="6">
        <f>RANK(K44,$K$2:$K$51,1)+COUNTIF($K$2:K44,K44)-1</f>
        <v>1</v>
      </c>
      <c r="K44" s="5">
        <f>SQRT((Table4[[#This Row],[ExposureNormalized]]-$G$58)^2+(Table4[[#This Row],[MaritalStatusNormalized]]-$H$58)^2+(Table4[[#This Row],[MonthAtHospitalNormalized]]-$I$58)^2)</f>
        <v>0.14705882352941177</v>
      </c>
      <c r="L44" s="5" t="str">
        <f>Table2[[#This Row],[Infected]]</f>
        <v>No</v>
      </c>
      <c r="M44" s="6">
        <f>RANK(N44,$N$2:$N$51,1)+COUNTIF($N$2:N44,N44)-1</f>
        <v>43</v>
      </c>
      <c r="N44" s="5">
        <f>SQRT((Table4[[#This Row],[ExposureNormalized]]-$G$59)^2+(Table4[[#This Row],[MaritalStatusNormalized]]-$H$59)^2+(Table4[[#This Row],[MonthAtHospitalNormalized]]-$I$59)^2)</f>
        <v>0.70954929893028351</v>
      </c>
      <c r="O44" s="5" t="str">
        <f>Table4[[#This Row],[Infected]]</f>
        <v>No</v>
      </c>
      <c r="P44" s="6">
        <f>RANK(Q44,$Q$2:$Q$51,1)+COUNTIF($Q$2:Q44,Q44)-1</f>
        <v>26</v>
      </c>
      <c r="Q44" s="5">
        <f>SQRT((Table4[[#This Row],[ExposureNormalized]]-$G$60)^2+(Table4[[#This Row],[MaritalStatusNormalized]]-$H$60)^2+(Table4[[#This Row],[MonthAtHospitalNormalized]]-$I$60)^2)</f>
        <v>0.55901699437494745</v>
      </c>
      <c r="R44" s="5" t="str">
        <f>Table4[[#This Row],[Infected]]</f>
        <v>No</v>
      </c>
    </row>
    <row r="45" spans="1:18">
      <c r="A45" s="2">
        <v>4</v>
      </c>
      <c r="B45" s="3" t="s">
        <v>19</v>
      </c>
      <c r="C45" s="3">
        <v>2</v>
      </c>
      <c r="D45" s="3" t="s">
        <v>17</v>
      </c>
      <c r="F45" s="4">
        <f>Table2[[#This Row],[Exposure]]/4</f>
        <v>1</v>
      </c>
      <c r="G45" s="4">
        <f>IF(Table2[[#This Row],[MaritalStatus]]="Married",1,0.5)</f>
        <v>0.5</v>
      </c>
      <c r="H45" s="5">
        <f>Table2[[#This Row],[MonthAtHospital]]/MAX(Table2[MonthAtHospital])</f>
        <v>5.8823529411764705E-2</v>
      </c>
      <c r="I45" s="5" t="str">
        <f>Table2[[#This Row],[Infected]]</f>
        <v>No</v>
      </c>
      <c r="J45" s="6">
        <f>RANK(K45,$K$2:$K$51,1)+COUNTIF($K$2:K45,K45)-1</f>
        <v>43</v>
      </c>
      <c r="K45" s="5">
        <f>SQRT((Table4[[#This Row],[ExposureNormalized]]-$G$58)^2+(Table4[[#This Row],[MaritalStatusNormalized]]-$H$58)^2+(Table4[[#This Row],[MonthAtHospitalNormalized]]-$I$58)^2)</f>
        <v>0.90186753567423317</v>
      </c>
      <c r="L45" s="5" t="str">
        <f>Table2[[#This Row],[Infected]]</f>
        <v>No</v>
      </c>
      <c r="M45" s="6">
        <f>RANK(N45,$N$2:$N$51,1)+COUNTIF($N$2:N45,N45)-1</f>
        <v>11</v>
      </c>
      <c r="N45" s="5">
        <f>SQRT((Table4[[#This Row],[ExposureNormalized]]-$G$59)^2+(Table4[[#This Row],[MaritalStatusNormalized]]-$H$59)^2+(Table4[[#This Row],[MonthAtHospitalNormalized]]-$I$59)^2)</f>
        <v>0.25682719406724969</v>
      </c>
      <c r="O45" s="5" t="str">
        <f>Table4[[#This Row],[Infected]]</f>
        <v>No</v>
      </c>
      <c r="P45" s="6">
        <f>RANK(Q45,$Q$2:$Q$51,1)+COUNTIF($Q$2:Q45,Q45)-1</f>
        <v>20</v>
      </c>
      <c r="Q45" s="5">
        <f>SQRT((Table4[[#This Row],[ExposureNormalized]]-$G$60)^2+(Table4[[#This Row],[MaritalStatusNormalized]]-$H$60)^2+(Table4[[#This Row],[MonthAtHospitalNormalized]]-$I$60)^2)</f>
        <v>0.51365438813449937</v>
      </c>
      <c r="R45" s="5" t="str">
        <f>Table4[[#This Row],[Infected]]</f>
        <v>No</v>
      </c>
    </row>
    <row r="46" spans="1:18">
      <c r="A46" s="2">
        <v>3</v>
      </c>
      <c r="B46" s="3" t="s">
        <v>16</v>
      </c>
      <c r="C46" s="3">
        <v>19</v>
      </c>
      <c r="D46" s="3" t="s">
        <v>17</v>
      </c>
      <c r="F46" s="4">
        <f>Table2[[#This Row],[Exposure]]/4</f>
        <v>0.75</v>
      </c>
      <c r="G46" s="4">
        <f>IF(Table2[[#This Row],[MaritalStatus]]="Married",1,0.5)</f>
        <v>1</v>
      </c>
      <c r="H46" s="5">
        <f>Table2[[#This Row],[MonthAtHospital]]/MAX(Table2[MonthAtHospital])</f>
        <v>0.55882352941176472</v>
      </c>
      <c r="I46" s="5" t="str">
        <f>Table2[[#This Row],[Infected]]</f>
        <v>No</v>
      </c>
      <c r="J46" s="6">
        <f>RANK(K46,$K$2:$K$51,1)+COUNTIF($K$2:K46,K46)-1</f>
        <v>30</v>
      </c>
      <c r="K46" s="5">
        <f>SQRT((Table4[[#This Row],[ExposureNormalized]]-$G$58)^2+(Table4[[#This Row],[MaritalStatusNormalized]]-$H$58)^2+(Table4[[#This Row],[MonthAtHospitalNormalized]]-$I$58)^2)</f>
        <v>0.72820108253764404</v>
      </c>
      <c r="L46" s="5" t="str">
        <f>Table2[[#This Row],[Infected]]</f>
        <v>No</v>
      </c>
      <c r="M46" s="6">
        <f>RANK(N46,$N$2:$N$51,1)+COUNTIF($N$2:N46,N46)-1</f>
        <v>41</v>
      </c>
      <c r="N46" s="5">
        <f>SQRT((Table4[[#This Row],[ExposureNormalized]]-$G$59)^2+(Table4[[#This Row],[MaritalStatusNormalized]]-$H$59)^2+(Table4[[#This Row],[MonthAtHospitalNormalized]]-$I$59)^2)</f>
        <v>0.66681082639733136</v>
      </c>
      <c r="O46" s="5" t="str">
        <f>Table4[[#This Row],[Infected]]</f>
        <v>No</v>
      </c>
      <c r="P46" s="6">
        <f>RANK(Q46,$Q$2:$Q$51,1)+COUNTIF($Q$2:Q46,Q46)-1</f>
        <v>42</v>
      </c>
      <c r="Q46" s="5">
        <f>SQRT((Table4[[#This Row],[ExposureNormalized]]-$G$60)^2+(Table4[[#This Row],[MaritalStatusNormalized]]-$H$60)^2+(Table4[[#This Row],[MonthAtHospitalNormalized]]-$I$60)^2)</f>
        <v>0.67726934939232086</v>
      </c>
      <c r="R46" s="5" t="str">
        <f>Table4[[#This Row],[Infected]]</f>
        <v>No</v>
      </c>
    </row>
    <row r="47" spans="1:18">
      <c r="A47" s="2">
        <v>4</v>
      </c>
      <c r="B47" s="3" t="s">
        <v>19</v>
      </c>
      <c r="C47" s="3">
        <v>2</v>
      </c>
      <c r="D47" s="3" t="s">
        <v>17</v>
      </c>
      <c r="F47" s="4">
        <f>Table2[[#This Row],[Exposure]]/4</f>
        <v>1</v>
      </c>
      <c r="G47" s="4">
        <f>IF(Table2[[#This Row],[MaritalStatus]]="Married",1,0.5)</f>
        <v>0.5</v>
      </c>
      <c r="H47" s="5">
        <f>Table2[[#This Row],[MonthAtHospital]]/MAX(Table2[MonthAtHospital])</f>
        <v>5.8823529411764705E-2</v>
      </c>
      <c r="I47" s="5" t="str">
        <f>Table2[[#This Row],[Infected]]</f>
        <v>No</v>
      </c>
      <c r="J47" s="6">
        <f>RANK(K47,$K$2:$K$51,1)+COUNTIF($K$2:K47,K47)-1</f>
        <v>44</v>
      </c>
      <c r="K47" s="5">
        <f>SQRT((Table4[[#This Row],[ExposureNormalized]]-$G$58)^2+(Table4[[#This Row],[MaritalStatusNormalized]]-$H$58)^2+(Table4[[#This Row],[MonthAtHospitalNormalized]]-$I$58)^2)</f>
        <v>0.90186753567423317</v>
      </c>
      <c r="L47" s="5" t="str">
        <f>Table2[[#This Row],[Infected]]</f>
        <v>No</v>
      </c>
      <c r="M47" s="6">
        <f>RANK(N47,$N$2:$N$51,1)+COUNTIF($N$2:N47,N47)-1</f>
        <v>12</v>
      </c>
      <c r="N47" s="5">
        <f>SQRT((Table4[[#This Row],[ExposureNormalized]]-$G$59)^2+(Table4[[#This Row],[MaritalStatusNormalized]]-$H$59)^2+(Table4[[#This Row],[MonthAtHospitalNormalized]]-$I$59)^2)</f>
        <v>0.25682719406724969</v>
      </c>
      <c r="O47" s="5" t="str">
        <f>Table4[[#This Row],[Infected]]</f>
        <v>No</v>
      </c>
      <c r="P47" s="6">
        <f>RANK(Q47,$Q$2:$Q$51,1)+COUNTIF($Q$2:Q47,Q47)-1</f>
        <v>21</v>
      </c>
      <c r="Q47" s="5">
        <f>SQRT((Table4[[#This Row],[ExposureNormalized]]-$G$60)^2+(Table4[[#This Row],[MaritalStatusNormalized]]-$H$60)^2+(Table4[[#This Row],[MonthAtHospitalNormalized]]-$I$60)^2)</f>
        <v>0.51365438813449937</v>
      </c>
      <c r="R47" s="5" t="str">
        <f>Table4[[#This Row],[Infected]]</f>
        <v>No</v>
      </c>
    </row>
    <row r="48" spans="1:18">
      <c r="A48" s="2">
        <v>1</v>
      </c>
      <c r="B48" s="3" t="s">
        <v>19</v>
      </c>
      <c r="C48" s="3">
        <v>9</v>
      </c>
      <c r="D48" s="3" t="s">
        <v>18</v>
      </c>
      <c r="F48" s="4">
        <f>Table2[[#This Row],[Exposure]]/4</f>
        <v>0.25</v>
      </c>
      <c r="G48" s="4">
        <f>IF(Table2[[#This Row],[MaritalStatus]]="Married",1,0.5)</f>
        <v>0.5</v>
      </c>
      <c r="H48" s="5">
        <f>Table2[[#This Row],[MonthAtHospital]]/MAX(Table2[MonthAtHospital])</f>
        <v>0.26470588235294118</v>
      </c>
      <c r="I48" s="5" t="str">
        <f>Table2[[#This Row],[Infected]]</f>
        <v>Yes</v>
      </c>
      <c r="J48" s="6">
        <f>RANK(K48,$K$2:$K$51,1)+COUNTIF($K$2:K48,K48)-1</f>
        <v>22</v>
      </c>
      <c r="K48" s="5">
        <f>SQRT((Table4[[#This Row],[ExposureNormalized]]-$G$58)^2+(Table4[[#This Row],[MaritalStatusNormalized]]-$H$58)^2+(Table4[[#This Row],[MonthAtHospitalNormalized]]-$I$58)^2)</f>
        <v>0.55259688906046867</v>
      </c>
      <c r="L48" s="5" t="str">
        <f>Table2[[#This Row],[Infected]]</f>
        <v>Yes</v>
      </c>
      <c r="M48" s="6">
        <f>RANK(N48,$N$2:$N$51,1)+COUNTIF($N$2:N48,N48)-1</f>
        <v>30</v>
      </c>
      <c r="N48" s="5">
        <f>SQRT((Table4[[#This Row],[ExposureNormalized]]-$G$59)^2+(Table4[[#This Row],[MaritalStatusNormalized]]-$H$59)^2+(Table4[[#This Row],[MonthAtHospitalNormalized]]-$I$59)^2)</f>
        <v>0.52117779843145151</v>
      </c>
      <c r="O48" s="5" t="str">
        <f>Table4[[#This Row],[Infected]]</f>
        <v>Yes</v>
      </c>
      <c r="P48" s="6">
        <f>RANK(Q48,$Q$2:$Q$51,1)+COUNTIF($Q$2:Q48,Q48)-1</f>
        <v>7</v>
      </c>
      <c r="Q48" s="5">
        <f>SQRT((Table4[[#This Row],[ExposureNormalized]]-$G$60)^2+(Table4[[#This Row],[MaritalStatusNormalized]]-$H$60)^2+(Table4[[#This Row],[MonthAtHospitalNormalized]]-$I$60)^2)</f>
        <v>0.26511406437235213</v>
      </c>
      <c r="R48" s="5" t="str">
        <f>Table4[[#This Row],[Infected]]</f>
        <v>Yes</v>
      </c>
    </row>
    <row r="49" spans="1:18">
      <c r="A49" s="2">
        <v>2</v>
      </c>
      <c r="B49" s="3" t="s">
        <v>19</v>
      </c>
      <c r="C49" s="3">
        <v>6</v>
      </c>
      <c r="D49" s="3" t="s">
        <v>17</v>
      </c>
      <c r="F49" s="4">
        <f>Table2[[#This Row],[Exposure]]/4</f>
        <v>0.5</v>
      </c>
      <c r="G49" s="4">
        <f>IF(Table2[[#This Row],[MaritalStatus]]="Married",1,0.5)</f>
        <v>0.5</v>
      </c>
      <c r="H49" s="5">
        <f>Table2[[#This Row],[MonthAtHospital]]/MAX(Table2[MonthAtHospital])</f>
        <v>0.17647058823529413</v>
      </c>
      <c r="I49" s="5" t="str">
        <f>Table2[[#This Row],[Infected]]</f>
        <v>No</v>
      </c>
      <c r="J49" s="6">
        <f>RANK(K49,$K$2:$K$51,1)+COUNTIF($K$2:K49,K49)-1</f>
        <v>26</v>
      </c>
      <c r="K49" s="5">
        <f>SQRT((Table4[[#This Row],[ExposureNormalized]]-$G$58)^2+(Table4[[#This Row],[MaritalStatusNormalized]]-$H$58)^2+(Table4[[#This Row],[MonthAtHospitalNormalized]]-$I$58)^2)</f>
        <v>0.5780365884421631</v>
      </c>
      <c r="L49" s="5" t="str">
        <f>Table2[[#This Row],[Infected]]</f>
        <v>No</v>
      </c>
      <c r="M49" s="6">
        <f>RANK(N49,$N$2:$N$51,1)+COUNTIF($N$2:N49,N49)-1</f>
        <v>13</v>
      </c>
      <c r="N49" s="5">
        <f>SQRT((Table4[[#This Row],[ExposureNormalized]]-$G$59)^2+(Table4[[#This Row],[MaritalStatusNormalized]]-$H$59)^2+(Table4[[#This Row],[MonthAtHospitalNormalized]]-$I$59)^2)</f>
        <v>0.25682719406724969</v>
      </c>
      <c r="O49" s="5" t="str">
        <f>Table4[[#This Row],[Infected]]</f>
        <v>No</v>
      </c>
      <c r="P49" s="6">
        <f>RANK(Q49,$Q$2:$Q$51,1)+COUNTIF($Q$2:Q49,Q49)-1</f>
        <v>1</v>
      </c>
      <c r="Q49" s="5">
        <f>SQRT((Table4[[#This Row],[ExposureNormalized]]-$G$60)^2+(Table4[[#This Row],[MaritalStatusNormalized]]-$H$60)^2+(Table4[[#This Row],[MonthAtHospitalNormalized]]-$I$60)^2)</f>
        <v>0</v>
      </c>
      <c r="R49" s="5" t="str">
        <f>Table4[[#This Row],[Infected]]</f>
        <v>No</v>
      </c>
    </row>
    <row r="50" spans="1:18">
      <c r="A50" s="2">
        <v>3</v>
      </c>
      <c r="B50" s="3" t="s">
        <v>16</v>
      </c>
      <c r="C50" s="3">
        <v>11</v>
      </c>
      <c r="D50" s="3" t="s">
        <v>17</v>
      </c>
      <c r="F50" s="4">
        <f>Table2[[#This Row],[Exposure]]/4</f>
        <v>0.75</v>
      </c>
      <c r="G50" s="4">
        <f>IF(Table2[[#This Row],[MaritalStatus]]="Married",1,0.5)</f>
        <v>1</v>
      </c>
      <c r="H50" s="5">
        <f>Table2[[#This Row],[MonthAtHospital]]/MAX(Table2[MonthAtHospital])</f>
        <v>0.3235294117647059</v>
      </c>
      <c r="I50" s="5" t="str">
        <f>Table2[[#This Row],[Infected]]</f>
        <v>No</v>
      </c>
      <c r="J50" s="6">
        <f>RANK(K50,$K$2:$K$51,1)+COUNTIF($K$2:K50,K50)-1</f>
        <v>27</v>
      </c>
      <c r="K50" s="5">
        <f>SQRT((Table4[[#This Row],[ExposureNormalized]]-$G$58)^2+(Table4[[#This Row],[MaritalStatusNormalized]]-$H$58)^2+(Table4[[#This Row],[MonthAtHospitalNormalized]]-$I$58)^2)</f>
        <v>0.58009067421517702</v>
      </c>
      <c r="L50" s="5" t="str">
        <f>Table2[[#This Row],[Infected]]</f>
        <v>No</v>
      </c>
      <c r="M50" s="6">
        <f>RANK(N50,$N$2:$N$51,1)+COUNTIF($N$2:N50,N50)-1</f>
        <v>32</v>
      </c>
      <c r="N50" s="5">
        <f>SQRT((Table4[[#This Row],[ExposureNormalized]]-$G$59)^2+(Table4[[#This Row],[MaritalStatusNormalized]]-$H$59)^2+(Table4[[#This Row],[MonthAtHospitalNormalized]]-$I$59)^2)</f>
        <v>0.54072871502500697</v>
      </c>
      <c r="O50" s="5" t="str">
        <f>Table4[[#This Row],[Infected]]</f>
        <v>No</v>
      </c>
      <c r="P50" s="6">
        <f>RANK(Q50,$Q$2:$Q$51,1)+COUNTIF($Q$2:Q50,Q50)-1</f>
        <v>39</v>
      </c>
      <c r="Q50" s="5">
        <f>SQRT((Table4[[#This Row],[ExposureNormalized]]-$G$60)^2+(Table4[[#This Row],[MaritalStatusNormalized]]-$H$60)^2+(Table4[[#This Row],[MonthAtHospitalNormalized]]-$I$60)^2)</f>
        <v>0.5780365884421631</v>
      </c>
      <c r="R50" s="5" t="str">
        <f>Table4[[#This Row],[Infected]]</f>
        <v>No</v>
      </c>
    </row>
    <row r="51" spans="1:18">
      <c r="A51" s="2">
        <v>4</v>
      </c>
      <c r="B51" s="3" t="s">
        <v>19</v>
      </c>
      <c r="C51" s="3">
        <v>6</v>
      </c>
      <c r="D51" s="3" t="s">
        <v>17</v>
      </c>
      <c r="F51" s="4">
        <f>Table2[[#This Row],[Exposure]]/4</f>
        <v>1</v>
      </c>
      <c r="G51" s="4">
        <f>IF(Table2[[#This Row],[MaritalStatus]]="Married",1,0.5)</f>
        <v>0.5</v>
      </c>
      <c r="H51" s="5">
        <f>Table2[[#This Row],[MonthAtHospital]]/MAX(Table2[MonthAtHospital])</f>
        <v>0.17647058823529413</v>
      </c>
      <c r="I51" s="5" t="str">
        <f>Table2[[#This Row],[Infected]]</f>
        <v>No</v>
      </c>
      <c r="J51" s="6">
        <f>RANK(K51,$K$2:$K$51,1)+COUNTIF($K$2:K51,K51)-1</f>
        <v>48</v>
      </c>
      <c r="K51" s="5">
        <f>SQRT((Table4[[#This Row],[ExposureNormalized]]-$G$58)^2+(Table4[[#This Row],[MaritalStatusNormalized]]-$H$58)^2+(Table4[[#This Row],[MonthAtHospitalNormalized]]-$I$58)^2)</f>
        <v>0.91330515030730819</v>
      </c>
      <c r="L51" s="5" t="str">
        <f>Table2[[#This Row],[Infected]]</f>
        <v>No</v>
      </c>
      <c r="M51" s="6">
        <f>RANK(N51,$N$2:$N$51,1)+COUNTIF($N$2:N51,N51)-1</f>
        <v>14</v>
      </c>
      <c r="N51" s="5">
        <f>SQRT((Table4[[#This Row],[ExposureNormalized]]-$G$59)^2+(Table4[[#This Row],[MaritalStatusNormalized]]-$H$59)^2+(Table4[[#This Row],[MonthAtHospitalNormalized]]-$I$59)^2)</f>
        <v>0.25682719406724969</v>
      </c>
      <c r="O51" s="5" t="str">
        <f>Table4[[#This Row],[Infected]]</f>
        <v>No</v>
      </c>
      <c r="P51" s="6">
        <f>RANK(Q51,$Q$2:$Q$51,1)+COUNTIF($Q$2:Q51,Q51)-1</f>
        <v>15</v>
      </c>
      <c r="Q51" s="5">
        <f>SQRT((Table4[[#This Row],[ExposureNormalized]]-$G$60)^2+(Table4[[#This Row],[MaritalStatusNormalized]]-$H$60)^2+(Table4[[#This Row],[MonthAtHospitalNormalized]]-$I$60)^2)</f>
        <v>0.5</v>
      </c>
      <c r="R51" s="5" t="str">
        <f>Table4[[#This Row],[Infected]]</f>
        <v>No</v>
      </c>
    </row>
    <row r="56" spans="1:18">
      <c r="A56" s="7" t="s">
        <v>20</v>
      </c>
    </row>
    <row r="57" spans="1:18">
      <c r="A57" s="4" t="s">
        <v>0</v>
      </c>
      <c r="B57" s="4" t="s">
        <v>1</v>
      </c>
      <c r="C57" s="4" t="s">
        <v>2</v>
      </c>
      <c r="D57" s="4" t="s">
        <v>3</v>
      </c>
      <c r="E57" s="4" t="s">
        <v>21</v>
      </c>
      <c r="G57" s="46" t="s">
        <v>4</v>
      </c>
      <c r="H57" s="47" t="s">
        <v>5</v>
      </c>
      <c r="I57" s="47" t="s">
        <v>6</v>
      </c>
      <c r="J57" s="47" t="s">
        <v>3</v>
      </c>
      <c r="L57" t="s">
        <v>22</v>
      </c>
      <c r="M57" t="s">
        <v>23</v>
      </c>
      <c r="N57" t="s">
        <v>24</v>
      </c>
      <c r="O57" t="s">
        <v>21</v>
      </c>
    </row>
    <row r="58" spans="1:18">
      <c r="A58" s="4">
        <v>1</v>
      </c>
      <c r="B58" s="4" t="s">
        <v>16</v>
      </c>
      <c r="C58" s="4">
        <v>1</v>
      </c>
      <c r="D58" s="4" t="s">
        <v>18</v>
      </c>
      <c r="E58" s="4"/>
      <c r="G58">
        <f>Table3[[#This Row],[Exposure]]/MAX(Table2[Exposure])</f>
        <v>0.25</v>
      </c>
      <c r="H58">
        <f>IF(Table3[[#This Row],[MaritalStatus]]="Married",1,0.5)</f>
        <v>1</v>
      </c>
      <c r="I58" s="8">
        <f>Table3[[#This Row],[MonthAtHospital]]/MAX(Table2[MonthAtHospital])</f>
        <v>2.9411764705882353E-2</v>
      </c>
      <c r="J58" t="str">
        <f>Table3[[#This Row],[Infected]]</f>
        <v>Yes</v>
      </c>
      <c r="L58" t="str">
        <f>VLOOKUP($I$63,Table4[[RankPoint1]:[Infected1]],3,FALSE)</f>
        <v>No</v>
      </c>
      <c r="M58" t="str">
        <f>VLOOKUP($I$64,Table4[[RankPoint1]:[Infected1]],3,FALSE)</f>
        <v>No</v>
      </c>
      <c r="N58" t="str">
        <f>VLOOKUP($I$65,Table4[[RankPoint1]:[Infected1]],3,FALSE)</f>
        <v>Yes</v>
      </c>
      <c r="O58" t="s">
        <v>17</v>
      </c>
    </row>
    <row r="59" spans="1:18">
      <c r="A59" s="4">
        <v>3</v>
      </c>
      <c r="B59" s="4" t="s">
        <v>19</v>
      </c>
      <c r="C59" s="4">
        <v>4</v>
      </c>
      <c r="D59" s="4" t="s">
        <v>17</v>
      </c>
      <c r="E59" s="4"/>
      <c r="G59">
        <f>Table3[[#This Row],[Exposure]]/MAX(Table2[Exposure])</f>
        <v>0.75</v>
      </c>
      <c r="H59">
        <f>IF(Table3[[#This Row],[MaritalStatus]]="Married",1,0.5)</f>
        <v>0.5</v>
      </c>
      <c r="I59" s="8">
        <f>Table3[[#This Row],[MonthAtHospital]]/MAX(Table2[MonthAtHospital])</f>
        <v>0.11764705882352941</v>
      </c>
      <c r="J59" t="str">
        <f>Table3[[#This Row],[Infected]]</f>
        <v>No</v>
      </c>
      <c r="L59" t="str">
        <f>VLOOKUP($I$63,Table4[[RankPoint2]:[Infected2]],3,FALSE)</f>
        <v>No</v>
      </c>
      <c r="M59" t="str">
        <f>VLOOKUP($I$64,Table4[[RankPoint2]:[Infected2]],3,FALSE)</f>
        <v>No</v>
      </c>
      <c r="N59" t="str">
        <f>VLOOKUP($I$65,Table4[[RankPoint2]:[Infected2]],3,FALSE)</f>
        <v>No</v>
      </c>
      <c r="O59" t="s">
        <v>17</v>
      </c>
    </row>
    <row r="60" spans="1:18">
      <c r="A60" s="4">
        <v>2</v>
      </c>
      <c r="B60" s="4" t="s">
        <v>19</v>
      </c>
      <c r="C60" s="4">
        <v>6</v>
      </c>
      <c r="D60" s="4" t="s">
        <v>18</v>
      </c>
      <c r="E60" s="4"/>
      <c r="G60">
        <f>Table3[[#This Row],[Exposure]]/MAX(Table2[Exposure])</f>
        <v>0.5</v>
      </c>
      <c r="H60">
        <f>IF(Table3[[#This Row],[MaritalStatus]]="Married",1,0.5)</f>
        <v>0.5</v>
      </c>
      <c r="I60" s="8">
        <f>Table3[[#This Row],[MonthAtHospital]]/MAX(Table2[MonthAtHospital])</f>
        <v>0.17647058823529413</v>
      </c>
      <c r="J60" t="str">
        <f>Table3[[#This Row],[Infected]]</f>
        <v>Yes</v>
      </c>
      <c r="L60" t="str">
        <f>VLOOKUP($I$63,Table4[[RankPoint3]:[Infected3]],3,FALSE)</f>
        <v>No</v>
      </c>
      <c r="M60" t="str">
        <f>VLOOKUP($I$64,Table4[[RankPoint3]:[Infected3]],3,FALSE)</f>
        <v>No</v>
      </c>
      <c r="N60" t="str">
        <f>VLOOKUP($I$65,Table4[[RankPoint3]:[Infected3]],3,FALSE)</f>
        <v>Yes</v>
      </c>
      <c r="O60" t="s">
        <v>17</v>
      </c>
    </row>
    <row r="62" spans="1:18">
      <c r="I62" s="48" t="s">
        <v>25</v>
      </c>
    </row>
    <row r="63" spans="1:18">
      <c r="I63" s="4">
        <v>1</v>
      </c>
    </row>
    <row r="64" spans="1:18">
      <c r="I64" s="4">
        <v>2</v>
      </c>
    </row>
    <row r="65" spans="9:9">
      <c r="I65" s="4">
        <v>3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7E851-3E1B-7542-84FC-696F0C21DB79}">
  <dimension ref="A1:K68"/>
  <sheetViews>
    <sheetView topLeftCell="A14" workbookViewId="0">
      <selection activeCell="I5" sqref="I5:K14"/>
    </sheetView>
  </sheetViews>
  <sheetFormatPr baseColWidth="10" defaultColWidth="8.83203125" defaultRowHeight="16"/>
  <cols>
    <col min="1" max="1" width="25.6640625" customWidth="1"/>
    <col min="2" max="2" width="14.33203125" customWidth="1"/>
    <col min="3" max="3" width="18.5" customWidth="1"/>
    <col min="4" max="4" width="10" customWidth="1"/>
    <col min="5" max="5" width="9.1640625" customWidth="1"/>
    <col min="6" max="6" width="18.33203125" customWidth="1"/>
    <col min="7" max="7" width="21.5" customWidth="1"/>
    <col min="8" max="8" width="22.1640625" customWidth="1"/>
    <col min="9" max="9" width="18.83203125" bestFit="1" customWidth="1"/>
    <col min="10" max="10" width="20.1640625" customWidth="1"/>
    <col min="11" max="11" width="24.5" customWidth="1"/>
    <col min="12" max="12" width="22.5" customWidth="1"/>
  </cols>
  <sheetData>
    <row r="1" spans="1:11" ht="37.5" customHeight="1">
      <c r="A1" s="51" t="s">
        <v>0</v>
      </c>
      <c r="B1" s="1" t="s">
        <v>27</v>
      </c>
      <c r="C1" s="1" t="s">
        <v>2</v>
      </c>
      <c r="D1" s="52" t="s">
        <v>3</v>
      </c>
      <c r="F1" s="9"/>
      <c r="I1" s="10"/>
    </row>
    <row r="2" spans="1:11">
      <c r="A2" s="49">
        <v>3</v>
      </c>
      <c r="B2" s="3">
        <v>1</v>
      </c>
      <c r="C2" s="3">
        <v>7</v>
      </c>
      <c r="D2" s="50" t="s">
        <v>17</v>
      </c>
    </row>
    <row r="3" spans="1:11">
      <c r="A3" s="49">
        <v>3</v>
      </c>
      <c r="B3" s="3">
        <v>1</v>
      </c>
      <c r="C3" s="3">
        <v>2</v>
      </c>
      <c r="D3" s="50" t="s">
        <v>18</v>
      </c>
    </row>
    <row r="4" spans="1:11" ht="17" thickBot="1">
      <c r="A4" s="49">
        <v>3</v>
      </c>
      <c r="B4" s="3">
        <v>1</v>
      </c>
      <c r="C4" s="3">
        <v>7</v>
      </c>
      <c r="D4" s="50" t="s">
        <v>17</v>
      </c>
    </row>
    <row r="5" spans="1:11">
      <c r="A5" s="49">
        <v>1</v>
      </c>
      <c r="B5" s="3">
        <v>1</v>
      </c>
      <c r="C5" s="3">
        <v>18</v>
      </c>
      <c r="D5" s="50" t="s">
        <v>17</v>
      </c>
      <c r="F5" s="11" t="s">
        <v>2</v>
      </c>
      <c r="G5" s="12" t="s">
        <v>28</v>
      </c>
      <c r="I5" s="56" t="s">
        <v>29</v>
      </c>
      <c r="J5" s="56" t="s">
        <v>30</v>
      </c>
      <c r="K5" s="19" t="s">
        <v>31</v>
      </c>
    </row>
    <row r="6" spans="1:11">
      <c r="A6" s="49">
        <v>4</v>
      </c>
      <c r="B6" s="3">
        <v>2</v>
      </c>
      <c r="C6" s="3">
        <v>1</v>
      </c>
      <c r="D6" s="50" t="s">
        <v>17</v>
      </c>
      <c r="F6" s="15" t="s">
        <v>32</v>
      </c>
      <c r="G6" s="16">
        <v>1</v>
      </c>
      <c r="I6" s="56">
        <v>1</v>
      </c>
      <c r="J6" s="18" t="s">
        <v>33</v>
      </c>
      <c r="K6" s="19" t="s">
        <v>34</v>
      </c>
    </row>
    <row r="7" spans="1:11" ht="17" thickBot="1">
      <c r="A7" s="49">
        <v>3</v>
      </c>
      <c r="B7" s="3">
        <v>1</v>
      </c>
      <c r="C7" s="3">
        <v>2</v>
      </c>
      <c r="D7" s="50" t="s">
        <v>17</v>
      </c>
      <c r="F7" s="20" t="s">
        <v>35</v>
      </c>
      <c r="G7" s="21">
        <v>2</v>
      </c>
      <c r="I7" s="56">
        <v>2</v>
      </c>
      <c r="J7" s="18" t="s">
        <v>36</v>
      </c>
      <c r="K7" s="19" t="s">
        <v>37</v>
      </c>
    </row>
    <row r="8" spans="1:11">
      <c r="A8" s="49">
        <v>2</v>
      </c>
      <c r="B8" s="3">
        <v>1</v>
      </c>
      <c r="C8" s="3">
        <v>3</v>
      </c>
      <c r="D8" s="50" t="s">
        <v>18</v>
      </c>
      <c r="I8" s="56">
        <v>3</v>
      </c>
      <c r="J8" s="18" t="s">
        <v>38</v>
      </c>
      <c r="K8" s="19" t="s">
        <v>39</v>
      </c>
    </row>
    <row r="9" spans="1:11">
      <c r="A9" s="49">
        <v>1</v>
      </c>
      <c r="B9" s="3">
        <v>1</v>
      </c>
      <c r="C9" s="3">
        <v>7</v>
      </c>
      <c r="D9" s="50" t="s">
        <v>17</v>
      </c>
      <c r="I9" s="56">
        <v>4</v>
      </c>
      <c r="J9" s="18" t="s">
        <v>40</v>
      </c>
      <c r="K9" s="19" t="s">
        <v>41</v>
      </c>
    </row>
    <row r="10" spans="1:11" ht="17" thickBot="1">
      <c r="A10" s="49">
        <v>4</v>
      </c>
      <c r="B10" s="3">
        <v>2</v>
      </c>
      <c r="C10" s="3">
        <v>6</v>
      </c>
      <c r="D10" s="50" t="s">
        <v>17</v>
      </c>
      <c r="I10" s="56">
        <v>5</v>
      </c>
      <c r="J10" s="18" t="s">
        <v>42</v>
      </c>
      <c r="K10" s="19" t="s">
        <v>43</v>
      </c>
    </row>
    <row r="11" spans="1:11">
      <c r="A11" s="49">
        <v>4</v>
      </c>
      <c r="B11" s="3">
        <v>2</v>
      </c>
      <c r="C11" s="3">
        <v>6</v>
      </c>
      <c r="D11" s="50" t="s">
        <v>17</v>
      </c>
      <c r="F11" s="11" t="s">
        <v>44</v>
      </c>
      <c r="G11" s="12" t="s">
        <v>45</v>
      </c>
      <c r="I11" s="56">
        <v>6</v>
      </c>
      <c r="J11" s="18" t="s">
        <v>46</v>
      </c>
      <c r="K11" s="19" t="s">
        <v>47</v>
      </c>
    </row>
    <row r="12" spans="1:11">
      <c r="A12" s="49">
        <v>4</v>
      </c>
      <c r="B12" s="3">
        <v>2</v>
      </c>
      <c r="C12" s="3">
        <v>1</v>
      </c>
      <c r="D12" s="50" t="s">
        <v>17</v>
      </c>
      <c r="F12" s="15" t="s">
        <v>16</v>
      </c>
      <c r="G12" s="16">
        <v>1</v>
      </c>
      <c r="I12" s="56">
        <v>7</v>
      </c>
      <c r="J12" s="18" t="s">
        <v>48</v>
      </c>
      <c r="K12" s="19" t="s">
        <v>49</v>
      </c>
    </row>
    <row r="13" spans="1:11" ht="17" thickBot="1">
      <c r="A13" s="49">
        <v>2</v>
      </c>
      <c r="B13" s="3">
        <v>1</v>
      </c>
      <c r="C13" s="3">
        <v>7</v>
      </c>
      <c r="D13" s="50" t="s">
        <v>17</v>
      </c>
      <c r="F13" s="20" t="s">
        <v>19</v>
      </c>
      <c r="G13" s="21">
        <v>2</v>
      </c>
      <c r="I13" s="56">
        <v>8</v>
      </c>
      <c r="J13" s="18" t="s">
        <v>50</v>
      </c>
      <c r="K13" s="19" t="s">
        <v>51</v>
      </c>
    </row>
    <row r="14" spans="1:11">
      <c r="A14" s="49">
        <v>1</v>
      </c>
      <c r="B14" s="3">
        <v>2</v>
      </c>
      <c r="C14" s="3">
        <v>2</v>
      </c>
      <c r="D14" s="50" t="s">
        <v>18</v>
      </c>
      <c r="I14" s="56">
        <v>9</v>
      </c>
      <c r="J14" s="56" t="s">
        <v>52</v>
      </c>
      <c r="K14" s="57" t="s">
        <v>53</v>
      </c>
    </row>
    <row r="15" spans="1:11" ht="17" thickBot="1">
      <c r="A15" s="49">
        <v>3</v>
      </c>
      <c r="B15" s="3">
        <v>1</v>
      </c>
      <c r="C15" s="3">
        <v>10</v>
      </c>
      <c r="D15" s="50" t="s">
        <v>17</v>
      </c>
    </row>
    <row r="16" spans="1:11">
      <c r="A16" s="49">
        <v>1</v>
      </c>
      <c r="B16" s="3">
        <v>1</v>
      </c>
      <c r="C16" s="3">
        <v>12</v>
      </c>
      <c r="D16" s="50" t="s">
        <v>18</v>
      </c>
      <c r="F16" s="11" t="s">
        <v>3</v>
      </c>
      <c r="G16" s="12" t="s">
        <v>54</v>
      </c>
    </row>
    <row r="17" spans="1:7">
      <c r="A17" s="49">
        <v>1</v>
      </c>
      <c r="B17" s="3">
        <v>1</v>
      </c>
      <c r="C17" s="3">
        <v>29</v>
      </c>
      <c r="D17" s="50" t="s">
        <v>17</v>
      </c>
      <c r="F17" s="15" t="s">
        <v>18</v>
      </c>
      <c r="G17" s="16">
        <v>1</v>
      </c>
    </row>
    <row r="18" spans="1:7" ht="17" thickBot="1">
      <c r="A18" s="49">
        <v>4</v>
      </c>
      <c r="B18" s="3">
        <v>1</v>
      </c>
      <c r="C18" s="3">
        <v>22</v>
      </c>
      <c r="D18" s="50" t="s">
        <v>17</v>
      </c>
      <c r="F18" s="20" t="s">
        <v>17</v>
      </c>
      <c r="G18" s="21">
        <v>0</v>
      </c>
    </row>
    <row r="19" spans="1:7">
      <c r="A19" s="49">
        <v>2</v>
      </c>
      <c r="B19" s="3">
        <v>1</v>
      </c>
      <c r="C19" s="3">
        <v>1</v>
      </c>
      <c r="D19" s="50" t="s">
        <v>18</v>
      </c>
    </row>
    <row r="20" spans="1:7">
      <c r="A20" s="49">
        <v>3</v>
      </c>
      <c r="B20" s="3">
        <v>1</v>
      </c>
      <c r="C20" s="3">
        <v>2</v>
      </c>
      <c r="D20" s="50" t="s">
        <v>17</v>
      </c>
    </row>
    <row r="21" spans="1:7">
      <c r="A21" s="49">
        <v>3</v>
      </c>
      <c r="B21" s="3">
        <v>2</v>
      </c>
      <c r="C21" s="3">
        <v>11</v>
      </c>
      <c r="D21" s="50" t="s">
        <v>17</v>
      </c>
    </row>
    <row r="22" spans="1:7">
      <c r="A22" s="49">
        <v>2</v>
      </c>
      <c r="B22" s="3">
        <v>2</v>
      </c>
      <c r="C22" s="3">
        <v>3</v>
      </c>
      <c r="D22" s="50" t="s">
        <v>18</v>
      </c>
    </row>
    <row r="23" spans="1:7">
      <c r="A23" s="49">
        <v>3</v>
      </c>
      <c r="B23" s="3">
        <v>1</v>
      </c>
      <c r="C23" s="3">
        <v>1</v>
      </c>
      <c r="D23" s="50" t="s">
        <v>18</v>
      </c>
    </row>
    <row r="24" spans="1:7">
      <c r="A24" s="49">
        <v>3</v>
      </c>
      <c r="B24" s="3">
        <v>2</v>
      </c>
      <c r="C24" s="3">
        <v>1</v>
      </c>
      <c r="D24" s="50" t="s">
        <v>17</v>
      </c>
    </row>
    <row r="25" spans="1:7">
      <c r="A25" s="49">
        <v>4</v>
      </c>
      <c r="B25" s="3">
        <v>1</v>
      </c>
      <c r="C25" s="3">
        <v>5</v>
      </c>
      <c r="D25" s="50" t="s">
        <v>17</v>
      </c>
    </row>
    <row r="26" spans="1:7">
      <c r="A26" s="49">
        <v>1</v>
      </c>
      <c r="B26" s="3">
        <v>2</v>
      </c>
      <c r="C26" s="3">
        <v>9</v>
      </c>
      <c r="D26" s="50" t="s">
        <v>18</v>
      </c>
    </row>
    <row r="27" spans="1:7">
      <c r="A27" s="49">
        <v>3</v>
      </c>
      <c r="B27" s="3">
        <v>2</v>
      </c>
      <c r="C27" s="3">
        <v>8</v>
      </c>
      <c r="D27" s="50" t="s">
        <v>17</v>
      </c>
    </row>
    <row r="28" spans="1:7">
      <c r="A28" s="49">
        <v>3</v>
      </c>
      <c r="B28" s="3">
        <v>1</v>
      </c>
      <c r="C28" s="3">
        <v>5</v>
      </c>
      <c r="D28" s="50" t="s">
        <v>17</v>
      </c>
    </row>
    <row r="29" spans="1:7">
      <c r="A29" s="49">
        <v>3</v>
      </c>
      <c r="B29" s="3">
        <v>2</v>
      </c>
      <c r="C29" s="3">
        <v>1</v>
      </c>
      <c r="D29" s="50" t="s">
        <v>17</v>
      </c>
    </row>
    <row r="30" spans="1:7">
      <c r="A30" s="49">
        <v>2</v>
      </c>
      <c r="B30" s="3">
        <v>1</v>
      </c>
      <c r="C30" s="3">
        <v>5</v>
      </c>
      <c r="D30" s="50" t="s">
        <v>18</v>
      </c>
    </row>
    <row r="31" spans="1:7">
      <c r="A31" s="49">
        <v>4</v>
      </c>
      <c r="B31" s="3">
        <v>1</v>
      </c>
      <c r="C31" s="3">
        <v>18</v>
      </c>
      <c r="D31" s="50" t="s">
        <v>17</v>
      </c>
    </row>
    <row r="32" spans="1:7">
      <c r="A32" s="49">
        <v>4</v>
      </c>
      <c r="B32" s="3">
        <v>1</v>
      </c>
      <c r="C32" s="3">
        <v>3</v>
      </c>
      <c r="D32" s="50" t="s">
        <v>17</v>
      </c>
    </row>
    <row r="33" spans="1:4">
      <c r="A33" s="49">
        <v>3</v>
      </c>
      <c r="B33" s="3">
        <v>2</v>
      </c>
      <c r="C33" s="3">
        <v>10</v>
      </c>
      <c r="D33" s="50" t="s">
        <v>17</v>
      </c>
    </row>
    <row r="34" spans="1:4">
      <c r="A34" s="49">
        <v>1</v>
      </c>
      <c r="B34" s="3">
        <v>1</v>
      </c>
      <c r="C34" s="3">
        <v>10</v>
      </c>
      <c r="D34" s="50" t="s">
        <v>17</v>
      </c>
    </row>
    <row r="35" spans="1:4">
      <c r="A35" s="49">
        <v>4</v>
      </c>
      <c r="B35" s="3">
        <v>1</v>
      </c>
      <c r="C35" s="3">
        <v>8</v>
      </c>
      <c r="D35" s="50" t="s">
        <v>17</v>
      </c>
    </row>
    <row r="36" spans="1:4">
      <c r="A36" s="49">
        <v>2</v>
      </c>
      <c r="B36" s="3">
        <v>2</v>
      </c>
      <c r="C36" s="3">
        <v>5</v>
      </c>
      <c r="D36" s="50" t="s">
        <v>17</v>
      </c>
    </row>
    <row r="37" spans="1:4">
      <c r="A37" s="49">
        <v>1</v>
      </c>
      <c r="B37" s="3">
        <v>2</v>
      </c>
      <c r="C37" s="3">
        <v>3</v>
      </c>
      <c r="D37" s="50" t="s">
        <v>17</v>
      </c>
    </row>
    <row r="38" spans="1:4">
      <c r="A38" s="49">
        <v>3</v>
      </c>
      <c r="B38" s="3">
        <v>1</v>
      </c>
      <c r="C38" s="3">
        <v>2</v>
      </c>
      <c r="D38" s="50" t="s">
        <v>17</v>
      </c>
    </row>
    <row r="39" spans="1:4">
      <c r="A39" s="49">
        <v>4</v>
      </c>
      <c r="B39" s="3">
        <v>2</v>
      </c>
      <c r="C39" s="3">
        <v>5</v>
      </c>
      <c r="D39" s="50" t="s">
        <v>17</v>
      </c>
    </row>
    <row r="40" spans="1:4">
      <c r="A40" s="49">
        <v>1</v>
      </c>
      <c r="B40" s="3">
        <v>1</v>
      </c>
      <c r="C40" s="3">
        <v>34</v>
      </c>
      <c r="D40" s="50" t="s">
        <v>17</v>
      </c>
    </row>
    <row r="41" spans="1:4">
      <c r="A41" s="49">
        <v>3</v>
      </c>
      <c r="B41" s="3">
        <v>1</v>
      </c>
      <c r="C41" s="3">
        <v>2</v>
      </c>
      <c r="D41" s="50" t="s">
        <v>18</v>
      </c>
    </row>
    <row r="42" spans="1:4">
      <c r="A42" s="49">
        <v>4</v>
      </c>
      <c r="B42" s="3">
        <v>1</v>
      </c>
      <c r="C42" s="3">
        <v>3</v>
      </c>
      <c r="D42" s="50" t="s">
        <v>17</v>
      </c>
    </row>
    <row r="43" spans="1:4">
      <c r="A43" s="49">
        <v>4</v>
      </c>
      <c r="B43" s="3">
        <v>2</v>
      </c>
      <c r="C43" s="3">
        <v>1</v>
      </c>
      <c r="D43" s="50" t="s">
        <v>17</v>
      </c>
    </row>
    <row r="44" spans="1:4">
      <c r="A44" s="49">
        <v>1</v>
      </c>
      <c r="B44" s="3">
        <v>1</v>
      </c>
      <c r="C44" s="3">
        <v>6</v>
      </c>
      <c r="D44" s="50" t="s">
        <v>17</v>
      </c>
    </row>
    <row r="45" spans="1:4">
      <c r="A45" s="49">
        <v>4</v>
      </c>
      <c r="B45" s="3">
        <v>2</v>
      </c>
      <c r="C45" s="3">
        <v>2</v>
      </c>
      <c r="D45" s="50" t="s">
        <v>17</v>
      </c>
    </row>
    <row r="46" spans="1:4">
      <c r="A46" s="49">
        <v>3</v>
      </c>
      <c r="B46" s="3">
        <v>1</v>
      </c>
      <c r="C46" s="3">
        <v>19</v>
      </c>
      <c r="D46" s="50" t="s">
        <v>17</v>
      </c>
    </row>
    <row r="47" spans="1:4">
      <c r="A47" s="49">
        <v>4</v>
      </c>
      <c r="B47" s="3">
        <v>2</v>
      </c>
      <c r="C47" s="3">
        <v>2</v>
      </c>
      <c r="D47" s="50" t="s">
        <v>17</v>
      </c>
    </row>
    <row r="48" spans="1:4">
      <c r="A48" s="49">
        <v>1</v>
      </c>
      <c r="B48" s="3">
        <v>2</v>
      </c>
      <c r="C48" s="3">
        <v>9</v>
      </c>
      <c r="D48" s="50" t="s">
        <v>18</v>
      </c>
    </row>
    <row r="49" spans="1:10">
      <c r="A49" s="49">
        <v>2</v>
      </c>
      <c r="B49" s="3">
        <v>2</v>
      </c>
      <c r="C49" s="3">
        <v>6</v>
      </c>
      <c r="D49" s="50" t="s">
        <v>17</v>
      </c>
    </row>
    <row r="50" spans="1:10">
      <c r="A50" s="49">
        <v>3</v>
      </c>
      <c r="B50" s="3">
        <v>1</v>
      </c>
      <c r="C50" s="3">
        <v>11</v>
      </c>
      <c r="D50" s="50" t="s">
        <v>17</v>
      </c>
    </row>
    <row r="51" spans="1:10">
      <c r="A51" s="53">
        <v>4</v>
      </c>
      <c r="B51" s="54">
        <v>2</v>
      </c>
      <c r="C51" s="54">
        <v>6</v>
      </c>
      <c r="D51" s="55" t="s">
        <v>17</v>
      </c>
    </row>
    <row r="54" spans="1:10" ht="17" thickBot="1"/>
    <row r="55" spans="1:10" ht="17" thickBot="1">
      <c r="A55" s="13" t="s">
        <v>29</v>
      </c>
      <c r="B55" s="14"/>
      <c r="C55" s="14"/>
      <c r="D55" s="58" t="s">
        <v>55</v>
      </c>
      <c r="E55" s="58"/>
      <c r="F55" s="58" t="s">
        <v>56</v>
      </c>
      <c r="G55" s="58"/>
      <c r="H55" s="24" t="s">
        <v>57</v>
      </c>
      <c r="I55" s="25" t="s">
        <v>58</v>
      </c>
      <c r="J55" s="26" t="s">
        <v>59</v>
      </c>
    </row>
    <row r="56" spans="1:10">
      <c r="A56" s="27" t="s">
        <v>0</v>
      </c>
      <c r="B56" s="18" t="s">
        <v>60</v>
      </c>
      <c r="C56" s="18" t="s">
        <v>61</v>
      </c>
      <c r="D56" s="18" t="s">
        <v>62</v>
      </c>
      <c r="E56" s="18" t="s">
        <v>63</v>
      </c>
      <c r="F56" s="18" t="s">
        <v>62</v>
      </c>
      <c r="G56" s="18" t="s">
        <v>63</v>
      </c>
      <c r="H56" s="18"/>
      <c r="I56" s="18"/>
      <c r="J56" s="19"/>
    </row>
    <row r="57" spans="1:10">
      <c r="A57" s="17" t="s">
        <v>64</v>
      </c>
      <c r="B57" s="18">
        <f>COUNTIF(A2:A51,1)/50</f>
        <v>0.22</v>
      </c>
      <c r="C57" s="18">
        <v>0.88</v>
      </c>
      <c r="D57" s="28">
        <f>4/11</f>
        <v>0.36363636363636365</v>
      </c>
      <c r="E57" s="18">
        <f>7/11</f>
        <v>0.63636363636363635</v>
      </c>
      <c r="F57" s="18">
        <f>7/39</f>
        <v>0.17948717948717949</v>
      </c>
      <c r="G57" s="18">
        <f>32/39</f>
        <v>0.82051282051282048</v>
      </c>
      <c r="H57" s="18">
        <f>2*B57*C57</f>
        <v>0.38719999999999999</v>
      </c>
      <c r="I57" s="29">
        <f>ABS(D57-F57)+ABS(E57-G57)</f>
        <v>0.36829836829836826</v>
      </c>
      <c r="J57" s="19">
        <f>H57*I57</f>
        <v>0.14260512820512819</v>
      </c>
    </row>
    <row r="58" spans="1:10">
      <c r="A58" s="17" t="s">
        <v>65</v>
      </c>
      <c r="B58" s="18">
        <f>COUNTIF(A2:A51,2)/50</f>
        <v>0.14000000000000001</v>
      </c>
      <c r="C58" s="18">
        <v>0.86</v>
      </c>
      <c r="D58" s="28">
        <v>0.5714285714285714</v>
      </c>
      <c r="E58" s="28">
        <v>0.42857142857142855</v>
      </c>
      <c r="F58" s="18">
        <f>7/43</f>
        <v>0.16279069767441862</v>
      </c>
      <c r="G58" s="18">
        <f>36/43</f>
        <v>0.83720930232558144</v>
      </c>
      <c r="H58" s="18">
        <f>2*B58*C58</f>
        <v>0.24080000000000001</v>
      </c>
      <c r="I58" s="29">
        <f>ABS(D58-F58)+ABS(E58-G58)</f>
        <v>0.81727574750830567</v>
      </c>
      <c r="J58" s="19">
        <f>H58*I58</f>
        <v>0.19680000000000003</v>
      </c>
    </row>
    <row r="59" spans="1:10">
      <c r="A59" s="17" t="s">
        <v>66</v>
      </c>
      <c r="B59" s="18">
        <f>COUNTIF(A2:A51,3)/50</f>
        <v>0.34</v>
      </c>
      <c r="C59" s="18">
        <v>0.36</v>
      </c>
      <c r="D59" s="18">
        <f>3/17</f>
        <v>0.17647058823529413</v>
      </c>
      <c r="E59" s="18">
        <f>14/17</f>
        <v>0.82352941176470584</v>
      </c>
      <c r="F59" s="18">
        <f>7/33</f>
        <v>0.21212121212121213</v>
      </c>
      <c r="G59" s="18">
        <f>26/33</f>
        <v>0.78787878787878785</v>
      </c>
      <c r="H59" s="18">
        <f>2*B59*C59</f>
        <v>0.24480000000000002</v>
      </c>
      <c r="I59" s="18">
        <f>ABS(D59-F59)+ABS(E59-G59)</f>
        <v>7.1301247771835996E-2</v>
      </c>
      <c r="J59" s="19">
        <f>H59*I59</f>
        <v>1.7454545454545452E-2</v>
      </c>
    </row>
    <row r="60" spans="1:10">
      <c r="A60" s="17" t="s">
        <v>67</v>
      </c>
      <c r="B60" s="18">
        <f>COUNTIF(A2:A51,4)/50</f>
        <v>0.3</v>
      </c>
      <c r="C60" s="18">
        <v>0.7</v>
      </c>
      <c r="D60" s="18">
        <v>0</v>
      </c>
      <c r="E60" s="18">
        <v>1</v>
      </c>
      <c r="F60" s="28">
        <f>11/35</f>
        <v>0.31428571428571428</v>
      </c>
      <c r="G60" s="18">
        <f>24/35</f>
        <v>0.68571428571428572</v>
      </c>
      <c r="H60" s="18">
        <f>2*B60*C60</f>
        <v>0.42</v>
      </c>
      <c r="I60" s="29">
        <f>ABS(D60-F60)+ABS(E60-G60)</f>
        <v>0.62857142857142856</v>
      </c>
      <c r="J60" s="19">
        <f>H60*I60</f>
        <v>0.26400000000000001</v>
      </c>
    </row>
    <row r="61" spans="1:10" s="33" customFormat="1" ht="15">
      <c r="A61" s="30" t="s">
        <v>68</v>
      </c>
      <c r="B61" s="31"/>
      <c r="C61" s="31"/>
      <c r="D61" s="31"/>
      <c r="E61" s="31"/>
      <c r="F61" s="31"/>
      <c r="G61" s="31"/>
      <c r="H61" s="31"/>
      <c r="I61" s="31"/>
      <c r="J61" s="32"/>
    </row>
    <row r="62" spans="1:10">
      <c r="A62" s="17">
        <v>1</v>
      </c>
      <c r="B62" s="18">
        <f>COUNTIF(B2:B51,1)/50</f>
        <v>0.57999999999999996</v>
      </c>
      <c r="C62" s="18">
        <f>COUNTIF(B2:B51,2)/50</f>
        <v>0.42</v>
      </c>
      <c r="D62" s="28">
        <f>7/30</f>
        <v>0.23333333333333334</v>
      </c>
      <c r="E62" s="18">
        <f>23/30</f>
        <v>0.76666666666666672</v>
      </c>
      <c r="F62" s="18">
        <f>4/20</f>
        <v>0.2</v>
      </c>
      <c r="G62" s="18">
        <f>16/20</f>
        <v>0.8</v>
      </c>
      <c r="H62" s="18">
        <f>2*B62*C62</f>
        <v>0.48719999999999997</v>
      </c>
      <c r="I62" s="34">
        <f>ABS(D62-F62)+ABS(E62-G62)</f>
        <v>6.6666666666666652E-2</v>
      </c>
      <c r="J62" s="19">
        <f>H62*I62</f>
        <v>3.2479999999999988E-2</v>
      </c>
    </row>
    <row r="63" spans="1:10">
      <c r="A63" s="27" t="s">
        <v>69</v>
      </c>
      <c r="B63" s="18"/>
      <c r="C63" s="18"/>
      <c r="D63" s="18"/>
      <c r="E63" s="18"/>
      <c r="F63" s="18"/>
      <c r="G63" s="18"/>
      <c r="H63" s="18"/>
      <c r="I63" s="18"/>
      <c r="J63" s="19"/>
    </row>
    <row r="64" spans="1:10">
      <c r="A64" s="17">
        <v>1</v>
      </c>
      <c r="B64" s="18">
        <f>COUNTIF(C2:C51,1)/50</f>
        <v>0.14000000000000001</v>
      </c>
      <c r="C64" s="18">
        <f>COUNTIF(C2:C51,2)/50</f>
        <v>0.16</v>
      </c>
      <c r="D64" s="18">
        <f>8/24</f>
        <v>0.33333333333333331</v>
      </c>
      <c r="E64" s="18">
        <f>16/24</f>
        <v>0.66666666666666663</v>
      </c>
      <c r="F64" s="18">
        <f>3/26</f>
        <v>0.11538461538461539</v>
      </c>
      <c r="G64" s="18">
        <f>23/26</f>
        <v>0.88461538461538458</v>
      </c>
      <c r="H64" s="18">
        <f>2*B64*C64</f>
        <v>4.4800000000000006E-2</v>
      </c>
      <c r="I64" s="18">
        <f>ABS(D64-F64)+ABS(E64-G64)</f>
        <v>0.4358974358974359</v>
      </c>
      <c r="J64" s="19">
        <f>H64*I64</f>
        <v>1.952820512820513E-2</v>
      </c>
    </row>
    <row r="65" spans="1:10">
      <c r="A65" s="17"/>
      <c r="B65" s="18"/>
      <c r="C65" s="18"/>
      <c r="D65" s="18"/>
      <c r="E65" s="18"/>
      <c r="F65" s="18"/>
      <c r="G65" s="18"/>
      <c r="H65" s="18"/>
      <c r="I65" s="18"/>
      <c r="J65" s="19"/>
    </row>
    <row r="66" spans="1:10">
      <c r="A66" s="17" t="s">
        <v>42</v>
      </c>
      <c r="B66" s="18">
        <f>18/50</f>
        <v>0.36</v>
      </c>
      <c r="C66" s="18">
        <f>32/50</f>
        <v>0.64</v>
      </c>
      <c r="D66" s="18">
        <f>8/18</f>
        <v>0.44444444444444442</v>
      </c>
      <c r="E66" s="18">
        <f>10/18</f>
        <v>0.55555555555555558</v>
      </c>
      <c r="F66" s="18">
        <f>3/32</f>
        <v>9.375E-2</v>
      </c>
      <c r="G66" s="18">
        <f>29/32</f>
        <v>0.90625</v>
      </c>
      <c r="H66" s="18">
        <f>2*B66*C66</f>
        <v>0.46079999999999999</v>
      </c>
      <c r="I66" s="18">
        <f>ABS(D66-F66)+ABS(E66-G66)</f>
        <v>0.70138888888888884</v>
      </c>
      <c r="J66" s="35">
        <f>H66*I66</f>
        <v>0.32319999999999999</v>
      </c>
    </row>
    <row r="67" spans="1:10">
      <c r="A67" s="17" t="s">
        <v>46</v>
      </c>
      <c r="B67" s="18">
        <f>28/50</f>
        <v>0.56000000000000005</v>
      </c>
      <c r="C67" s="18">
        <f>22/50</f>
        <v>0.44</v>
      </c>
      <c r="D67" s="18">
        <f>7/28</f>
        <v>0.25</v>
      </c>
      <c r="E67" s="18">
        <f>21/28</f>
        <v>0.75</v>
      </c>
      <c r="F67" s="18">
        <f>4/22</f>
        <v>0.18181818181818182</v>
      </c>
      <c r="G67" s="18">
        <f>18/22</f>
        <v>0.81818181818181823</v>
      </c>
      <c r="H67" s="18">
        <f>2*B67*C67</f>
        <v>0.49280000000000007</v>
      </c>
      <c r="I67" s="18">
        <f>ABS(D67-F67)+ABS(E67-G67)</f>
        <v>0.13636363636363641</v>
      </c>
      <c r="J67" s="19">
        <f>H67*I67</f>
        <v>6.7200000000000037E-2</v>
      </c>
    </row>
    <row r="68" spans="1:10" ht="17" thickBot="1">
      <c r="A68" s="22" t="s">
        <v>48</v>
      </c>
      <c r="B68" s="23">
        <f>26/50</f>
        <v>0.52</v>
      </c>
      <c r="C68" s="23">
        <f>24/50</f>
        <v>0.48</v>
      </c>
      <c r="D68" s="23">
        <f>4/26</f>
        <v>0.15384615384615385</v>
      </c>
      <c r="E68" s="23">
        <f>22/26</f>
        <v>0.84615384615384615</v>
      </c>
      <c r="F68" s="23">
        <f>7/24</f>
        <v>0.29166666666666669</v>
      </c>
      <c r="G68" s="23">
        <f>17/24</f>
        <v>0.70833333333333337</v>
      </c>
      <c r="H68" s="23">
        <f>2*B68*C68</f>
        <v>0.49919999999999998</v>
      </c>
      <c r="I68" s="23">
        <f>ABS(D68-F68)+ABS(E68-G68)</f>
        <v>0.27564102564102561</v>
      </c>
      <c r="J68" s="36">
        <f>H68*I68</f>
        <v>0.13759999999999997</v>
      </c>
    </row>
  </sheetData>
  <mergeCells count="2">
    <mergeCell ref="D55:E55"/>
    <mergeCell ref="F55:G55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58DEF-11AA-E940-81B5-F5D0EE60F42B}">
  <dimension ref="B5:K54"/>
  <sheetViews>
    <sheetView workbookViewId="0">
      <selection activeCell="D25" sqref="D25"/>
    </sheetView>
  </sheetViews>
  <sheetFormatPr baseColWidth="10" defaultColWidth="8.83203125" defaultRowHeight="16"/>
  <cols>
    <col min="2" max="2" width="12.33203125" customWidth="1"/>
    <col min="4" max="4" width="15.33203125" customWidth="1"/>
    <col min="5" max="5" width="11.6640625" customWidth="1"/>
    <col min="7" max="7" width="18.33203125" bestFit="1" customWidth="1"/>
    <col min="8" max="8" width="21.6640625" customWidth="1"/>
    <col min="9" max="9" width="21.1640625" customWidth="1"/>
    <col min="10" max="10" width="33.83203125" customWidth="1"/>
  </cols>
  <sheetData>
    <row r="5" spans="2:10">
      <c r="B5" s="37" t="s">
        <v>70</v>
      </c>
      <c r="C5" s="37" t="s">
        <v>71</v>
      </c>
      <c r="D5" s="37" t="s">
        <v>72</v>
      </c>
      <c r="E5" s="37" t="s">
        <v>73</v>
      </c>
      <c r="G5" s="37" t="s">
        <v>74</v>
      </c>
      <c r="H5" s="37" t="s">
        <v>75</v>
      </c>
      <c r="I5" s="37" t="s">
        <v>76</v>
      </c>
    </row>
    <row r="6" spans="2:10">
      <c r="B6" s="37" t="s">
        <v>77</v>
      </c>
      <c r="C6" s="37">
        <v>30</v>
      </c>
      <c r="D6" s="37">
        <v>60</v>
      </c>
      <c r="E6" s="37" t="s">
        <v>78</v>
      </c>
      <c r="G6" s="37">
        <f>((C6-$C$12)/($C$13-$C$12))</f>
        <v>0.5</v>
      </c>
      <c r="H6" s="37">
        <f>((D6-$D$12)/($D$13-$D$12))</f>
        <v>0.33333333333333331</v>
      </c>
      <c r="I6" s="37">
        <f>SQRT(SUM(POWER(($G$6-G6),2),POWER(($H$6-H6),2)))</f>
        <v>0</v>
      </c>
    </row>
    <row r="7" spans="2:10">
      <c r="B7" s="37">
        <v>1</v>
      </c>
      <c r="C7" s="37">
        <v>25</v>
      </c>
      <c r="D7" s="37">
        <v>50</v>
      </c>
      <c r="E7" s="37" t="s">
        <v>79</v>
      </c>
      <c r="G7" s="37">
        <f t="shared" ref="G7:G9" si="0">((C7-$C$12)/($C$13-$C$12))</f>
        <v>0</v>
      </c>
      <c r="H7" s="37">
        <f t="shared" ref="H7:H9" si="1">((D7-$D$12)/($D$13-$D$12))</f>
        <v>0</v>
      </c>
      <c r="I7" s="37">
        <f t="shared" ref="I7:I9" si="2">SQRT(SUM(POWER(($G$6-G7),2),POWER(($H$6-H7),2)))</f>
        <v>0.60092521257733156</v>
      </c>
    </row>
    <row r="8" spans="2:10">
      <c r="B8" s="37">
        <v>2</v>
      </c>
      <c r="C8" s="37">
        <v>33</v>
      </c>
      <c r="D8" s="37">
        <v>60</v>
      </c>
      <c r="E8" s="37" t="s">
        <v>80</v>
      </c>
      <c r="G8" s="37">
        <f t="shared" si="0"/>
        <v>0.8</v>
      </c>
      <c r="H8" s="37">
        <f t="shared" si="1"/>
        <v>0.33333333333333331</v>
      </c>
      <c r="I8" s="37">
        <f t="shared" si="2"/>
        <v>0.30000000000000004</v>
      </c>
    </row>
    <row r="9" spans="2:10">
      <c r="B9" s="37">
        <v>3</v>
      </c>
      <c r="C9" s="37">
        <v>35</v>
      </c>
      <c r="D9" s="37">
        <v>80</v>
      </c>
      <c r="E9" s="37" t="s">
        <v>81</v>
      </c>
      <c r="G9" s="37">
        <f t="shared" si="0"/>
        <v>1</v>
      </c>
      <c r="H9" s="37">
        <f t="shared" si="1"/>
        <v>1</v>
      </c>
      <c r="I9" s="37">
        <f t="shared" si="2"/>
        <v>0.83333333333333337</v>
      </c>
    </row>
    <row r="11" spans="2:10">
      <c r="B11" s="37" t="s">
        <v>26</v>
      </c>
      <c r="C11" s="37" t="s">
        <v>71</v>
      </c>
      <c r="D11" s="37" t="s">
        <v>72</v>
      </c>
      <c r="E11" s="37" t="s">
        <v>73</v>
      </c>
      <c r="G11" s="37" t="s">
        <v>82</v>
      </c>
      <c r="H11" s="37" t="s">
        <v>73</v>
      </c>
      <c r="I11" s="37" t="s">
        <v>83</v>
      </c>
      <c r="J11" s="37" t="s">
        <v>26</v>
      </c>
    </row>
    <row r="12" spans="2:10" ht="34">
      <c r="B12" s="38" t="s">
        <v>84</v>
      </c>
      <c r="C12" s="37">
        <v>25</v>
      </c>
      <c r="D12" s="37">
        <v>50</v>
      </c>
      <c r="E12" s="37">
        <v>90</v>
      </c>
      <c r="G12" s="37" t="s">
        <v>85</v>
      </c>
      <c r="H12" s="37" t="s">
        <v>80</v>
      </c>
      <c r="I12" s="45" t="s">
        <v>106</v>
      </c>
      <c r="J12" s="39"/>
    </row>
    <row r="13" spans="2:10" ht="40.5" customHeight="1">
      <c r="B13" s="38" t="s">
        <v>86</v>
      </c>
      <c r="C13" s="37">
        <v>35</v>
      </c>
      <c r="D13" s="37">
        <v>80</v>
      </c>
      <c r="E13" s="37">
        <v>150</v>
      </c>
      <c r="G13" s="37" t="s">
        <v>87</v>
      </c>
      <c r="H13" s="37" t="s">
        <v>88</v>
      </c>
      <c r="I13" s="39" t="s">
        <v>89</v>
      </c>
      <c r="J13" s="39"/>
    </row>
    <row r="14" spans="2:10">
      <c r="B14" s="38" t="s">
        <v>90</v>
      </c>
      <c r="C14" s="37">
        <f>SUM(C6:C9)/4</f>
        <v>30.75</v>
      </c>
      <c r="D14" s="37">
        <f>SUM(D6:D9)/4</f>
        <v>62.5</v>
      </c>
      <c r="E14" s="37">
        <f>SUM(E6:E9)/4</f>
        <v>0</v>
      </c>
    </row>
    <row r="17" spans="2:11" ht="15" customHeight="1" thickBot="1">
      <c r="B17" s="68" t="s">
        <v>91</v>
      </c>
      <c r="C17" s="68"/>
      <c r="D17" s="68"/>
      <c r="E17" s="68"/>
      <c r="F17" s="68"/>
      <c r="G17" s="68"/>
      <c r="H17" s="68"/>
      <c r="I17" s="68"/>
      <c r="J17" s="68"/>
      <c r="K17" s="68"/>
    </row>
    <row r="18" spans="2:11" ht="14.5" customHeight="1">
      <c r="B18" s="69" t="s">
        <v>92</v>
      </c>
      <c r="C18" s="70"/>
      <c r="D18" s="70"/>
      <c r="E18" s="70"/>
      <c r="F18" s="70"/>
      <c r="G18" s="70"/>
      <c r="H18" s="70"/>
      <c r="I18" s="70"/>
      <c r="J18" s="70"/>
      <c r="K18" s="71"/>
    </row>
    <row r="19" spans="2:11" ht="17" thickBot="1">
      <c r="B19" s="72"/>
      <c r="C19" s="73"/>
      <c r="D19" s="73"/>
      <c r="E19" s="73"/>
      <c r="F19" s="73"/>
      <c r="G19" s="73"/>
      <c r="H19" s="73"/>
      <c r="I19" s="73"/>
      <c r="J19" s="73"/>
      <c r="K19" s="74"/>
    </row>
    <row r="20" spans="2:11">
      <c r="B20" s="40"/>
      <c r="C20" s="41"/>
      <c r="D20" s="41"/>
      <c r="E20" s="41"/>
      <c r="F20" s="41"/>
      <c r="G20" s="41"/>
      <c r="H20" s="41"/>
      <c r="I20" s="41"/>
      <c r="J20" s="41"/>
      <c r="K20" s="41"/>
    </row>
    <row r="21" spans="2:11" ht="15" customHeight="1" thickBot="1">
      <c r="B21" s="68" t="s">
        <v>93</v>
      </c>
      <c r="C21" s="68"/>
      <c r="D21" s="68"/>
      <c r="E21" s="68"/>
      <c r="F21" s="68"/>
      <c r="G21" s="68"/>
      <c r="H21" s="68"/>
      <c r="I21" s="68"/>
      <c r="J21" s="68"/>
      <c r="K21" s="68"/>
    </row>
    <row r="22" spans="2:11" ht="14.5" customHeight="1">
      <c r="B22" s="75" t="s">
        <v>94</v>
      </c>
      <c r="C22" s="76"/>
      <c r="D22" s="76"/>
      <c r="E22" s="76"/>
      <c r="F22" s="76"/>
      <c r="G22" s="76"/>
      <c r="H22" s="76"/>
      <c r="I22" s="76"/>
      <c r="J22" s="76"/>
      <c r="K22" s="77"/>
    </row>
    <row r="23" spans="2:11" ht="17" thickBot="1">
      <c r="B23" s="78"/>
      <c r="C23" s="79"/>
      <c r="D23" s="79"/>
      <c r="E23" s="79"/>
      <c r="F23" s="79"/>
      <c r="G23" s="79"/>
      <c r="H23" s="79"/>
      <c r="I23" s="79"/>
      <c r="J23" s="79"/>
      <c r="K23" s="80"/>
    </row>
    <row r="24" spans="2:11">
      <c r="B24" s="41"/>
      <c r="C24" s="41"/>
      <c r="D24" s="41"/>
      <c r="E24" s="41"/>
      <c r="F24" s="41"/>
      <c r="G24" s="41"/>
      <c r="H24" s="41"/>
      <c r="I24" s="41"/>
      <c r="J24" s="41"/>
      <c r="K24" s="41"/>
    </row>
    <row r="27" spans="2:11" ht="15" customHeight="1"/>
    <row r="28" spans="2:11" ht="19.5" customHeight="1"/>
    <row r="29" spans="2:11" ht="14.5" customHeight="1">
      <c r="B29" s="37" t="s">
        <v>70</v>
      </c>
      <c r="C29" s="37" t="s">
        <v>95</v>
      </c>
      <c r="D29" s="37" t="s">
        <v>72</v>
      </c>
      <c r="E29" s="37" t="s">
        <v>73</v>
      </c>
      <c r="G29" s="37" t="s">
        <v>74</v>
      </c>
      <c r="H29" s="37" t="s">
        <v>75</v>
      </c>
      <c r="I29" s="37" t="s">
        <v>76</v>
      </c>
      <c r="J29" s="37" t="s">
        <v>96</v>
      </c>
    </row>
    <row r="30" spans="2:11" ht="14.5" customHeight="1">
      <c r="B30" s="37" t="s">
        <v>77</v>
      </c>
      <c r="C30" s="37">
        <v>30</v>
      </c>
      <c r="D30" s="37">
        <v>60</v>
      </c>
      <c r="E30" s="37" t="s">
        <v>78</v>
      </c>
      <c r="G30" s="37">
        <f t="shared" ref="G30:G36" si="3">((C30-$C$31)/($C$33-$C$31))</f>
        <v>0.5</v>
      </c>
      <c r="H30" s="37">
        <f t="shared" ref="H30:H36" si="4">((D30-$D$31)/($D$33-$D$31))</f>
        <v>0.33333333333333331</v>
      </c>
      <c r="I30" s="37">
        <f>SQRT(SUM(POWER(($G$30-G30),2),POWER(($H$30-H30),2)))</f>
        <v>0</v>
      </c>
      <c r="J30" s="42" t="s">
        <v>97</v>
      </c>
    </row>
    <row r="31" spans="2:11" ht="14.5" customHeight="1">
      <c r="B31" s="37">
        <v>1</v>
      </c>
      <c r="C31" s="37">
        <v>25</v>
      </c>
      <c r="D31" s="37">
        <v>50</v>
      </c>
      <c r="E31" s="37" t="s">
        <v>98</v>
      </c>
      <c r="G31" s="37">
        <f t="shared" si="3"/>
        <v>0</v>
      </c>
      <c r="H31" s="37">
        <f t="shared" si="4"/>
        <v>0</v>
      </c>
      <c r="I31" s="37">
        <f t="shared" ref="I31:I36" si="5">SQRT(SUM(POWER(($G$30-G31),2),POWER(($H$30-H31),2)))</f>
        <v>0.60092521257733156</v>
      </c>
      <c r="J31" s="37">
        <f t="shared" ref="J31:J33" si="6">1/POWER(I31,2)</f>
        <v>2.7692307692307692</v>
      </c>
    </row>
    <row r="32" spans="2:11" ht="14.5" customHeight="1">
      <c r="B32" s="37">
        <v>2</v>
      </c>
      <c r="C32" s="37">
        <v>33</v>
      </c>
      <c r="D32" s="37">
        <v>60</v>
      </c>
      <c r="E32" s="37" t="s">
        <v>99</v>
      </c>
      <c r="G32" s="37">
        <f t="shared" si="3"/>
        <v>0.8</v>
      </c>
      <c r="H32" s="37">
        <f t="shared" si="4"/>
        <v>0.33333333333333331</v>
      </c>
      <c r="I32" s="37">
        <f t="shared" si="5"/>
        <v>0.30000000000000004</v>
      </c>
      <c r="J32" s="37">
        <f t="shared" si="6"/>
        <v>11.111111111111109</v>
      </c>
    </row>
    <row r="33" spans="2:11" ht="14.5" customHeight="1">
      <c r="B33" s="37">
        <v>3</v>
      </c>
      <c r="C33" s="37">
        <v>35</v>
      </c>
      <c r="D33" s="37">
        <v>80</v>
      </c>
      <c r="E33" s="37" t="s">
        <v>100</v>
      </c>
      <c r="G33" s="37">
        <f t="shared" si="3"/>
        <v>1</v>
      </c>
      <c r="H33" s="37">
        <f t="shared" si="4"/>
        <v>1</v>
      </c>
      <c r="I33" s="37">
        <f t="shared" si="5"/>
        <v>0.83333333333333337</v>
      </c>
      <c r="J33" s="37">
        <f t="shared" si="6"/>
        <v>1.4399999999999997</v>
      </c>
    </row>
    <row r="34" spans="2:11" ht="15" customHeight="1">
      <c r="B34" s="37">
        <v>4</v>
      </c>
      <c r="C34" s="37">
        <v>30</v>
      </c>
      <c r="D34" s="37">
        <v>60</v>
      </c>
      <c r="E34" s="37" t="s">
        <v>98</v>
      </c>
      <c r="G34" s="37">
        <f t="shared" si="3"/>
        <v>0.5</v>
      </c>
      <c r="H34" s="37">
        <f t="shared" si="4"/>
        <v>0.33333333333333331</v>
      </c>
      <c r="I34" s="37">
        <f t="shared" si="5"/>
        <v>0</v>
      </c>
      <c r="J34" s="37" t="s">
        <v>101</v>
      </c>
    </row>
    <row r="35" spans="2:11">
      <c r="B35" s="37">
        <v>5</v>
      </c>
      <c r="C35" s="37">
        <v>30</v>
      </c>
      <c r="D35" s="37">
        <v>60</v>
      </c>
      <c r="E35" s="37" t="s">
        <v>100</v>
      </c>
      <c r="G35" s="37">
        <f t="shared" si="3"/>
        <v>0.5</v>
      </c>
      <c r="H35" s="37">
        <f t="shared" si="4"/>
        <v>0.33333333333333331</v>
      </c>
      <c r="I35" s="37">
        <f t="shared" si="5"/>
        <v>0</v>
      </c>
      <c r="J35" s="37" t="s">
        <v>101</v>
      </c>
    </row>
    <row r="36" spans="2:11">
      <c r="B36" s="37">
        <v>6</v>
      </c>
      <c r="C36" s="37">
        <v>30</v>
      </c>
      <c r="D36" s="37">
        <v>60</v>
      </c>
      <c r="E36" s="37" t="s">
        <v>100</v>
      </c>
      <c r="G36" s="37">
        <f t="shared" si="3"/>
        <v>0.5</v>
      </c>
      <c r="H36" s="37">
        <f t="shared" si="4"/>
        <v>0.33333333333333331</v>
      </c>
      <c r="I36" s="37">
        <f t="shared" si="5"/>
        <v>0</v>
      </c>
      <c r="J36" s="37" t="s">
        <v>101</v>
      </c>
    </row>
    <row r="37" spans="2:11">
      <c r="B37" s="40"/>
      <c r="C37" s="40"/>
      <c r="D37" s="40"/>
      <c r="E37" s="40"/>
      <c r="G37" s="41"/>
      <c r="H37" s="41"/>
      <c r="I37" s="41"/>
      <c r="J37" s="41"/>
    </row>
    <row r="38" spans="2:11">
      <c r="B38" s="37" t="s">
        <v>26</v>
      </c>
      <c r="C38" s="37" t="s">
        <v>71</v>
      </c>
      <c r="D38" s="37" t="s">
        <v>72</v>
      </c>
      <c r="E38" s="43"/>
      <c r="G38" s="44" t="s">
        <v>82</v>
      </c>
      <c r="H38" s="44" t="s">
        <v>73</v>
      </c>
      <c r="I38" s="59" t="s">
        <v>83</v>
      </c>
      <c r="J38" s="60"/>
    </row>
    <row r="39" spans="2:11">
      <c r="B39" s="38" t="s">
        <v>84</v>
      </c>
      <c r="C39" s="37">
        <v>25</v>
      </c>
      <c r="D39" s="37">
        <v>50</v>
      </c>
      <c r="E39" s="40"/>
      <c r="G39" s="61" t="s">
        <v>102</v>
      </c>
      <c r="H39" s="61" t="s">
        <v>100</v>
      </c>
      <c r="I39" s="64" t="s">
        <v>103</v>
      </c>
      <c r="J39" s="65"/>
    </row>
    <row r="40" spans="2:11">
      <c r="B40" s="38" t="s">
        <v>86</v>
      </c>
      <c r="C40" s="37">
        <v>35</v>
      </c>
      <c r="D40" s="37">
        <v>80</v>
      </c>
      <c r="E40" s="40"/>
      <c r="G40" s="62"/>
      <c r="H40" s="62"/>
      <c r="I40" s="64"/>
      <c r="J40" s="65"/>
    </row>
    <row r="41" spans="2:11">
      <c r="B41" s="38" t="s">
        <v>90</v>
      </c>
      <c r="C41" s="37">
        <f>SUM(C30:C36)/7</f>
        <v>30.428571428571427</v>
      </c>
      <c r="D41" s="37">
        <f>SUM(D30:D36)/7</f>
        <v>61.428571428571431</v>
      </c>
      <c r="E41" s="41"/>
      <c r="G41" s="63"/>
      <c r="H41" s="63"/>
      <c r="I41" s="66"/>
      <c r="J41" s="67"/>
    </row>
    <row r="43" spans="2:11" ht="17" thickBot="1">
      <c r="B43" s="68" t="s">
        <v>104</v>
      </c>
      <c r="C43" s="68"/>
      <c r="D43" s="68"/>
      <c r="E43" s="68"/>
      <c r="F43" s="68"/>
      <c r="G43" s="68"/>
      <c r="H43" s="68"/>
      <c r="I43" s="68"/>
      <c r="J43" s="68"/>
      <c r="K43" s="68"/>
    </row>
    <row r="44" spans="2:11">
      <c r="B44" s="69" t="s">
        <v>105</v>
      </c>
      <c r="C44" s="70"/>
      <c r="D44" s="70"/>
      <c r="E44" s="70"/>
      <c r="F44" s="70"/>
      <c r="G44" s="70"/>
      <c r="H44" s="70"/>
      <c r="I44" s="70"/>
      <c r="J44" s="70"/>
      <c r="K44" s="71"/>
    </row>
    <row r="45" spans="2:11" ht="17" thickBot="1">
      <c r="B45" s="72"/>
      <c r="C45" s="73"/>
      <c r="D45" s="73"/>
      <c r="E45" s="73"/>
      <c r="F45" s="73"/>
      <c r="G45" s="73"/>
      <c r="H45" s="73"/>
      <c r="I45" s="73"/>
      <c r="J45" s="73"/>
      <c r="K45" s="74"/>
    </row>
    <row r="51" ht="15" customHeight="1"/>
    <row r="52" ht="14.5" customHeight="1"/>
    <row r="54" ht="15" customHeight="1"/>
  </sheetData>
  <mergeCells count="10">
    <mergeCell ref="B44:K45"/>
    <mergeCell ref="B17:K17"/>
    <mergeCell ref="B18:K19"/>
    <mergeCell ref="B21:K21"/>
    <mergeCell ref="B22:K23"/>
    <mergeCell ref="I38:J38"/>
    <mergeCell ref="G39:G41"/>
    <mergeCell ref="H39:H41"/>
    <mergeCell ref="I39:J41"/>
    <mergeCell ref="B43:K43"/>
  </mergeCells>
  <pageMargins left="0.7" right="0.7" top="0.75" bottom="0.75" header="0.3" footer="0.3"/>
  <legacy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Solution3</vt:lpstr>
      <vt:lpstr>Solution4</vt:lpstr>
      <vt:lpstr>Solution9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2020-04-01T02:51:51Z</dcterms:created>
  <dcterms:modified xsi:type="dcterms:W3CDTF">2020-04-01T03:40:54Z</dcterms:modified>
</cp:coreProperties>
</file>