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urken1\Dropbox\CAREY\Advanced Business Analytics\ABA\MOP\Slides\"/>
    </mc:Choice>
  </mc:AlternateContent>
  <xr:revisionPtr revIDLastSave="0" documentId="13_ncr:1_{09F9141D-718B-4689-83D8-E56CE354869E}" xr6:coauthVersionLast="36" xr6:coauthVersionMax="36" xr10:uidLastSave="{00000000-0000-0000-0000-000000000000}"/>
  <bookViews>
    <workbookView xWindow="0" yWindow="0" windowWidth="18240" windowHeight="7387" firstSheet="8" activeTab="16" xr2:uid="{A79D742A-125D-4805-893E-C65B32CC7703}"/>
  </bookViews>
  <sheets>
    <sheet name="Susan Lovett (1)" sheetId="1" r:id="rId1"/>
    <sheet name="Susan Lovett (2)" sheetId="2" r:id="rId2"/>
    <sheet name="Susan Lovett (3)" sheetId="3" r:id="rId3"/>
    <sheet name="Susan Lovett (4)" sheetId="4" r:id="rId4"/>
    <sheet name="Utility Company (2)" sheetId="6" r:id="rId5"/>
    <sheet name="Utility Company" sheetId="5" r:id="rId6"/>
    <sheet name="STS_1" sheetId="15" r:id="rId7"/>
    <sheet name="Utility Company (3)" sheetId="16" r:id="rId8"/>
    <sheet name="STS_2" sheetId="20" r:id="rId9"/>
    <sheet name="DEA Formulation For B2" sheetId="7" r:id="rId10"/>
    <sheet name="Sensitivity Report for B2" sheetId="8" r:id="rId11"/>
    <sheet name="DEA Formulation For B4" sheetId="9" r:id="rId12"/>
    <sheet name="DEA Formulation For B4_STS" sheetId="21" state="veryHidden" r:id="rId13"/>
    <sheet name="Utility Company (3)_STS" sheetId="17" state="veryHidden" r:id="rId14"/>
    <sheet name="Utility Company (2)_STS" sheetId="14" state="veryHidden" r:id="rId15"/>
    <sheet name="Utility Company_STS" sheetId="12" state="veryHidden" r:id="rId16"/>
    <sheet name="STS_3" sheetId="22" r:id="rId17"/>
  </sheets>
  <definedNames>
    <definedName name="ChartData" localSheetId="8">STS_2!$K$5:$K$20</definedName>
    <definedName name="ChartData" localSheetId="16">STS_3!$K$5:$K$9</definedName>
    <definedName name="ChartData1" localSheetId="6">STS_1!$N$5:$N$15</definedName>
    <definedName name="ChartData2" localSheetId="6">STS_1!$R$5:$R$15</definedName>
    <definedName name="Efficiency">#REF!</definedName>
    <definedName name="I_Expesnse">#REF!</definedName>
    <definedName name="I_FTE">#REF!</definedName>
    <definedName name="InputValues" localSheetId="8">STS_2!$A$5:$A$20</definedName>
    <definedName name="InputValues" localSheetId="16">STS_3!$A$5:$A$9</definedName>
    <definedName name="InputValues1" localSheetId="6">STS_1!$A$5:$A$15</definedName>
    <definedName name="InputValues2" localSheetId="6">STS_1!$B$4:$L$4</definedName>
    <definedName name="O_Deposit">#REF!</definedName>
    <definedName name="O_Loan">#REF!</definedName>
    <definedName name="OutputAddresses" localSheetId="6">STS_1!$AZ$2:$AZ$5</definedName>
    <definedName name="OutputAddresses" localSheetId="8">STS_2!$B$4:$E$4</definedName>
    <definedName name="OutputAddresses" localSheetId="16">STS_3!$B$4</definedName>
    <definedName name="OutputValues" localSheetId="8">STS_2!$B$5:$E$20</definedName>
    <definedName name="OutputValues" localSheetId="16">STS_3!$B$5:$B$9</definedName>
    <definedName name="OutputValues_1" localSheetId="6">STS_1!$B$5:$L$15</definedName>
    <definedName name="OutputValues_2" localSheetId="6">STS_1!$B$18:$L$28</definedName>
    <definedName name="OutputValues_3" localSheetId="6">STS_1!$B$31:$L$41</definedName>
    <definedName name="OutputValues_4" localSheetId="6">STS_1!$B$44:$L$54</definedName>
    <definedName name="solver_adj" localSheetId="9" hidden="1">'DEA Formulation For B2'!$C$12:$F$12</definedName>
    <definedName name="solver_adj" localSheetId="11" hidden="1">'DEA Formulation For B4'!$C$12:$F$12</definedName>
    <definedName name="solver_adj" localSheetId="0" hidden="1">'Susan Lovett (1)'!$B$4:$G$4,'Susan Lovett (1)'!$I$4:$J$7</definedName>
    <definedName name="solver_adj" localSheetId="1" hidden="1">'Susan Lovett (2)'!$B$4:$G$4,'Susan Lovett (2)'!$I$4:$J$7</definedName>
    <definedName name="solver_adj" localSheetId="2" hidden="1">'Susan Lovett (3)'!$B$4:$G$4,'Susan Lovett (3)'!$I$4:$J$7</definedName>
    <definedName name="solver_adj" localSheetId="3" hidden="1">'Susan Lovett (4)'!$B$4:$G$4,'Susan Lovett (4)'!$I$4:$J$7</definedName>
    <definedName name="solver_adj" localSheetId="5" hidden="1">'Utility Company'!$B$4:$C$4</definedName>
    <definedName name="solver_adj" localSheetId="4" hidden="1">'Utility Company (2)'!$B$4:$C$4,'Utility Company (2)'!$G$9</definedName>
    <definedName name="solver_adj" localSheetId="7" hidden="1">'Utility Company (3)'!$B$4:$C$4</definedName>
    <definedName name="solver_cvg" localSheetId="9" hidden="1">0.0001</definedName>
    <definedName name="solver_cvg" localSheetId="11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cvg" localSheetId="7" hidden="1">0.0001</definedName>
    <definedName name="solver_drv" localSheetId="9" hidden="1">1</definedName>
    <definedName name="solver_drv" localSheetId="11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2</definedName>
    <definedName name="solver_drv" localSheetId="4" hidden="1">2</definedName>
    <definedName name="solver_drv" localSheetId="7" hidden="1">1</definedName>
    <definedName name="solver_eng" localSheetId="9" hidden="1">2</definedName>
    <definedName name="solver_eng" localSheetId="11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4" hidden="1">2</definedName>
    <definedName name="solver_eng" localSheetId="7" hidden="1">2</definedName>
    <definedName name="solver_est" localSheetId="9" hidden="1">1</definedName>
    <definedName name="solver_est" localSheetId="11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est" localSheetId="7" hidden="1">1</definedName>
    <definedName name="solver_itr" localSheetId="9" hidden="1">2147483647</definedName>
    <definedName name="solver_itr" localSheetId="11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itr" localSheetId="7" hidden="1">2147483647</definedName>
    <definedName name="solver_lhs1" localSheetId="9" hidden="1">'DEA Formulation For B2'!$G$16</definedName>
    <definedName name="solver_lhs1" localSheetId="11" hidden="1">'DEA Formulation For B4'!$G$16</definedName>
    <definedName name="solver_lhs1" localSheetId="0" hidden="1">'Susan Lovett (1)'!$B$4:$G$4</definedName>
    <definedName name="solver_lhs1" localSheetId="1" hidden="1">'Susan Lovett (2)'!$B$4:$G$4</definedName>
    <definedName name="solver_lhs1" localSheetId="2" hidden="1">'Susan Lovett (3)'!$B$4:$G$4</definedName>
    <definedName name="solver_lhs1" localSheetId="3" hidden="1">'Susan Lovett (4)'!$B$4:$G$4</definedName>
    <definedName name="solver_lhs1" localSheetId="5" hidden="1">'Utility Company'!$B$7</definedName>
    <definedName name="solver_lhs1" localSheetId="4" hidden="1">'Utility Company (2)'!$B$7</definedName>
    <definedName name="solver_lhs1" localSheetId="7" hidden="1">'Utility Company (3)'!$B$7</definedName>
    <definedName name="solver_lhs2" localSheetId="9" hidden="1">'DEA Formulation For B2'!$G$17:$G$21</definedName>
    <definedName name="solver_lhs2" localSheetId="11" hidden="1">'DEA Formulation For B4'!$G$17:$G$21</definedName>
    <definedName name="solver_lhs2" localSheetId="0" hidden="1">'Susan Lovett (1)'!$K$4:$K$7</definedName>
    <definedName name="solver_lhs2" localSheetId="1" hidden="1">'Susan Lovett (2)'!$K$4:$K$7</definedName>
    <definedName name="solver_lhs2" localSheetId="2" hidden="1">'Susan Lovett (3)'!$K$4:$K$7</definedName>
    <definedName name="solver_lhs2" localSheetId="3" hidden="1">'Susan Lovett (4)'!$K$4:$K$7</definedName>
    <definedName name="solver_lhs2" localSheetId="5" hidden="1">'Utility Company'!$C$7</definedName>
    <definedName name="solver_lhs2" localSheetId="4" hidden="1">'Utility Company (2)'!$C$7</definedName>
    <definedName name="solver_lhs2" localSheetId="7" hidden="1">'Utility Company (3)'!$C$7</definedName>
    <definedName name="solver_lhs3" localSheetId="5" hidden="1">'Utility Company'!$D$4</definedName>
    <definedName name="solver_lhs3" localSheetId="4" hidden="1">'Utility Company (2)'!$D$4</definedName>
    <definedName name="solver_lhs3" localSheetId="7" hidden="1">'Utility Company (3)'!$D$4</definedName>
    <definedName name="solver_lhs4" localSheetId="4" hidden="1">'Utility Company (2)'!$H$7</definedName>
    <definedName name="solver_lhs4" localSheetId="7" hidden="1">'Utility Company (3)'!$E$4</definedName>
    <definedName name="solver_lhs5" localSheetId="4" hidden="1">'Utility Company (2)'!$H$8</definedName>
    <definedName name="solver_lhs5" localSheetId="7" hidden="1">'Utility Company (3)'!$G$8</definedName>
    <definedName name="solver_mip" localSheetId="9" hidden="1">2147483647</definedName>
    <definedName name="solver_mip" localSheetId="11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7" hidden="1">2147483647</definedName>
    <definedName name="solver_mni" localSheetId="9" hidden="1">30</definedName>
    <definedName name="solver_mni" localSheetId="11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ni" localSheetId="7" hidden="1">30</definedName>
    <definedName name="solver_mrt" localSheetId="9" hidden="1">0.075</definedName>
    <definedName name="solver_mrt" localSheetId="11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rt" localSheetId="7" hidden="1">0.075</definedName>
    <definedName name="solver_msl" localSheetId="9" hidden="1">2</definedName>
    <definedName name="solver_msl" localSheetId="11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msl" localSheetId="7" hidden="1">2</definedName>
    <definedName name="solver_neg" localSheetId="9" hidden="1">1</definedName>
    <definedName name="solver_neg" localSheetId="1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eg" localSheetId="7" hidden="1">1</definedName>
    <definedName name="solver_nod" localSheetId="9" hidden="1">2147483647</definedName>
    <definedName name="solver_nod" localSheetId="11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od" localSheetId="7" hidden="1">2147483647</definedName>
    <definedName name="solver_ntri" hidden="1">1000</definedName>
    <definedName name="solver_num" localSheetId="9" hidden="1">2</definedName>
    <definedName name="solver_num" localSheetId="11" hidden="1">2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5" hidden="1">3</definedName>
    <definedName name="solver_num" localSheetId="4" hidden="1">5</definedName>
    <definedName name="solver_num" localSheetId="7" hidden="1">4</definedName>
    <definedName name="solver_nwt" localSheetId="9" hidden="1">1</definedName>
    <definedName name="solver_nwt" localSheetId="11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nwt" localSheetId="7" hidden="1">1</definedName>
    <definedName name="solver_opt" localSheetId="9" hidden="1">'DEA Formulation For B2'!$H$13</definedName>
    <definedName name="solver_opt" localSheetId="11" hidden="1">'DEA Formulation For B4'!$H$13</definedName>
    <definedName name="solver_opt" localSheetId="0" hidden="1">'Susan Lovett (1)'!$I$14</definedName>
    <definedName name="solver_opt" localSheetId="1" hidden="1">'Susan Lovett (2)'!$I$14</definedName>
    <definedName name="solver_opt" localSheetId="2" hidden="1">'Susan Lovett (3)'!$I$14</definedName>
    <definedName name="solver_opt" localSheetId="3" hidden="1">'Susan Lovett (4)'!$I$14</definedName>
    <definedName name="solver_opt" localSheetId="5" hidden="1">'Utility Company'!$G$9</definedName>
    <definedName name="solver_opt" localSheetId="4" hidden="1">'Utility Company (2)'!$G$9</definedName>
    <definedName name="solver_opt" localSheetId="7" hidden="1">'Utility Company (3)'!$B$10</definedName>
    <definedName name="solver_pre" localSheetId="9" hidden="1">0.000001</definedName>
    <definedName name="solver_pre" localSheetId="11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pre" localSheetId="7" hidden="1">0.000001</definedName>
    <definedName name="solver_rbv" localSheetId="9" hidden="1">1</definedName>
    <definedName name="solver_rbv" localSheetId="11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2</definedName>
    <definedName name="solver_rbv" localSheetId="4" hidden="1">2</definedName>
    <definedName name="solver_rbv" localSheetId="7" hidden="1">1</definedName>
    <definedName name="solver_rel1" localSheetId="9" hidden="1">2</definedName>
    <definedName name="solver_rel1" localSheetId="11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5" hidden="1">3</definedName>
    <definedName name="solver_rel1" localSheetId="4" hidden="1">3</definedName>
    <definedName name="solver_rel1" localSheetId="7" hidden="1">3</definedName>
    <definedName name="solver_rel2" localSheetId="9" hidden="1">1</definedName>
    <definedName name="solver_rel2" localSheetId="11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5" hidden="1">3</definedName>
    <definedName name="solver_rel2" localSheetId="4" hidden="1">3</definedName>
    <definedName name="solver_rel2" localSheetId="7" hidden="1">3</definedName>
    <definedName name="solver_rel3" localSheetId="5" hidden="1">1</definedName>
    <definedName name="solver_rel3" localSheetId="4" hidden="1">1</definedName>
    <definedName name="solver_rel3" localSheetId="7" hidden="1">1</definedName>
    <definedName name="solver_rel4" localSheetId="4" hidden="1">1</definedName>
    <definedName name="solver_rel4" localSheetId="7" hidden="1">1</definedName>
    <definedName name="solver_rel5" localSheetId="4" hidden="1">1</definedName>
    <definedName name="solver_rel5" localSheetId="7" hidden="1">1</definedName>
    <definedName name="solver_rhs1" localSheetId="9" hidden="1">'DEA Formulation For B2'!$I$16</definedName>
    <definedName name="solver_rhs1" localSheetId="11" hidden="1">'DEA Formulation For B4'!$I$16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5" hidden="1">'Utility Company'!$B$8</definedName>
    <definedName name="solver_rhs1" localSheetId="4" hidden="1">'Utility Company (2)'!$B$8</definedName>
    <definedName name="solver_rhs1" localSheetId="7" hidden="1">'Utility Company (3)'!$B$8</definedName>
    <definedName name="solver_rhs2" localSheetId="9" hidden="1">'DEA Formulation For B2'!$I$17:$I$21</definedName>
    <definedName name="solver_rhs2" localSheetId="11" hidden="1">'DEA Formulation For B4'!$I$17:$I$21</definedName>
    <definedName name="solver_rhs2" localSheetId="0" hidden="1">'Susan Lovett (1)'!$L$4:$L$7</definedName>
    <definedName name="solver_rhs2" localSheetId="1" hidden="1">'Susan Lovett (2)'!$L$4:$L$7</definedName>
    <definedName name="solver_rhs2" localSheetId="2" hidden="1">'Susan Lovett (3)'!$L$4:$L$7</definedName>
    <definedName name="solver_rhs2" localSheetId="3" hidden="1">'Susan Lovett (4)'!$L$4:$L$7</definedName>
    <definedName name="solver_rhs2" localSheetId="5" hidden="1">'Utility Company'!$C$8</definedName>
    <definedName name="solver_rhs2" localSheetId="4" hidden="1">'Utility Company (2)'!$C$8</definedName>
    <definedName name="solver_rhs2" localSheetId="7" hidden="1">'Utility Company (3)'!$C$8</definedName>
    <definedName name="solver_rhs3" localSheetId="5" hidden="1">'Utility Company'!$H$4</definedName>
    <definedName name="solver_rhs3" localSheetId="4" hidden="1">'Utility Company (2)'!$H$4</definedName>
    <definedName name="solver_rhs3" localSheetId="7" hidden="1">'Utility Company (3)'!$G$4</definedName>
    <definedName name="solver_rhs4" localSheetId="4" hidden="1">'Utility Company (2)'!$G$9</definedName>
    <definedName name="solver_rhs4" localSheetId="7" hidden="1">'Utility Company (3)'!$F$4</definedName>
    <definedName name="solver_rhs5" localSheetId="4" hidden="1">'Utility Company (2)'!$G$9</definedName>
    <definedName name="solver_rhs5" localSheetId="7" hidden="1">'Utility Company (3)'!#REF!</definedName>
    <definedName name="solver_rlx" localSheetId="9" hidden="1">2</definedName>
    <definedName name="solver_rlx" localSheetId="11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lx" localSheetId="7" hidden="1">2</definedName>
    <definedName name="solver_rsd" localSheetId="9" hidden="1">0</definedName>
    <definedName name="solver_rsd" localSheetId="11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rsd" localSheetId="7" hidden="1">0</definedName>
    <definedName name="solver_rsmp" hidden="1">2</definedName>
    <definedName name="solver_scl" localSheetId="9" hidden="1">1</definedName>
    <definedName name="solver_scl" localSheetId="11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2</definedName>
    <definedName name="solver_scl" localSheetId="4" hidden="1">2</definedName>
    <definedName name="solver_scl" localSheetId="7" hidden="1">1</definedName>
    <definedName name="solver_seed" hidden="1">0</definedName>
    <definedName name="solver_sho" localSheetId="9" hidden="1">2</definedName>
    <definedName name="solver_sho" localSheetId="11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ho" localSheetId="7" hidden="1">2</definedName>
    <definedName name="solver_ssz" localSheetId="9" hidden="1">100</definedName>
    <definedName name="solver_ssz" localSheetId="11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ssz" localSheetId="7" hidden="1">100</definedName>
    <definedName name="solver_tim" localSheetId="9" hidden="1">2147483647</definedName>
    <definedName name="solver_tim" localSheetId="11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im" localSheetId="7" hidden="1">2147483647</definedName>
    <definedName name="solver_tol" localSheetId="9" hidden="1">0.01</definedName>
    <definedName name="solver_tol" localSheetId="11" hidden="1">0.01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5" hidden="1">0.01</definedName>
    <definedName name="solver_tol" localSheetId="4" hidden="1">0.01</definedName>
    <definedName name="solver_tol" localSheetId="7" hidden="1">0.01</definedName>
    <definedName name="solver_typ" localSheetId="9" hidden="1">1</definedName>
    <definedName name="solver_typ" localSheetId="11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typ" localSheetId="7" hidden="1">1</definedName>
    <definedName name="solver_val" localSheetId="9" hidden="1">0</definedName>
    <definedName name="solver_val" localSheetId="11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7" hidden="1">0</definedName>
    <definedName name="solver_ver" localSheetId="9" hidden="1">3</definedName>
    <definedName name="solver_ver" localSheetId="11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E4" i="5" s="1"/>
  <c r="D5" i="5" s="1"/>
  <c r="G5" i="5" s="1"/>
  <c r="G4" i="5" l="1"/>
  <c r="F16" i="9"/>
  <c r="E16" i="9"/>
  <c r="D13" i="9"/>
  <c r="C13" i="9"/>
  <c r="G17" i="7"/>
  <c r="G16" i="7"/>
  <c r="H13" i="7"/>
  <c r="H13" i="9" l="1"/>
  <c r="G16" i="9"/>
  <c r="H4" i="5"/>
  <c r="C7" i="5"/>
  <c r="B7" i="5"/>
  <c r="D4" i="6"/>
  <c r="E4" i="6" s="1"/>
  <c r="D5" i="6" s="1"/>
  <c r="L10" i="4"/>
  <c r="M10" i="4"/>
  <c r="K7" i="3"/>
  <c r="K6" i="3"/>
  <c r="H6" i="3"/>
  <c r="H4" i="3"/>
  <c r="I14" i="1"/>
  <c r="H5" i="1"/>
  <c r="H7" i="1"/>
  <c r="H6" i="1"/>
  <c r="H4" i="1"/>
  <c r="K4" i="1" s="1"/>
  <c r="G4" i="6" l="1"/>
  <c r="H7" i="6" s="1"/>
  <c r="K1" i="22"/>
  <c r="K9" i="22"/>
  <c r="K8" i="22"/>
  <c r="K7" i="22"/>
  <c r="K6" i="22"/>
  <c r="K5" i="22"/>
  <c r="J4" i="22"/>
  <c r="K1" i="20"/>
  <c r="J4" i="20"/>
  <c r="K19" i="20" s="1"/>
  <c r="C7" i="16"/>
  <c r="B7" i="16"/>
  <c r="G4" i="16"/>
  <c r="D4" i="16"/>
  <c r="E4" i="16" s="1"/>
  <c r="B10" i="16" s="1"/>
  <c r="R1" i="15"/>
  <c r="N1" i="15"/>
  <c r="T4" i="15"/>
  <c r="Q4" i="15"/>
  <c r="Q5" i="15" s="1"/>
  <c r="P4" i="15"/>
  <c r="M4" i="15"/>
  <c r="M5" i="15" s="1"/>
  <c r="N7" i="15"/>
  <c r="R6" i="15"/>
  <c r="R7" i="15"/>
  <c r="R12" i="15"/>
  <c r="R10" i="15"/>
  <c r="R15" i="15"/>
  <c r="R14" i="15"/>
  <c r="R9" i="15"/>
  <c r="N12" i="15"/>
  <c r="N15" i="15"/>
  <c r="N6" i="15"/>
  <c r="N13" i="15"/>
  <c r="R13" i="15"/>
  <c r="N9" i="15"/>
  <c r="N10" i="15"/>
  <c r="R11" i="15"/>
  <c r="R8" i="15"/>
  <c r="N8" i="15"/>
  <c r="N14" i="15"/>
  <c r="N11" i="15"/>
  <c r="R5" i="15"/>
  <c r="N5" i="15"/>
  <c r="K6" i="20" l="1"/>
  <c r="K14" i="20"/>
  <c r="K16" i="20"/>
  <c r="K5" i="20"/>
  <c r="K8" i="20"/>
  <c r="K9" i="20"/>
  <c r="K17" i="20"/>
  <c r="K12" i="20"/>
  <c r="K13" i="20"/>
  <c r="K15" i="20"/>
  <c r="K10" i="20"/>
  <c r="K18" i="20"/>
  <c r="K20" i="20"/>
  <c r="K7" i="20"/>
  <c r="K11" i="20"/>
  <c r="F21" i="9"/>
  <c r="G21" i="9" s="1"/>
  <c r="E21" i="9"/>
  <c r="D21" i="9"/>
  <c r="C21" i="9"/>
  <c r="F20" i="9"/>
  <c r="G20" i="9" s="1"/>
  <c r="E20" i="9"/>
  <c r="D20" i="9"/>
  <c r="C20" i="9"/>
  <c r="F19" i="9"/>
  <c r="E19" i="9"/>
  <c r="D19" i="9"/>
  <c r="C19" i="9"/>
  <c r="G19" i="9" s="1"/>
  <c r="F18" i="9"/>
  <c r="E18" i="9"/>
  <c r="G18" i="9" s="1"/>
  <c r="D18" i="9"/>
  <c r="C18" i="9"/>
  <c r="F17" i="9"/>
  <c r="E17" i="9"/>
  <c r="D17" i="9"/>
  <c r="C17" i="9"/>
  <c r="G17" i="9" s="1"/>
  <c r="F21" i="7"/>
  <c r="E21" i="7"/>
  <c r="G21" i="7" s="1"/>
  <c r="D21" i="7"/>
  <c r="C21" i="7"/>
  <c r="F20" i="7"/>
  <c r="E20" i="7"/>
  <c r="D20" i="7"/>
  <c r="C20" i="7"/>
  <c r="G20" i="7" s="1"/>
  <c r="G19" i="7"/>
  <c r="F19" i="7"/>
  <c r="E19" i="7"/>
  <c r="D19" i="7"/>
  <c r="C19" i="7"/>
  <c r="F18" i="7"/>
  <c r="E18" i="7"/>
  <c r="D18" i="7"/>
  <c r="C18" i="7"/>
  <c r="G18" i="7" s="1"/>
  <c r="F17" i="7"/>
  <c r="E17" i="7"/>
  <c r="D17" i="7"/>
  <c r="C17" i="7"/>
  <c r="G9" i="5" l="1"/>
  <c r="C7" i="6"/>
  <c r="B7" i="6"/>
  <c r="H4" i="6"/>
  <c r="M11" i="4"/>
  <c r="M12" i="4"/>
  <c r="M13" i="4"/>
  <c r="L11" i="4"/>
  <c r="L12" i="4"/>
  <c r="L13" i="4"/>
  <c r="L7" i="4"/>
  <c r="L6" i="4"/>
  <c r="H7" i="4"/>
  <c r="K7" i="4" s="1"/>
  <c r="H6" i="4"/>
  <c r="K6" i="4" s="1"/>
  <c r="H5" i="4"/>
  <c r="K5" i="4" s="1"/>
  <c r="H4" i="4"/>
  <c r="K4" i="4" s="1"/>
  <c r="I14" i="3"/>
  <c r="H7" i="3"/>
  <c r="H5" i="3"/>
  <c r="K5" i="3" s="1"/>
  <c r="K4" i="3"/>
  <c r="I14" i="2"/>
  <c r="H7" i="2"/>
  <c r="K7" i="2" s="1"/>
  <c r="H6" i="2"/>
  <c r="K6" i="2" s="1"/>
  <c r="H5" i="2"/>
  <c r="K5" i="2" s="1"/>
  <c r="H4" i="2"/>
  <c r="K4" i="2" s="1"/>
  <c r="I14" i="4" l="1"/>
  <c r="K6" i="1"/>
  <c r="K7" i="1"/>
  <c r="K5" i="1"/>
  <c r="G5" i="6" l="1"/>
  <c r="H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Nazli Turken</author>
  </authors>
  <commentList>
    <comment ref="B5" authorId="0" shapeId="0" xr:uid="{8751249A-A976-47BF-BA8A-3F84EFB2C2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6EE799FF-0DD4-4BBF-B056-A7AB92BF55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5F6AF899-1698-4D2F-B9E1-10755789DF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21F27D96-1F08-4CF1-AF1A-C69198187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A30F2567-5CD6-4E19-A88A-F5E98A9E07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8A3B548F-45D9-44D2-ACC7-2ED50999C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2F3C60F3-BFF1-4DAE-B747-C6001C3203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E3A8DDFD-6063-463A-B7B1-B0AC7ACBAD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1BAFAD12-7A2C-43B8-9A6D-412375FDCE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05A364F2-5845-4B52-98DC-8A1B7C3F1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" authorId="0" shapeId="0" xr:uid="{A4106C0F-789A-4B97-ACD2-D1EC5764FF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239CE98-6A7E-4E10-B64D-8FE8E5935E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4B218406-A2F3-4342-9B3F-86CEA5A84B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4D1822EE-7442-4B51-A47E-E59CD9509B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B1AE4078-7375-443F-ADBC-AD450C07A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BEB8B1EB-D48B-4F62-9C1C-7F42AB9635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2B747B3D-58BB-446A-A42F-3B4F7040F8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D0AC4EF2-7C35-42AD-B5BA-998C86674A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826806D5-BB01-4BDD-962C-8579C7A305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3CE4FDFD-FDFE-422C-AFDA-A394EB158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DE69E724-7FE7-4B1E-AC5E-C488F09989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6F54EF99-E172-4B8E-8FEC-1A63E630E4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9098354F-2AAB-4F28-8742-87AF9BD0EC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467320BC-94B4-4CBF-B9D0-00B6E300AB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DCA27211-567A-4041-979E-6E1EC1B0C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69FC0440-80FC-4FDA-BD36-49CA3131E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7FB4E8F8-3341-4DD2-8279-C95EE380F9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E2D1F80D-3FB3-4DB5-8A5A-152CC213DF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AD94CEED-4D37-44EF-A1ED-CDFE08C52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02C1385E-1D31-49BF-AA5D-12CB39D8E4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D56F76E8-404F-4802-BDF6-DE7CD2DF2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7E3ABD4D-8DA1-4A00-88F1-BEBB625B5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" authorId="0" shapeId="0" xr:uid="{7B410976-5420-4649-9C5B-81B7E96699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E0D6712-AF88-4E44-AC32-5741B4C20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4FBB87F3-A624-410F-95C7-28844DE37C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4FA546FE-7C07-4145-80BE-A61F6767F6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95C15F58-90CD-4449-8A90-4F6BC1AEA1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71B964FD-C394-494B-AE31-0B5053C50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6AF4EA56-A839-47D8-BA04-B09AB76546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84A3462A-4312-4FDD-A30E-0B90ED60DB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F75126F1-A57E-420C-B5FD-780C0A2D0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4554867B-4105-4981-93F1-0F851451B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E69756E8-C405-4215-AEDE-3722BC594C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" authorId="0" shapeId="0" xr:uid="{F7798EEB-87D1-43F3-A896-1C6299FFA6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A99750D1-7D71-437C-9F2A-DDE3981542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1C33AAA8-D65E-45A9-B080-4C85534EF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40B28067-DBB9-4D15-89B0-5BBE03B372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6BE8B67A-D6DC-4DEF-BE9D-6412FC561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B7E1449B-F358-4373-B3D1-701BAD5A22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D322C5A0-55FD-4FBC-8C76-9D391BA3A9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E36C5684-280B-4B1F-8865-1D1E38F46B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5EB7BCED-3F10-4B34-86EF-E33C011EBF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2D0FEB91-6343-41DD-8604-D340611E48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4F803A2F-575C-49BA-9972-99AD9E1994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6A2431D7-F935-433C-B0BB-082D9F4B62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2A8742D-2019-4F51-8C91-8C6FFB2457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CD691627-B652-43F6-AB03-4168326E1C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4C936D2E-F25B-4DB0-BB66-229A4CED05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F0F0FB23-3D47-42AB-B263-C9600803F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154C321C-FB7C-4001-B2DF-11C832EABF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5F85D1B9-8891-45D4-B8DC-7100036EAD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14C44DF2-5C99-4DCB-A6FE-AFE0C1DB6B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9FF10F45-748C-4F8D-9505-AA01CC57B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167908C9-9AF0-4E0C-A7D3-8C5476B610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CE4919B4-8E80-44E5-8700-4AE134DE41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8E450081-3226-4D2F-89C8-88D3C87BF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FA30EF3-B72A-42F5-975A-1D4C9D38EF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D2706E4E-EE67-48E5-9047-4EEE762B97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618771AA-18DA-46A6-B995-465AF69E5D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0B599E5F-6201-4271-9125-351DC0D6E0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7DE272F5-94E0-471A-A243-6CDD344CB3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AEB2DAD5-F3C5-4534-B932-B5DB6CE24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267CCACB-6943-4253-A001-C2A6335C46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95FCFF3E-6C2D-4024-B7B4-4CBA73809B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A59868FD-4ED5-4835-81A0-3604E249A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D7C91B71-B19A-420B-8CB1-3AD45C775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09406171-4F9D-450A-A5CE-59D9E4E5B4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36CCA76-A206-4F1D-93E5-1D420A17D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C0892175-5229-47C1-8C2E-D43920411B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C56E173A-2933-4D5C-B07C-85D535B48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EA8CEF4E-79A9-436E-BF21-07ABFF4F0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36761CB4-3831-48BB-85F9-194A954CA5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37ACFD90-EF3E-4E5B-8971-BBA392D3CB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6E4A91B3-8CFB-403F-95B0-33E66A3606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19C2DD71-DE55-4675-819A-7F29E25D6E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B9499AC8-D43F-48F6-8CBC-7EF4B47BEE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D9EF40CF-6099-4BC7-9322-85A8D98B66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" authorId="0" shapeId="0" xr:uid="{E2814645-8E0E-4036-B7F9-EA53DBD367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57B4C1F9-A018-404F-B2B2-310AACEBA5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7D8BC423-88E4-4F20-9A94-DE91A7991D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61F95A26-2B04-4E55-9164-1D0C6E695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703BB487-0127-4849-995E-C3A965747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54799CFA-C886-4422-8539-F835988A54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8164DC11-E031-4568-9F2D-21DBE4523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6EF73471-12A3-415E-BC78-543A32BC16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D998C69E-954A-41FF-A155-30B18AF454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3B43779D-DCFF-461A-B792-9FC120AF90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FA651934-B7B6-4B32-A888-DA48CE977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" authorId="0" shapeId="0" xr:uid="{9773DAC1-9F46-455F-BC13-2B4BE18B75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AF750ED8-C58B-4DCB-BC7D-E32C3E9C67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6215B879-08E4-45DA-BE5D-877E507C49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F5149A95-A076-4B29-9FAA-D5E9251ED4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04073620-B1E2-4155-B437-54B45C465C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AAC1B274-E3CF-428A-BBBF-20538AB8E0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E0066847-1DCD-4F6A-965C-13FE25BD82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04B8E689-9A3D-4D0C-8B76-B9A00F010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0838183D-F339-4085-B165-2DB3FBED4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FDDEC507-3168-4D17-929F-774CC1242C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CA5F27B0-728D-4A2E-8561-2EEBDA11C5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" authorId="0" shapeId="0" xr:uid="{93606BF6-AF12-451F-AAF4-772CDC5D84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2CD87BF-F2AE-4088-A937-AA02B149D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C4C0EA21-0930-4472-8C84-F81E383CB4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1EAB2972-06EA-4AC1-94F6-D2294127CF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0125F942-520D-463C-9295-D09960841E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055E42D8-BFA3-4056-9496-40F7B86299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A9374F2C-0252-40A6-929F-0781C809D6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4E534D5B-499D-4D54-A9F3-0A09B19A79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DB04A9B1-2ED6-44C5-9D31-B9E55963AC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CB54DAD4-1485-4C2C-BECC-E8656EDA95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28524630-BF3C-4289-A13A-63E2C91F50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5" authorId="0" shapeId="0" xr:uid="{2B73ABBC-E4B5-4A32-A4D9-F4138CF084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266BE16-7626-4E53-84B0-D75C8E3C6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CDA0C583-A426-41C4-93A5-A603C5958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10425338-1BD1-4CB9-BE1B-C340A03CF9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16DF660A-6EB0-47E8-BE77-2B3256EE31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E09200ED-C137-431F-87FF-B0117C6804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281EEE6B-0D9B-481F-BE29-6D3B7162A1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9DB7B638-2A20-4166-BEBD-0B5A70AF5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36E1B900-1D22-4CE1-8F62-E424501FC1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2F22A25E-0994-4292-A8BC-5A3F36B9E7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2266AFEE-39C1-49F8-9244-3763BC7207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8" authorId="0" shapeId="0" xr:uid="{D880A19D-92B2-4CD9-B95E-A45249868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0142CC7-D8DA-436B-8A80-F9C2BC2275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53CE354A-C263-456A-9341-92B6F4AF96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7F9AD72E-C9E7-429A-AAC9-D1FA25816B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7D5090E8-22CA-4CB4-B0A0-19920CC272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214AEE5F-B2AB-4A05-9337-D31A85241B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ADAC9CB5-ACAC-4134-93BF-DDD2B24E39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2DDEDC99-BE90-4341-94F7-5CE9497002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82880314-E52D-466E-92EA-CFF1958E7C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142C688D-7897-47AB-A7D3-56D9697E66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8D504954-77AB-4B3B-ABC4-B615E2EB93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9" authorId="0" shapeId="0" xr:uid="{5C4B8DE1-8D4C-4ACA-97E5-93D9DA6480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292A3CD-9D4A-4610-B47A-2A6CE3EF47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73516569-3A8C-4610-B0F3-D0F0D6946C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898EB14F-D5C5-4AD9-B42A-67BC4C2F09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E984B36F-EA14-4F97-93B1-03594CEB3A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84FF16CC-8B1F-4C26-BF43-2CFF924013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38267F1C-1B38-4268-A596-6EB41DD8FB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A9F6493D-13A4-4280-A248-2BF6BD04B1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F1E63863-38A6-486A-A392-10FCB0FBDE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5DE8CCE5-E41E-4CC3-98F6-7D05B9A4F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481A508F-3731-47B4-B0E6-DEEA09B595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" authorId="0" shapeId="0" xr:uid="{E37B58DC-028E-4DBC-B806-BA3476C986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A6E8B37A-E476-4DDA-A7A3-1D9EF70D81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ABD8D419-393D-4962-AA6E-CE8FE0F825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95862A41-8A6D-4F06-BABF-040F72F261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C866C2C6-C329-4172-B364-69DDF270EF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C63B68CE-FB8F-498A-A585-3779BD87D5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766385CD-3481-4D3F-86ED-CF7CEA03CA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 shapeId="0" xr:uid="{D9FBADBE-6482-4562-B248-85EBBC513C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 shapeId="0" xr:uid="{EABDC3AC-C36B-4434-9534-80006C673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 shapeId="0" xr:uid="{370F94DF-622E-4702-9FC2-B95542DCCB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 shapeId="0" xr:uid="{1C3A82B3-CE70-468C-A9BD-C34EBBE23A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1" authorId="0" shapeId="0" xr:uid="{80A9087B-A5FB-452A-AD6A-CA49442C18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2022C969-5ACA-4FF2-92E0-B15B612885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42992982-6C48-4165-859E-B13507A170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9E1D04F3-CD13-48A0-9091-EAD19F056A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0D21CB40-3763-4F4A-B647-E85736313D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7E29B32A-5B90-4A78-9612-49BB41A40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C13A0745-21C9-4759-9DE9-30A60E0888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 shapeId="0" xr:uid="{9219DC06-576E-45F7-A26E-98D7E3CDE1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 shapeId="0" xr:uid="{DCB549A8-D3EC-49C9-9031-CD1A6B4F3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 shapeId="0" xr:uid="{DBCB7237-9BF9-4409-86F2-CD9A72FED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 shapeId="0" xr:uid="{2D9203C0-B892-4B29-B688-DDA0A2C02B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2" authorId="0" shapeId="0" xr:uid="{15AEC462-1D7B-4200-AC20-89E0B2B3FF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62805D63-CDB1-46BB-A76B-728FADBBD9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32F01FB4-80BB-4128-BC3F-A70EBE0618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9D8508EA-CA99-4F88-8187-0CC495310E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DEEE009B-6963-4CAB-81AD-1B16ECA460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1004AC53-3564-4ADE-89EC-BD80C0F534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761B2DAB-BD22-40A1-8BE5-3190C0C386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1D424B87-06A6-46B5-98D3-45DA56AF14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F8FC26F9-B907-4B27-A8BB-55EF237F8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 shapeId="0" xr:uid="{C5FDA336-F147-44F5-96D5-434C4D4501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 shapeId="0" xr:uid="{1469C519-D266-45D0-8221-F19D07FF7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3" authorId="0" shapeId="0" xr:uid="{DC36BF08-7D07-4E14-92D6-F7705BC53D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137C7289-1C3B-4BFF-9E5E-B21CBF375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04C235AC-53F9-4CBD-AA70-D0F6230BF4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37554D88-8428-42F0-9F83-C3A7C96620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BF660F9C-3124-411E-9326-E50CEC7E12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1414C813-5206-43DC-A238-FB5F9CCC4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0D519E35-C5FA-4904-8734-43B573F46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8C0D74B3-F2F2-40AD-8EA3-44C7E06D54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72DB6243-5957-4644-AA85-162B188045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 shapeId="0" xr:uid="{8EE1CC66-228A-4E8E-AFF4-6D444FF900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 shapeId="0" xr:uid="{7591C51E-D4F3-4A42-9A72-EF6C6A2D46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4" authorId="0" shapeId="0" xr:uid="{8FA1BDFE-2C5B-4FD9-B583-0F480EA652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AEBFB00A-639D-4A29-9894-345892D81A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14DD2D89-2167-4AC7-887B-5365F6FE1D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32E5E2C8-4EC1-4E74-949B-03136494A7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9E5368F5-72B0-4FE2-86C3-C5BBCD2858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AF626822-1708-4F25-9F5E-47EE8FA253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59ADA678-4594-47C5-9C1C-1A86A5509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4A16FA6B-BCE1-4231-B53C-2C94D99936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8CE3FB32-ED94-469F-80D0-DC0B1EAF7A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 shapeId="0" xr:uid="{E8F64403-1B3B-4ECE-8625-FD8DC73A79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 shapeId="0" xr:uid="{43B2ABF0-5FF3-4308-9CDA-2CCF13CF05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5" authorId="0" shapeId="0" xr:uid="{08427F7E-281C-455A-B370-50E635A2E7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C2495733-4A73-4861-8069-A63A1C4011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5C5F50BC-1F55-4365-9F95-EA38B0F0CD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2C280047-6FE4-4789-9D2F-2B61D9D61E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1A4A337B-250A-47A7-8E08-6B6BFEB14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CC4881B5-9AB3-4BF6-82C4-7045BA223D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F52BA816-5D3E-43EE-9BAE-9EB2B559AE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 shapeId="0" xr:uid="{754B8742-C23D-47E0-93BA-6CF07EE06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6" authorId="0" shapeId="0" xr:uid="{A3CC263D-BE57-4F1D-B384-E9EB840432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6" authorId="0" shapeId="0" xr:uid="{C2C2FD8B-2E72-4E5B-B2F0-20C51A3D9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6" authorId="0" shapeId="0" xr:uid="{20315A0D-75EA-4B55-B864-8257C2E124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6" authorId="0" shapeId="0" xr:uid="{1900A223-3B5A-4BAB-85EC-ACD99C083E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16EF71D5-25D4-48E8-BC0D-30FA304E14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BDC78844-6507-407F-820D-D215DFCFA0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CDC77320-25C9-4075-8C5E-658D11CBAE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 shapeId="0" xr:uid="{16923C1A-65D5-4F52-9747-1F62A0C115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" authorId="0" shapeId="0" xr:uid="{4714F83D-21C1-450C-9815-02DF45BF02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" authorId="0" shapeId="0" xr:uid="{A275761F-3964-4417-A37D-DBE7BC75A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7" authorId="0" shapeId="0" xr:uid="{9376F311-3FDC-4644-8978-1000D3D6FD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7" authorId="0" shapeId="0" xr:uid="{58E377B1-1B48-4F79-91CB-CF9F1EE1D0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7" authorId="0" shapeId="0" xr:uid="{CA5B43A8-A7B4-4708-9176-8207BFE5CF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7" authorId="0" shapeId="0" xr:uid="{D0A9E408-295F-4FA4-AE35-6D3C831EB8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7" authorId="0" shapeId="0" xr:uid="{577A43E2-A2AB-4709-9981-F9A54A6E0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BB8D6468-72EB-49D8-9DE4-AD2644A249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890E38D6-5663-4930-A7DD-64B39FF886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9A615278-927C-4ACA-A0F0-BA71C373B6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50831376-35FA-42C7-9125-E4D43CEE1C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 shapeId="0" xr:uid="{3B421D1A-9966-4E59-846C-D53AC595BD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" authorId="0" shapeId="0" xr:uid="{9070C206-C215-4245-B711-8E9274FCA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8" authorId="0" shapeId="0" xr:uid="{6E6995BF-BDB3-41FD-BB40-EA5F132117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8" authorId="0" shapeId="0" xr:uid="{E93CF97E-0144-48DE-9273-5DD63F50EF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8" authorId="0" shapeId="0" xr:uid="{0623233D-89BE-4902-9704-7B6A8D9C9A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8" authorId="0" shapeId="0" xr:uid="{BBB2BF79-F8E4-4495-A34F-44CD0C6E77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8" authorId="0" shapeId="0" xr:uid="{05FF3F5B-D470-40BA-954A-716DA25138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55E7584D-54C7-4E9F-991C-0E393CB34B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C0126DE6-9C8C-4032-BF8E-091262328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471B8B9A-2B94-4AE4-8380-5E0B3C16B4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70211928-5345-422B-AABD-EF3A5A4401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367F2048-109B-4E9E-B36B-DCB09832FC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038CD320-7AB6-4154-A406-8BC529188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1" authorId="0" shapeId="0" xr:uid="{9825B0A3-6D20-4389-91B2-D7F610CA1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" authorId="0" shapeId="0" xr:uid="{3A49DAD2-6878-4F6C-AD24-87160B075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" authorId="0" shapeId="0" xr:uid="{9BE30E12-9304-4D86-B641-EAC70B31C8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" authorId="0" shapeId="0" xr:uid="{D2AE5BB5-9C35-4A0E-BF75-406661C5C7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1" authorId="0" shapeId="0" xr:uid="{1CC7DAA0-D3B1-4CAB-B83D-7F4C7E00E5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FE3710BD-5ED6-4CE0-BC09-CF3D1F3873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477F7BD8-F6D0-4BC4-A717-9351A84FDD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80065648-8E0D-484C-897E-3EBFD65DFE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707A002E-6D1E-4A82-9E93-CE17BE4213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89DADB4A-0CBD-44A2-9AC5-45D9D75AA4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800A6742-A6CE-4136-9662-7F9AD5C371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F6F53201-F200-4BDC-B3A8-A31CD4B513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B8951814-7CB2-48B8-8009-BE6F88D34B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 shapeId="0" xr:uid="{F05346BF-625F-4177-A894-888314E09B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 shapeId="0" xr:uid="{90BCDC55-F4B2-48D5-8C27-9957F492DC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2" authorId="0" shapeId="0" xr:uid="{54A53B88-58D4-4E87-9A7C-5A6E7B0F0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D4514B36-BB2C-4331-91E0-74001F5D6B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F2B8E1AC-9267-4EAB-A9F6-E0985421F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DC92F551-DBE0-465F-A154-6AB6BC248A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9BC38C92-B04E-4981-B157-D733B3F846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CAD3B20D-4209-494F-ACC8-EAE11FDB3E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3640C626-05F7-43C9-8CDE-69E640A7B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D5706FA3-98CB-4C6E-ABC7-8FF6B56411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17F08803-3CB3-4C7D-B3C8-F6A0B3CA9D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 shapeId="0" xr:uid="{8C534C15-2E94-47B0-9AA3-B26A4F01CD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 shapeId="0" xr:uid="{8A16A495-7188-4621-9933-4D42A6ED43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3" authorId="0" shapeId="0" xr:uid="{AFFA29BE-CFBD-4B48-936A-78E2F5094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37141C82-1CEF-4F8E-BB13-5841778A53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C1CA382D-06DE-4FCB-B583-8A3DA55287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67828889-D4D4-4BD3-91BB-81DB49656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C3080235-7690-458D-BAF6-7D4B64C2BF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D7F623C7-2761-4CAC-803E-34AF0754AD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D74FEDAB-56A6-4AE7-8049-3FDFBE60C4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0F572695-376D-4309-B482-8949CEA800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E377D179-3F80-4328-98BF-9DF5B940A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0BEBD212-8233-40D5-9303-B4B7DF1903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028F566C-D013-43CF-8DDC-C91E3A48E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" authorId="0" shapeId="0" xr:uid="{ACA15F17-7277-4FD8-8C25-4EC92770F4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3ABFC929-FCAA-437D-AF1D-FF8F0B19C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95311D67-EE59-4CC5-8370-B7CB658CE3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E550CD02-BAF5-4824-9F26-F96DBB92BA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4B09AA98-589D-4F64-9584-C7143D2C56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1CD0F983-84F6-4286-BA64-52B81A8B6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0FB5378C-57F2-4A66-B112-79A883D014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 shapeId="0" xr:uid="{8CB44E30-8607-4A46-982F-CC993089A3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 shapeId="0" xr:uid="{B0A22C70-EA49-4146-B32F-80EFD152C6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5" authorId="0" shapeId="0" xr:uid="{4D13412D-5E63-469D-8D59-E22EF5153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5" authorId="0" shapeId="0" xr:uid="{B710FA0F-C69E-44BB-8EC6-3BAA3BC823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5" authorId="0" shapeId="0" xr:uid="{8FF9350B-EA34-4639-A9D8-FA272BC98B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B887CA97-974A-4773-9F96-9D1AF7DE9C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8775A9F5-698F-4F6D-82BC-DDCE10444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972DCA5B-576D-403C-90A0-9EA6BEEAA0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A2B2C62C-6FAD-4AF7-B160-43EF8498D4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05D0BD96-8502-422E-B1F3-A1B3308C3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D7D5E3E4-45C6-44F5-88BD-507D069769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 shapeId="0" xr:uid="{48707E5B-C40A-4960-90C3-EAD7FEA3C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 shapeId="0" xr:uid="{99151C05-5FB4-44ED-9161-40D5A2EFB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6" authorId="0" shapeId="0" xr:uid="{1B310E81-2F39-4D82-98E2-5769AEA0B2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6" authorId="0" shapeId="0" xr:uid="{C12411EA-52BF-4F3D-B877-716CBC3D7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6" authorId="0" shapeId="0" xr:uid="{99273F1A-3E58-4E74-98F6-ADF59F8C8E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FA239703-B3C5-4E1E-80D7-83F0BB0BB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57B8BFFC-FAAA-4B35-99FF-A042C2E6A0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8A4AB482-38A8-4FA1-BB61-CF128C173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C1F4D2D9-3C4B-4CED-BABB-822937A5E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C0AA6870-EFC5-4FBB-ACB3-B3009A1BA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4E5B8C9E-C043-462B-A46D-0D8017993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 shapeId="0" xr:uid="{882D93C4-CF1D-4709-A3AF-058AF43591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 shapeId="0" xr:uid="{053F1E3A-EFA7-4B9A-A474-3DB52130C1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7" authorId="0" shapeId="0" xr:uid="{B2E899F2-E7E4-4AC9-8AC6-186143E6DE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7" authorId="0" shapeId="0" xr:uid="{FC28470C-1B51-4A2B-AEA3-2FE39391A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7" authorId="0" shapeId="0" xr:uid="{54EA92ED-241E-458F-B77D-AFA6DB6FBD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C6778DCC-7F01-4130-BFA5-42D43542F7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D2EDC511-40C7-4790-9FBA-37F8A83F21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1211BC5D-A6C1-4780-A49C-14B5C40798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FB5755A9-91FF-4EC4-9FE1-C552E1E4FC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B94B2909-B222-46E6-AC41-861EE3817B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EF5FF579-5BF0-4206-9030-76CF49A5E5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BA805D89-8B68-4B60-9034-07D83451DF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734243A4-8E5E-47D6-9728-87DF31C1D7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444F5A09-E22C-4238-98F5-6B4B79EE8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D147E252-DE07-41E5-A50E-2BCF5D45F6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8" authorId="0" shapeId="0" xr:uid="{54F50D2B-20A7-41A6-A8E9-6702C5089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A5B3B71F-8603-4690-BA95-17D450C9A7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9F1542E4-005A-42AB-9A85-221AFF4FC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DFD4ACCB-0C2F-4857-A36B-FC35CF68AD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0017C227-24AD-4083-8B52-28DF994970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9567FC82-3AE1-4F99-9976-5DEC56845C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5DFAFA31-F9D3-4936-8535-29BA2E50B9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9" authorId="0" shapeId="0" xr:uid="{B8126E2E-4715-4304-A493-05E2DE8E8B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9" authorId="0" shapeId="0" xr:uid="{3DA700FE-234F-4B67-985E-CD181828C4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9" authorId="0" shapeId="0" xr:uid="{05723F87-3BC3-4DD8-9753-18763D8B9D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9" authorId="0" shapeId="0" xr:uid="{E1AB61CE-4C7D-4D12-AE03-7E238C9EF3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9" authorId="0" shapeId="0" xr:uid="{F7934CB7-A537-4692-97EF-CC34B6A61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B5502762-75A2-4A2A-9942-03D569EA4F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1851CA91-B306-4B0C-B681-B45C2DC431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EB733510-CACB-455C-A858-7EC93A31CE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294DDB1D-2C19-45AD-85B2-37AB1F888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1AFAFEFF-52D8-4730-9531-B844C80CA1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2AFCACA1-6C8D-4811-BE5C-393CC6D7E1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FDF4C261-5DBA-4F20-8D9E-0900DF062E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7636BA8F-DDFF-4EB4-8D04-B531E6F94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B901203C-4FDC-49A3-844C-5499E43953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02FD0BB0-C2E0-4D55-A7F3-C626C96422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F8297205-A4CE-4CAD-8946-5D073D9528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F6124B68-7434-458A-9AF6-F7660014B3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81B246B2-2524-4D93-A710-1B154A11D0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0A076E20-78AA-49B2-9C9D-3F73A52BFE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11A4EF34-4414-4E7B-9408-1E4574C679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39A1E23D-2083-4A33-8435-C08D9E48CE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F871D90B-974B-4666-817C-EA51A5CF3B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 shapeId="0" xr:uid="{DD44F267-100A-4E79-A043-3264063130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1" authorId="0" shapeId="0" xr:uid="{8A7A59BE-FB53-4278-9167-5DFCC9F9D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1" authorId="0" shapeId="0" xr:uid="{6F021F7E-5C82-45A2-A007-3147A7D643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1" authorId="0" shapeId="0" xr:uid="{26F3F66B-6EF1-403E-8E64-24C3B20D4F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1" authorId="0" shapeId="0" xr:uid="{6B8244CA-6CB8-49FE-BE96-967A89DBE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1A7CB41A-5F84-4168-ACD7-735835C34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AE3BAB01-9CFC-4653-A8F9-8F5B9EC5AC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95A86C5A-9F2A-4617-8150-F05243D02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AC71EFF7-F51F-493A-B626-BEB3AC74A0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 shapeId="0" xr:uid="{3E8C16AA-26D7-4608-AE5C-F6F2871AF4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 shapeId="0" xr:uid="{4B2EAC09-1A78-4F4A-B341-C77F5FA1D3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 shapeId="0" xr:uid="{F0F47114-C2C2-4C30-A26C-CC4906193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4" authorId="0" shapeId="0" xr:uid="{125EB082-7E78-4CE2-9846-D9F407FADF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 shapeId="0" xr:uid="{44CFAB4A-C553-439D-B5BD-ABC84E5401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4" authorId="0" shapeId="0" xr:uid="{5C7908DB-28E6-49CB-93DD-22F41C0DC6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4" authorId="0" shapeId="0" xr:uid="{2A0C24E4-A0A7-4002-92EC-D348781204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BC198445-A155-429B-8A8C-57F3C275CC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8188237D-7D8E-4F89-A6A4-4D3A1AD4A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1DD7630D-4C45-4C3D-85AE-0BEEF171D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4B414DE0-60FB-4D8A-AC48-1C081CAFE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FC31B6C7-0A06-478A-A71A-BCA84067D2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0E1D4CC1-AA5E-45F7-BD7D-CDCA2376E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5" authorId="0" shapeId="0" xr:uid="{5B80182C-70C1-4E20-A275-A072C6BA2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5" authorId="0" shapeId="0" xr:uid="{309BC633-611C-4ED5-AC66-5F7C8F6C93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 shapeId="0" xr:uid="{DF849865-C7A2-423A-882A-364662636F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5" authorId="0" shapeId="0" xr:uid="{E66D9841-3DD6-4F82-B386-A66F18AECC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5" authorId="0" shapeId="0" xr:uid="{D1DFBC99-12CD-4839-824E-0719731BDB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3DB5B3B1-3B61-4EB2-A227-F16A79921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8EBF4E43-B568-4F4C-B5C0-220CE577A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57156F0F-80BB-4C3D-A270-A875BE849C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72060521-325D-4F0D-9E4D-08CF44DF1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5298D324-C2D9-4C4A-916A-7E94702A0C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C2D90D67-E654-40F3-8654-AF9E2B26D1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6" authorId="0" shapeId="0" xr:uid="{C6083150-9182-4174-BA07-3BF3951669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6" authorId="0" shapeId="0" xr:uid="{855C62AE-0C80-4769-867D-514C11E5AF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 shapeId="0" xr:uid="{475ED952-3D4E-4BBC-AE38-7DA74F4352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6" authorId="0" shapeId="0" xr:uid="{5FDA4BBC-17E2-457C-BF8C-BC717597A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6" authorId="0" shapeId="0" xr:uid="{CE97D27F-2238-42B4-9536-E73D588F7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87A13839-FC31-45F6-920A-8D71DA9CA4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8497232B-21C1-4EDF-AF72-B55CD91ED0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DB411281-DE6C-417B-BE2F-109926448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194506DA-34CB-47B8-A8FD-596D4FF914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A91EA98E-98B5-451D-B15C-6C9C7FB186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338E7C43-A34E-4C99-995C-4BEB891C4E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7" authorId="0" shapeId="0" xr:uid="{5EFF5766-9B6E-4B56-8130-73187E26A7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7" authorId="0" shapeId="0" xr:uid="{0BF52844-6719-45F6-8B84-9A89F5E200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 shapeId="0" xr:uid="{9F264A37-795B-458F-8F46-09D5BCA7CD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7" authorId="0" shapeId="0" xr:uid="{3729EFDF-FBD3-4456-838D-783747515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7" authorId="0" shapeId="0" xr:uid="{A8849172-A77A-474C-8593-8F4C49173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1F3A7B44-7086-499B-BF94-71FAD5B62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38B43AD9-1358-48FA-82C7-80E4220E89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3F576F3D-68A3-43B8-B455-26163D8826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92510B3E-A745-4A13-A9BE-7D50EBFA8E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4ED1E453-912B-43EF-BBC9-3F6B62A950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4ADB0C50-A655-40E8-B00C-E2F3830B2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8" authorId="0" shapeId="0" xr:uid="{E37753FA-D4D3-4DB4-A521-0D41E0A35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8" authorId="0" shapeId="0" xr:uid="{955C42F8-A643-4BA8-8EEF-81446916C8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 shapeId="0" xr:uid="{7BA1E872-2C61-4E7E-BAC2-C30D31AF4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8" authorId="0" shapeId="0" xr:uid="{07B395E7-2B2F-4A64-9006-7F5DDB621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8" authorId="0" shapeId="0" xr:uid="{3B4B1547-49C8-4FE7-B625-76351CDB58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C6483DA4-8561-43DE-B581-D90FDF91B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 shapeId="0" xr:uid="{5D793B26-9772-498B-9FB0-91DC51980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 xr:uid="{C8C15B2C-12C3-4C0B-9332-668AC3DBB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 shapeId="0" xr:uid="{67B9AEF2-3CDC-45E8-B983-EF85D28DD6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 xr:uid="{574B1A86-7E0B-46A2-8FDC-CC6EFDB22E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E4EE1230-78DD-48B0-AD15-6B74D9F3C5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9" authorId="0" shapeId="0" xr:uid="{5E8696C5-99C9-4A15-8065-1CDCA7BB41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9" authorId="0" shapeId="0" xr:uid="{C78B2008-1463-40AE-97A5-A0D5AA385B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9" authorId="0" shapeId="0" xr:uid="{F554EDEA-5796-4779-BCE2-D392FBF5D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9" authorId="0" shapeId="0" xr:uid="{CAC78DE5-DEE9-43F9-BE09-3F738398C1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9" authorId="0" shapeId="0" xr:uid="{27EEBFCB-8D59-4584-8FD1-3B93627122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2064A361-D1EC-4828-8FE0-54C0DCBA0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 xr:uid="{E4B4AC36-3D59-4F71-9A8D-45FCC2914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68E564C4-C940-4EA8-A741-3262D01B11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 xr:uid="{B874EF1E-D5C1-4B04-868D-78A729AAE3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 xr:uid="{090F3239-9824-40FC-BABD-0F8696FB2C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7F411479-A01F-402F-B37F-D037967FA5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0" authorId="0" shapeId="0" xr:uid="{1CF2E684-FF26-4066-88AE-6AE8DCA5AE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0" authorId="0" shapeId="0" xr:uid="{4508319E-1414-4489-90CF-4E904917C0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0" authorId="0" shapeId="0" xr:uid="{0B7A1FC8-E5B7-425D-8551-74A9510DF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0" authorId="0" shapeId="0" xr:uid="{1E22A3FF-C424-4F72-AB0B-28F5E3976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0" authorId="0" shapeId="0" xr:uid="{EFB375F8-0144-49F0-8DF6-0B15DB9E32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D6465C22-351D-4947-B971-C447A7CB2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 shapeId="0" xr:uid="{82EF4FEE-285A-4C6D-BA5F-DFFFE55A3B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B6D74892-BCAC-428C-B4C6-C8CDA96B6B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 shapeId="0" xr:uid="{188E4E1A-D196-4957-95C6-C831661388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 shapeId="0" xr:uid="{277CCF3E-45D4-43EE-BF9D-C48B53BC3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" authorId="0" shapeId="0" xr:uid="{CADC35E2-57E4-425D-A46B-5B3CC456D1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1" authorId="0" shapeId="0" xr:uid="{4FB6FDED-7AAE-44CF-BE00-3D39208E04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1" authorId="0" shapeId="0" xr:uid="{0CA62309-11A1-4CAC-BBF7-D348FA9D4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1" authorId="0" shapeId="0" xr:uid="{A0D510B5-528C-4AC3-9E41-34CCEA094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1" authorId="0" shapeId="0" xr:uid="{55AE430F-1951-40FF-9851-563F51F3FE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1" authorId="0" shapeId="0" xr:uid="{4173833C-BE72-4EB9-A7B8-C77CC940EC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D7554E4A-3268-4FC8-8CEA-2787273C52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 shapeId="0" xr:uid="{4474C288-F8A8-4479-9BBB-4B7998CF48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1AB0943D-F750-4E51-AC11-21CC3B933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" authorId="0" shapeId="0" xr:uid="{6BFB7C44-631C-47A1-94B4-431417B06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" authorId="0" shapeId="0" xr:uid="{2C86CC02-33E0-4BC3-8EE3-A3F7B4E735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" authorId="0" shapeId="0" xr:uid="{13B5EC24-D069-4ED5-811D-740050E4AF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2" authorId="0" shapeId="0" xr:uid="{40D1AA04-8A7D-4D2E-9439-F71876B10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2" authorId="0" shapeId="0" xr:uid="{374C6447-A843-4CC6-A5B2-F3D2A0AAB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2" authorId="0" shapeId="0" xr:uid="{F04849F6-2700-4503-9D68-9AD1EBA01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2" authorId="0" shapeId="0" xr:uid="{7B84A13A-1083-4D96-975F-09E2AC605C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2" authorId="0" shapeId="0" xr:uid="{83459E6C-8030-4D92-9BAC-B79167D922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63C70A6F-CBEE-4DDB-9E74-04FE1DF3E5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F27D7984-84F7-440B-B1D1-EA35676736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58D437EE-D326-4AE6-8CB5-5D730BDBF6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 xr:uid="{ED7AF1FA-E44A-4065-A0BB-4B3434301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 xr:uid="{C865D332-BB3C-4B09-9D37-607D4F06CE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 shapeId="0" xr:uid="{704138BE-8165-430F-A7E1-2C5354999A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3" authorId="0" shapeId="0" xr:uid="{89E6A163-4F05-4EC5-993D-439A31102B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3" authorId="0" shapeId="0" xr:uid="{33961EB3-84F4-4227-A7C7-239371E481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3" authorId="0" shapeId="0" xr:uid="{E8E12816-ABC6-48C3-8544-36900D60E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3" authorId="0" shapeId="0" xr:uid="{1F0F2854-7378-4954-87EC-22252E8064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3" authorId="0" shapeId="0" xr:uid="{AECC0FAA-13A2-4792-8A92-3707593781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675A61D8-76D2-49E9-B646-51AA992102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FD5F6D92-F89F-4B3C-B11C-C3C545499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3BD4BD93-F5EC-45A5-A9BF-5DCC053AF6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 xr:uid="{273FE55E-465B-41D1-A002-CC76CCB7ED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 xr:uid="{E1E1CBEA-4177-461B-8C03-1A06A297F3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 shapeId="0" xr:uid="{6A3CB878-A703-4790-80E0-F95D4AE6A4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4" authorId="0" shapeId="0" xr:uid="{2F0EAEAE-E3B1-4570-9C4C-56B829F11C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4" authorId="0" shapeId="0" xr:uid="{926EFE02-AF98-42FD-BBA1-D4324D3937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4" authorId="0" shapeId="0" xr:uid="{2BCA877C-A99D-46AF-B9CF-06AED4FA4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4" authorId="0" shapeId="0" xr:uid="{9986210D-DE60-41B7-AD62-FD00B369B6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4" authorId="0" shapeId="0" xr:uid="{B72D8F25-7E65-4634-9499-680FFB377F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Nazli Turken</author>
  </authors>
  <commentList>
    <comment ref="B5" authorId="0" shapeId="0" xr:uid="{915AAB06-93F0-4D87-8434-2F192DB9B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525C79C-BF04-43D6-B69C-A392129EF6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C637DC1-9622-4CAF-8905-F8F9F67740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1CE2366-4C43-48D0-A392-8508F6A7CA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D6D56C6-C0EC-4FF2-8BF4-C84800ADA6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EA0392B-76CE-4446-8C27-C23EFBA04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F6DEDA7-4B47-48A7-B3FA-23D1DBFCFF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501714A-D3E9-48C4-86BF-6529C3BD7F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B2AE4A70-3854-4967-9BC5-0D56CFFFD5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F10D7CBC-1E0C-4D48-95F7-7CA435D384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968764B-A28E-4D1F-A5F8-F51DBA9FE0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E68674DE-7184-4AB9-A4C4-12CA9ECD5F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CB7AC8A2-E9D8-46E3-8D38-11AB1E67B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A15405D9-7F58-4F52-BDCE-1C86D6C13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CA03AA12-5E19-4D29-BC4C-36F89F1801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809C91D0-C870-4628-9D68-FC298A5E0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Nazli Turken</author>
  </authors>
  <commentList>
    <comment ref="B5" authorId="0" shapeId="0" xr:uid="{7973CC41-0374-4244-9EF8-32E5DC1C55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E925A01-D143-4113-8D2A-79FCB421A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C3F2BF1-D775-42A1-A028-3D71FEF090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6DDD5593-BB82-4645-AB29-A381FCFD8E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C496C09-1E47-474C-A8FA-2AFF390AC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<sst xmlns="http://schemas.openxmlformats.org/spreadsheetml/2006/main" count="274" uniqueCount="127">
  <si>
    <t>Supplier</t>
  </si>
  <si>
    <t>Price ($/unit)</t>
  </si>
  <si>
    <t>S1</t>
  </si>
  <si>
    <t>S2</t>
  </si>
  <si>
    <t>S3</t>
  </si>
  <si>
    <t>S4</t>
  </si>
  <si>
    <t>S5</t>
  </si>
  <si>
    <t>S6</t>
  </si>
  <si>
    <t>Late Delivery %</t>
  </si>
  <si>
    <t>Defect Rate</t>
  </si>
  <si>
    <t># Ordered</t>
  </si>
  <si>
    <t>Actual</t>
  </si>
  <si>
    <t>Under (d-)</t>
  </si>
  <si>
    <t>Over (d+)</t>
  </si>
  <si>
    <t>Goals</t>
  </si>
  <si>
    <t>Target</t>
  </si>
  <si>
    <t>% Deviation</t>
  </si>
  <si>
    <t>Weights</t>
  </si>
  <si>
    <t>Objective</t>
  </si>
  <si>
    <t>Percentage Deviations</t>
  </si>
  <si>
    <t>Active Work</t>
  </si>
  <si>
    <t>Inactive Work</t>
  </si>
  <si>
    <t>Capacity</t>
  </si>
  <si>
    <t>Hours</t>
  </si>
  <si>
    <t>Demand</t>
  </si>
  <si>
    <t>Produced</t>
  </si>
  <si>
    <t>Profit</t>
  </si>
  <si>
    <t>Overtime</t>
  </si>
  <si>
    <t>Objective/Q</t>
  </si>
  <si>
    <t>Q Constraint</t>
  </si>
  <si>
    <t xml:space="preserve">Data Envelopment Analysis </t>
  </si>
  <si>
    <t>Branch Bank Example</t>
  </si>
  <si>
    <t>Outputs</t>
  </si>
  <si>
    <t>Inputs</t>
  </si>
  <si>
    <t>Data</t>
  </si>
  <si>
    <t>Branch</t>
  </si>
  <si>
    <t>Loans</t>
  </si>
  <si>
    <t>Deposits</t>
  </si>
  <si>
    <t>Expense</t>
  </si>
  <si>
    <t>FTE</t>
  </si>
  <si>
    <t>oL</t>
  </si>
  <si>
    <t>oD</t>
  </si>
  <si>
    <t>iE</t>
  </si>
  <si>
    <t>iF</t>
  </si>
  <si>
    <t>Decisions</t>
  </si>
  <si>
    <t xml:space="preserve">Branch </t>
  </si>
  <si>
    <t xml:space="preserve"> </t>
  </si>
  <si>
    <t>Efficiency</t>
  </si>
  <si>
    <t>Constraints</t>
  </si>
  <si>
    <t>Input value</t>
  </si>
  <si>
    <t>=</t>
  </si>
  <si>
    <t>Efficiency of B1 &lt;= 1</t>
  </si>
  <si>
    <t>&lt;=</t>
  </si>
  <si>
    <t>Efficiency of B2 &lt;= 1</t>
  </si>
  <si>
    <t>Efficiency of B3 &lt;= 1</t>
  </si>
  <si>
    <t>Efficiency of B4 &lt;= 1</t>
  </si>
  <si>
    <t>Efficiency of B5 &lt;= 1</t>
  </si>
  <si>
    <t>Microsoft Excel 14.0 Sensitivity Report</t>
  </si>
  <si>
    <t>Worksheet: [DEA_Class.xlsx]DEA Formulation For B2</t>
  </si>
  <si>
    <t>Report Created: 3/22/2012 6:20:21 AM</t>
  </si>
  <si>
    <t>Variable Cells</t>
  </si>
  <si>
    <t>Final</t>
  </si>
  <si>
    <t>Reduced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</si>
  <si>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</si>
  <si>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</si>
  <si>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</si>
  <si>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</si>
  <si>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</si>
  <si>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</si>
  <si>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</si>
  <si>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</si>
  <si>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$C$12</t>
  </si>
  <si>
    <t>Decisions oL</t>
  </si>
  <si>
    <t>$D$12</t>
  </si>
  <si>
    <t>Decisions oD</t>
  </si>
  <si>
    <t>$E$12</t>
  </si>
  <si>
    <t>Decisions iE</t>
  </si>
  <si>
    <t>$F$12</t>
  </si>
  <si>
    <t>Decisions iF</t>
  </si>
  <si>
    <t>Shadow</t>
  </si>
  <si>
    <t>Constraint</t>
  </si>
  <si>
    <t>Price</t>
  </si>
  <si>
    <t>R.H. Side</t>
  </si>
  <si>
    <t>$G$16</t>
  </si>
  <si>
    <t>Input value Efficiency</t>
  </si>
  <si>
    <t>$G$17</t>
  </si>
  <si>
    <t>Efficiency of B1 &lt;= 1 Efficiency</t>
  </si>
  <si>
    <t>$G$18</t>
  </si>
  <si>
    <t>Efficiency of B2 &lt;= 1 Efficiency</t>
  </si>
  <si>
    <t>$G$19</t>
  </si>
  <si>
    <t>Efficiency of B3 &lt;= 1 Efficiency</t>
  </si>
  <si>
    <t>$G$20</t>
  </si>
  <si>
    <t>Efficiency of B4 &lt;= 1 Efficiency</t>
  </si>
  <si>
    <t>$G$21</t>
  </si>
  <si>
    <t>Efficiency of B5 &lt;= 1 Efficiency</t>
  </si>
  <si>
    <t>$H$12</t>
  </si>
  <si>
    <t>$G$7</t>
  </si>
  <si>
    <t/>
  </si>
  <si>
    <t>$G$8</t>
  </si>
  <si>
    <t>$B$4:$C$4,$E$4,$D$5</t>
  </si>
  <si>
    <t>Weight for Overtime</t>
  </si>
  <si>
    <t>Weight For Profit</t>
  </si>
  <si>
    <t>$B$4</t>
  </si>
  <si>
    <t>$C$4</t>
  </si>
  <si>
    <t>$E$4</t>
  </si>
  <si>
    <t>$D$5</t>
  </si>
  <si>
    <t>Output</t>
  </si>
  <si>
    <t>Weight of Overtime</t>
  </si>
  <si>
    <t>Weight of Profit</t>
  </si>
  <si>
    <t>Twoway analysis for Solver model in Utility Company (2) worksheet</t>
  </si>
  <si>
    <t>Weight of Overtime (cell $G$7) values along side, Weight of Profit (cell $G$8) values along top, output cell in corner</t>
  </si>
  <si>
    <t>Output and Weight of Overtime value for chart</t>
  </si>
  <si>
    <t>Weight of Overtime value</t>
  </si>
  <si>
    <t>Output and Weight of Profit value for chart</t>
  </si>
  <si>
    <t>Weight of Profit value</t>
  </si>
  <si>
    <t>Overtime Limit</t>
  </si>
  <si>
    <t>$F$4</t>
  </si>
  <si>
    <t>Oneway analysis for Solver model in Utility Company (3) worksheet</t>
  </si>
  <si>
    <t>Overtime Limit (cell $F$4) values along side, output cell(s) along top</t>
  </si>
  <si>
    <t>$B$10</t>
  </si>
  <si>
    <t>Data for chart</t>
  </si>
  <si>
    <t>$B$4:$C$4,$E$4,$B$10</t>
  </si>
  <si>
    <t>$H$13</t>
  </si>
  <si>
    <t>Branch Number</t>
  </si>
  <si>
    <t>Oneway analysis for Solver model in DEA Formulation For B4 worksheet</t>
  </si>
  <si>
    <t>Branch Number (cell $H$12) values along side, output cell(s) along top</t>
  </si>
  <si>
    <t xml:space="preserve">Branch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</si>
</sst>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6" borderId="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/>
    <xf numFmtId="0" fontId="0" fillId="6" borderId="1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4" xfId="0" applyFill="1" applyBorder="1"/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5" fillId="8" borderId="1" xfId="0" applyFont="1" applyFill="1" applyBorder="1"/>
    <xf numFmtId="165" fontId="5" fillId="8" borderId="1" xfId="0" applyNumberFormat="1" applyFont="1" applyFill="1" applyBorder="1"/>
    <xf numFmtId="0" fontId="1" fillId="0" borderId="0" xfId="0" applyFont="1"/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164" fontId="1" fillId="7" borderId="1" xfId="0" applyNumberFormat="1" applyFont="1" applyFill="1" applyBorder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10" borderId="0" xfId="0" applyFill="1"/>
    <xf numFmtId="0" fontId="0" fillId="4" borderId="0" xfId="0" applyFill="1" applyAlignment="1">
      <alignment horizontal="right" textRotation="90"/>
    </xf>
    <xf numFmtId="0" fontId="8" fillId="0" borderId="0" xfId="0" applyFont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0" xfId="0" applyAlignment="1">
      <alignment horizontal="right" textRotation="90"/>
    </xf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STS_1!$N$1</c:f>
          <c:strCache>
            <c:ptCount val="1"/>
            <c:pt idx="0">
              <c:v>Sensitivity of $B$4 to Weight of Profit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STS_1!$N$5:$N$15</c:f>
              <c:numCache>
                <c:formatCode>General</c:formatCode>
                <c:ptCount val="11"/>
                <c:pt idx="0">
                  <c:v>400</c:v>
                </c:pt>
                <c:pt idx="1">
                  <c:v>400</c:v>
                </c:pt>
                <c:pt idx="2">
                  <c:v>476.1609907120914</c:v>
                </c:pt>
                <c:pt idx="3">
                  <c:v>510.81081081083192</c:v>
                </c:pt>
                <c:pt idx="4">
                  <c:v>543.44023323617694</c:v>
                </c:pt>
                <c:pt idx="5">
                  <c:v>574.22096317284593</c:v>
                </c:pt>
                <c:pt idx="6">
                  <c:v>603.30578512400086</c:v>
                </c:pt>
                <c:pt idx="7">
                  <c:v>630.83109919573633</c:v>
                </c:pt>
                <c:pt idx="8">
                  <c:v>656.91906005226178</c:v>
                </c:pt>
                <c:pt idx="9">
                  <c:v>681.67938931301478</c:v>
                </c:pt>
                <c:pt idx="10">
                  <c:v>705.21091811422025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880-9ED5-CAF45C71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08127"/>
        <c:axId val="2145493039"/>
      </c:lineChart>
      <c:catAx>
        <c:axId val="64240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of Profit ($G$8)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93039"/>
        <c:crosses val="autoZero"/>
        <c:auto val="1"/>
        <c:lblAlgn val="ctr"/>
        <c:lblOffset val="100"/>
        <c:noMultiLvlLbl val="0"/>
      </c:catAx>
      <c:valAx>
        <c:axId val="21454930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4081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STS_1!$R$1</c:f>
          <c:strCache>
            <c:ptCount val="1"/>
            <c:pt idx="0">
              <c:v>Sensitivity of $C$4 to Weight of Overtime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STS_1!$R$5:$R$15</c:f>
              <c:numCache>
                <c:formatCode>General</c:formatCode>
                <c:ptCount val="11"/>
                <c:pt idx="0">
                  <c:v>1280</c:v>
                </c:pt>
                <c:pt idx="1">
                  <c:v>89.423076923089909</c:v>
                </c:pt>
                <c:pt idx="2">
                  <c:v>70.000000000011326</c:v>
                </c:pt>
                <c:pt idx="3">
                  <c:v>63.398692810468269</c:v>
                </c:pt>
                <c:pt idx="4">
                  <c:v>60.073710073720541</c:v>
                </c:pt>
                <c:pt idx="5">
                  <c:v>58.070866141754649</c:v>
                </c:pt>
                <c:pt idx="6">
                  <c:v>56.732348111668635</c:v>
                </c:pt>
                <c:pt idx="7">
                  <c:v>55.774647887325337</c:v>
                </c:pt>
                <c:pt idx="8">
                  <c:v>55.055487053030994</c:v>
                </c:pt>
                <c:pt idx="9">
                  <c:v>54.495614035106641</c:v>
                </c:pt>
                <c:pt idx="10">
                  <c:v>54.047384007919533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C-4E0C-8B10-3A22FF3E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04127"/>
        <c:axId val="2145496783"/>
      </c:lineChart>
      <c:catAx>
        <c:axId val="64240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of Overtime ($G$7)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96783"/>
        <c:crosses val="autoZero"/>
        <c:auto val="1"/>
        <c:lblAlgn val="ctr"/>
        <c:lblOffset val="100"/>
        <c:noMultiLvlLbl val="0"/>
      </c:catAx>
      <c:valAx>
        <c:axId val="21454967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4041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$B$10 to Overtime Limit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STS_2!$K$5:$K$20</c:f>
              <c:numCache>
                <c:formatCode>General</c:formatCode>
                <c:ptCount val="16"/>
                <c:pt idx="0">
                  <c:v>1425</c:v>
                </c:pt>
                <c:pt idx="1">
                  <c:v>1475</c:v>
                </c:pt>
                <c:pt idx="2">
                  <c:v>1525</c:v>
                </c:pt>
                <c:pt idx="3">
                  <c:v>1575</c:v>
                </c:pt>
                <c:pt idx="4">
                  <c:v>1625</c:v>
                </c:pt>
                <c:pt idx="5">
                  <c:v>1675</c:v>
                </c:pt>
                <c:pt idx="6">
                  <c:v>1725</c:v>
                </c:pt>
                <c:pt idx="7">
                  <c:v>1775</c:v>
                </c:pt>
                <c:pt idx="8">
                  <c:v>1825</c:v>
                </c:pt>
                <c:pt idx="9">
                  <c:v>1875</c:v>
                </c:pt>
                <c:pt idx="10">
                  <c:v>1925</c:v>
                </c:pt>
                <c:pt idx="11">
                  <c:v>1975</c:v>
                </c:pt>
                <c:pt idx="12">
                  <c:v>2025</c:v>
                </c:pt>
                <c:pt idx="13">
                  <c:v>2075</c:v>
                </c:pt>
                <c:pt idx="14">
                  <c:v>2125</c:v>
                </c:pt>
                <c:pt idx="15">
                  <c:v>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6-4A57-8BB1-32461C5F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14367"/>
        <c:axId val="723108287"/>
      </c:lineChart>
      <c:catAx>
        <c:axId val="149631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Overtime Limit ($F$4)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108287"/>
        <c:crosses val="autoZero"/>
        <c:auto val="1"/>
        <c:lblAlgn val="ctr"/>
        <c:lblOffset val="100"/>
        <c:noMultiLvlLbl val="0"/>
      </c:catAx>
      <c:valAx>
        <c:axId val="7231082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3143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$H$13 to Branch Number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STS_3!$K$5:$K$9</c:f>
              <c:numCache>
                <c:formatCode>General</c:formatCode>
                <c:ptCount val="5"/>
                <c:pt idx="0">
                  <c:v>1</c:v>
                </c:pt>
                <c:pt idx="1">
                  <c:v>0.828125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3-4452-98BA-669DBDC4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83055"/>
        <c:axId val="723113695"/>
      </c:lineChart>
      <c:catAx>
        <c:axId val="78138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Branch Number ($H$12)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113695"/>
        <c:crosses val="autoZero"/>
        <c:auto val="1"/>
        <c:lblAlgn val="ctr"/>
        <c:lblOffset val="100"/>
        <c:noMultiLvlLbl val="0"/>
      </c:catAx>
      <c:valAx>
        <c:axId val="7231136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38305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203200</xdr:colOff>
      <xdr:row>16</xdr:row>
      <xdr:rowOff>127000</xdr:rowOff>
    </xdr:from>
    <xdr:to>
      <xdr:col>20</xdr:col>
      <xdr:colOff>575733</xdr:colOff>
      <xdr:row>32</xdr:row>
      <xdr:rowOff>71966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731BE5BB-FDF0-4D3F-8CA1-DA3AAE5F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541867</xdr:colOff>
      <xdr:row>16</xdr:row>
      <xdr:rowOff>127000</xdr:rowOff>
    </xdr:from>
    <xdr:to>
      <xdr:col>29</xdr:col>
      <xdr:colOff>270933</xdr:colOff>
      <xdr:row>32</xdr:row>
      <xdr:rowOff>71966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B7CACADB-9871-4BA1-82E6-890D61C7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507999</xdr:colOff>
      <xdr:row>3</xdr:row>
      <xdr:rowOff>25400</xdr:rowOff>
    </xdr:from>
    <xdr:to>
      <xdr:col>26</xdr:col>
      <xdr:colOff>304799</xdr:colOff>
      <xdr:row>9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4E4201-CD6E-4F5F-8558-A1352F3EB40E}"/>
            </a:ext>
          </a:extLst>
        </xdr:cNvPr>
        <xdr:cNvSpPr txBox="1"/>
      </xdr:nvSpPr>
      <xdr:spPr>
        <a:xfrm>
          <a:off x="13089466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$N$4, $O$4, $R$4, and $S$4, you can chart any row (in left chart) or column (in right chart) of any table to the left.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304800</xdr:colOff>
      <xdr:row>21</xdr:row>
      <xdr:rowOff>169333</xdr:rowOff>
    </xdr:from>
    <xdr:to>
      <xdr:col>17</xdr:col>
      <xdr:colOff>33867</xdr:colOff>
      <xdr:row>37</xdr:row>
      <xdr:rowOff>114300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B00B2D8A-C165-44C0-91FE-2D3DBC70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575734</xdr:colOff>
      <xdr:row>3</xdr:row>
      <xdr:rowOff>25400</xdr:rowOff>
    </xdr:from>
    <xdr:to>
      <xdr:col>15</xdr:col>
      <xdr:colOff>440267</xdr:colOff>
      <xdr:row>6</xdr:row>
      <xdr:rowOff>4233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F6CB05-B391-49D9-9656-4D29FDCE79A2}"/>
            </a:ext>
          </a:extLst>
        </xdr:cNvPr>
        <xdr:cNvSpPr txBox="1"/>
      </xdr:nvSpPr>
      <xdr:spPr>
        <a:xfrm>
          <a:off x="7653867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304800</xdr:colOff>
      <xdr:row>10</xdr:row>
      <xdr:rowOff>76200</xdr:rowOff>
    </xdr:from>
    <xdr:to>
      <xdr:col>17</xdr:col>
      <xdr:colOff>33867</xdr:colOff>
      <xdr:row>26</xdr:row>
      <xdr:rowOff>21167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1FDC0391-8651-4F70-BDCF-6EE12E2A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575734</xdr:colOff>
      <xdr:row>3</xdr:row>
      <xdr:rowOff>25400</xdr:rowOff>
    </xdr:from>
    <xdr:to>
      <xdr:col>15</xdr:col>
      <xdr:colOff>440267</xdr:colOff>
      <xdr:row>5</xdr:row>
      <xdr:rowOff>173567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CD80A6-9746-4BF9-8BC3-FB330564EB2D}"/>
            </a:ext>
          </a:extLst>
        </xdr:cNvPr>
        <xdr:cNvSpPr txBox="1"/>
      </xdr:nvSpPr>
      <xdr:spPr>
        <a:xfrm>
          <a:off x="7653867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6D9C-871E-4E58-A905-AC4CFF474D75}">
  <dimension ref="A3:L14"/>
  <sheetViews>
    <sheetView zoomScale="115" workbookViewId="0">
      <selection activeCell="D12" sqref="D12"/>
    </sheetView>
  </sheetViews>
  <sheetFormatPr defaultRowHeight="14.35" x14ac:dyDescent="0.5"/>
  <cols>
    <col min="1" max="1" width="12.87890625" bestFit="1" customWidth="1"/>
    <col min="2" max="7" width="9" bestFit="1" customWidth="1"/>
    <col min="8" max="8" width="10.17578125" bestFit="1" customWidth="1"/>
    <col min="9" max="10" width="9" bestFit="1" customWidth="1"/>
    <col min="11" max="11" width="12.234375" bestFit="1" customWidth="1"/>
    <col min="12" max="12" width="9" bestFit="1" customWidth="1"/>
  </cols>
  <sheetData>
    <row r="3" spans="1:12" x14ac:dyDescent="0.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5">
      <c r="A4" t="s">
        <v>10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41666</v>
      </c>
      <c r="H4" s="2">
        <f>SUM(B4:G4)</f>
        <v>41667</v>
      </c>
      <c r="I4" s="1">
        <v>8332.9999999999927</v>
      </c>
      <c r="J4" s="1">
        <v>0</v>
      </c>
      <c r="K4" s="3">
        <f>H4+I4-J4</f>
        <v>49999.999999999993</v>
      </c>
      <c r="L4">
        <v>50000</v>
      </c>
    </row>
    <row r="5" spans="1:12" x14ac:dyDescent="0.5">
      <c r="A5" t="s">
        <v>1</v>
      </c>
      <c r="B5">
        <v>3</v>
      </c>
      <c r="C5">
        <v>3.5</v>
      </c>
      <c r="D5">
        <v>4</v>
      </c>
      <c r="E5">
        <v>4.5</v>
      </c>
      <c r="F5">
        <v>5</v>
      </c>
      <c r="G5">
        <v>6</v>
      </c>
      <c r="H5" s="2">
        <f>SUMPRODUCT($B$4:$G$4,B5:G5)</f>
        <v>250000</v>
      </c>
      <c r="I5" s="1">
        <v>0</v>
      </c>
      <c r="J5" s="1">
        <v>0</v>
      </c>
      <c r="K5" s="3">
        <f t="shared" ref="K5:K7" si="0">H5+I5-J5</f>
        <v>250000</v>
      </c>
      <c r="L5">
        <v>250000</v>
      </c>
    </row>
    <row r="6" spans="1:12" x14ac:dyDescent="0.5">
      <c r="A6" t="s">
        <v>8</v>
      </c>
      <c r="B6">
        <v>0.25</v>
      </c>
      <c r="C6">
        <v>0.3</v>
      </c>
      <c r="D6">
        <v>0.15</v>
      </c>
      <c r="E6">
        <v>0.2</v>
      </c>
      <c r="F6">
        <v>0.4</v>
      </c>
      <c r="G6">
        <v>0.05</v>
      </c>
      <c r="H6" s="2">
        <f>SUMPRODUCT($B$4:$G$4,B6:G6)</f>
        <v>2083.4500000000003</v>
      </c>
      <c r="I6" s="1">
        <v>0</v>
      </c>
      <c r="J6" s="1">
        <v>2083.450000000003</v>
      </c>
      <c r="K6" s="3">
        <f t="shared" si="0"/>
        <v>0</v>
      </c>
      <c r="L6">
        <v>0</v>
      </c>
    </row>
    <row r="7" spans="1:12" x14ac:dyDescent="0.5">
      <c r="A7" t="s">
        <v>9</v>
      </c>
      <c r="B7">
        <v>0.4</v>
      </c>
      <c r="C7">
        <v>0.35</v>
      </c>
      <c r="D7">
        <v>0.3</v>
      </c>
      <c r="E7">
        <v>0.25</v>
      </c>
      <c r="F7">
        <v>0.2</v>
      </c>
      <c r="G7">
        <v>0.05</v>
      </c>
      <c r="H7" s="2">
        <f>SUMPRODUCT($B$4:$G$4,B7:G7)</f>
        <v>2083.6000000000004</v>
      </c>
      <c r="I7" s="1">
        <v>0</v>
      </c>
      <c r="J7" s="1">
        <v>2083.600000000004</v>
      </c>
      <c r="K7" s="3">
        <f t="shared" si="0"/>
        <v>-3.637978807091713E-12</v>
      </c>
      <c r="L7">
        <v>0</v>
      </c>
    </row>
    <row r="10" spans="1:12" x14ac:dyDescent="0.5">
      <c r="H10" t="s">
        <v>17</v>
      </c>
      <c r="I10" s="4">
        <v>1</v>
      </c>
      <c r="J10" s="5">
        <v>1</v>
      </c>
    </row>
    <row r="11" spans="1:12" x14ac:dyDescent="0.5">
      <c r="I11" s="6">
        <v>1</v>
      </c>
      <c r="J11" s="7">
        <v>1</v>
      </c>
    </row>
    <row r="12" spans="1:12" x14ac:dyDescent="0.5">
      <c r="I12" s="6">
        <v>1</v>
      </c>
      <c r="J12" s="7">
        <v>1</v>
      </c>
    </row>
    <row r="13" spans="1:12" x14ac:dyDescent="0.5">
      <c r="I13" s="8">
        <v>1</v>
      </c>
      <c r="J13" s="9">
        <v>1</v>
      </c>
    </row>
    <row r="14" spans="1:12" x14ac:dyDescent="0.5">
      <c r="H14" t="s">
        <v>18</v>
      </c>
      <c r="I14" s="10">
        <f>SUMPRODUCT(I4:J7,I10:J13)</f>
        <v>12500.05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6478-552D-4D1B-A723-D094E841CB6E}">
  <dimension ref="A1:I21"/>
  <sheetViews>
    <sheetView topLeftCell="A2" zoomScale="93" zoomScaleNormal="85" workbookViewId="0">
      <selection activeCell="G18" sqref="G18"/>
    </sheetView>
  </sheetViews>
  <sheetFormatPr defaultRowHeight="14.35" x14ac:dyDescent="0.5"/>
  <cols>
    <col min="2" max="2" width="18.5859375" bestFit="1" customWidth="1"/>
    <col min="3" max="4" width="9.29296875" bestFit="1" customWidth="1"/>
    <col min="5" max="5" width="9" bestFit="1" customWidth="1"/>
    <col min="6" max="6" width="5.29296875" bestFit="1" customWidth="1"/>
    <col min="7" max="7" width="34.41015625" bestFit="1" customWidth="1"/>
    <col min="8" max="8" width="18" style="15" bestFit="1" customWidth="1"/>
  </cols>
  <sheetData>
    <row r="1" spans="1:9" x14ac:dyDescent="0.5">
      <c r="A1" s="14" t="s">
        <v>30</v>
      </c>
    </row>
    <row r="2" spans="1:9" x14ac:dyDescent="0.5">
      <c r="A2" s="16" t="s">
        <v>31</v>
      </c>
    </row>
    <row r="3" spans="1:9" x14ac:dyDescent="0.5">
      <c r="A3" s="16"/>
      <c r="C3" s="67" t="s">
        <v>32</v>
      </c>
      <c r="D3" s="67"/>
      <c r="E3" s="67" t="s">
        <v>33</v>
      </c>
      <c r="F3" s="67"/>
    </row>
    <row r="4" spans="1:9" x14ac:dyDescent="0.5">
      <c r="A4" s="14" t="s">
        <v>34</v>
      </c>
      <c r="B4" s="17" t="s">
        <v>35</v>
      </c>
      <c r="C4" s="18" t="s">
        <v>36</v>
      </c>
      <c r="D4" s="19" t="s">
        <v>37</v>
      </c>
      <c r="E4" s="18" t="s">
        <v>38</v>
      </c>
      <c r="F4" s="17" t="s">
        <v>39</v>
      </c>
    </row>
    <row r="5" spans="1:9" x14ac:dyDescent="0.5">
      <c r="B5" s="20">
        <v>1</v>
      </c>
      <c r="C5" s="21">
        <v>10</v>
      </c>
      <c r="D5" s="21">
        <v>31</v>
      </c>
      <c r="E5" s="21">
        <v>100</v>
      </c>
      <c r="F5" s="21">
        <v>5</v>
      </c>
    </row>
    <row r="6" spans="1:9" x14ac:dyDescent="0.5">
      <c r="B6" s="22">
        <v>2</v>
      </c>
      <c r="C6" s="21">
        <v>15</v>
      </c>
      <c r="D6" s="21">
        <v>25</v>
      </c>
      <c r="E6" s="21">
        <v>100</v>
      </c>
      <c r="F6" s="21">
        <v>5</v>
      </c>
    </row>
    <row r="7" spans="1:9" x14ac:dyDescent="0.5">
      <c r="B7" s="22">
        <v>3</v>
      </c>
      <c r="C7" s="21">
        <v>20</v>
      </c>
      <c r="D7" s="21">
        <v>30</v>
      </c>
      <c r="E7" s="21">
        <v>100</v>
      </c>
      <c r="F7" s="21">
        <v>5</v>
      </c>
    </row>
    <row r="8" spans="1:9" x14ac:dyDescent="0.5">
      <c r="B8" s="22">
        <v>4</v>
      </c>
      <c r="C8" s="21">
        <v>23</v>
      </c>
      <c r="D8" s="21">
        <v>23</v>
      </c>
      <c r="E8" s="21">
        <v>100</v>
      </c>
      <c r="F8" s="21">
        <v>6</v>
      </c>
    </row>
    <row r="9" spans="1:9" x14ac:dyDescent="0.5">
      <c r="B9" s="23">
        <v>5</v>
      </c>
      <c r="C9" s="21">
        <v>30</v>
      </c>
      <c r="D9" s="21">
        <v>20</v>
      </c>
      <c r="E9" s="21">
        <v>100</v>
      </c>
      <c r="F9" s="21">
        <v>5</v>
      </c>
    </row>
    <row r="11" spans="1:9" x14ac:dyDescent="0.5">
      <c r="C11" s="24" t="s">
        <v>40</v>
      </c>
      <c r="D11" s="24" t="s">
        <v>41</v>
      </c>
      <c r="E11" s="24" t="s">
        <v>42</v>
      </c>
      <c r="F11" s="24" t="s">
        <v>43</v>
      </c>
      <c r="G11" s="15"/>
    </row>
    <row r="12" spans="1:9" x14ac:dyDescent="0.5">
      <c r="A12" s="14" t="s">
        <v>44</v>
      </c>
      <c r="C12" s="25">
        <v>3.1249999999999971E-3</v>
      </c>
      <c r="D12" s="25">
        <v>3.125E-2</v>
      </c>
      <c r="E12" s="25">
        <v>0.01</v>
      </c>
      <c r="F12" s="26">
        <v>0</v>
      </c>
      <c r="G12" s="27" t="s">
        <v>45</v>
      </c>
      <c r="H12" s="27">
        <v>2</v>
      </c>
    </row>
    <row r="13" spans="1:9" x14ac:dyDescent="0.5">
      <c r="A13" s="14"/>
      <c r="C13" s="21">
        <v>15</v>
      </c>
      <c r="D13" s="21">
        <v>25</v>
      </c>
      <c r="E13" t="s">
        <v>46</v>
      </c>
      <c r="G13" s="28" t="s">
        <v>47</v>
      </c>
      <c r="H13" s="29">
        <f>SUMPRODUCT($C$12:$D$12,C13:D13)</f>
        <v>0.828125</v>
      </c>
    </row>
    <row r="15" spans="1:9" x14ac:dyDescent="0.5">
      <c r="A15" s="14" t="s">
        <v>48</v>
      </c>
    </row>
    <row r="16" spans="1:9" x14ac:dyDescent="0.5">
      <c r="B16" s="15" t="s">
        <v>49</v>
      </c>
      <c r="C16" s="21">
        <v>0</v>
      </c>
      <c r="D16" s="21">
        <v>0</v>
      </c>
      <c r="E16" s="21">
        <v>100</v>
      </c>
      <c r="F16" s="21">
        <v>5</v>
      </c>
      <c r="G16" s="30">
        <f>SUMPRODUCT($E$12:$F$12,E16:F16)</f>
        <v>1</v>
      </c>
      <c r="H16" s="15" t="s">
        <v>50</v>
      </c>
      <c r="I16" s="21">
        <v>1</v>
      </c>
    </row>
    <row r="17" spans="2:9" x14ac:dyDescent="0.5">
      <c r="B17" s="15" t="s">
        <v>51</v>
      </c>
      <c r="C17" s="21">
        <f>$C5</f>
        <v>10</v>
      </c>
      <c r="D17" s="21">
        <f>$D5</f>
        <v>31</v>
      </c>
      <c r="E17" s="21">
        <f>E5</f>
        <v>100</v>
      </c>
      <c r="F17" s="21">
        <f>F5</f>
        <v>5</v>
      </c>
      <c r="G17" s="31">
        <f>SUMPRODUCT($C$12:$D$12,C17:D17)-SUMPRODUCT($E$12:$F$12,E17:F17)</f>
        <v>0</v>
      </c>
      <c r="H17" s="15" t="s">
        <v>52</v>
      </c>
      <c r="I17" s="21">
        <v>0</v>
      </c>
    </row>
    <row r="18" spans="2:9" x14ac:dyDescent="0.5">
      <c r="B18" s="15" t="s">
        <v>53</v>
      </c>
      <c r="C18" s="21">
        <f>$C6</f>
        <v>15</v>
      </c>
      <c r="D18" s="21">
        <f>$D6</f>
        <v>25</v>
      </c>
      <c r="E18" s="21">
        <f t="shared" ref="E18:F21" si="0">E6</f>
        <v>100</v>
      </c>
      <c r="F18" s="21">
        <f t="shared" si="0"/>
        <v>5</v>
      </c>
      <c r="G18" s="31">
        <f t="shared" ref="G18:G21" si="1">SUMPRODUCT($C$12:$D$12,C18:D18)-SUMPRODUCT($E$12:$F$12,E18:F18)</f>
        <v>-0.171875</v>
      </c>
      <c r="H18" s="15" t="s">
        <v>52</v>
      </c>
      <c r="I18" s="21">
        <v>0</v>
      </c>
    </row>
    <row r="19" spans="2:9" x14ac:dyDescent="0.5">
      <c r="B19" s="15" t="s">
        <v>54</v>
      </c>
      <c r="C19" s="21">
        <f>$C7</f>
        <v>20</v>
      </c>
      <c r="D19" s="21">
        <f>$D7</f>
        <v>30</v>
      </c>
      <c r="E19" s="21">
        <f t="shared" si="0"/>
        <v>100</v>
      </c>
      <c r="F19" s="21">
        <f t="shared" si="0"/>
        <v>5</v>
      </c>
      <c r="G19" s="31">
        <f t="shared" si="1"/>
        <v>0</v>
      </c>
      <c r="H19" s="15" t="s">
        <v>52</v>
      </c>
      <c r="I19" s="21">
        <v>0</v>
      </c>
    </row>
    <row r="20" spans="2:9" x14ac:dyDescent="0.5">
      <c r="B20" s="15" t="s">
        <v>55</v>
      </c>
      <c r="C20" s="21">
        <f>$C8</f>
        <v>23</v>
      </c>
      <c r="D20" s="21">
        <f>$D8</f>
        <v>23</v>
      </c>
      <c r="E20" s="21">
        <f t="shared" si="0"/>
        <v>100</v>
      </c>
      <c r="F20" s="21">
        <f t="shared" si="0"/>
        <v>6</v>
      </c>
      <c r="G20" s="31">
        <f t="shared" si="1"/>
        <v>-0.20937500000000009</v>
      </c>
      <c r="H20" s="15" t="s">
        <v>52</v>
      </c>
      <c r="I20" s="21">
        <v>0</v>
      </c>
    </row>
    <row r="21" spans="2:9" x14ac:dyDescent="0.5">
      <c r="B21" s="15" t="s">
        <v>56</v>
      </c>
      <c r="C21" s="21">
        <f>$C9</f>
        <v>30</v>
      </c>
      <c r="D21" s="21">
        <f>$D9</f>
        <v>20</v>
      </c>
      <c r="E21" s="21">
        <f t="shared" si="0"/>
        <v>100</v>
      </c>
      <c r="F21" s="21">
        <f t="shared" si="0"/>
        <v>5</v>
      </c>
      <c r="G21" s="31">
        <f t="shared" si="1"/>
        <v>-0.28125000000000011</v>
      </c>
      <c r="H21" s="15" t="s">
        <v>52</v>
      </c>
      <c r="I21" s="21">
        <v>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CB6A-45E6-4A3B-B0A3-9F3DE87A5DA9}">
  <dimension ref="A1:H22"/>
  <sheetViews>
    <sheetView showGridLines="0" topLeftCell="A7" workbookViewId="0">
      <selection activeCell="D12" sqref="D12"/>
    </sheetView>
  </sheetViews>
  <sheetFormatPr defaultRowHeight="14.35" x14ac:dyDescent="0.5"/>
  <cols>
    <col min="1" max="1" width="2.29296875" customWidth="1"/>
    <col min="2" max="2" width="6.29296875" bestFit="1" customWidth="1"/>
    <col min="3" max="3" width="27.87890625" bestFit="1" customWidth="1"/>
    <col min="4" max="4" width="9.703125" bestFit="1" customWidth="1"/>
    <col min="5" max="5" width="9" bestFit="1" customWidth="1"/>
    <col min="6" max="6" width="10.87890625" bestFit="1" customWidth="1"/>
    <col min="7" max="8" width="12" bestFit="1" customWidth="1"/>
  </cols>
  <sheetData>
    <row r="1" spans="1:8" x14ac:dyDescent="0.5">
      <c r="A1" s="32" t="s">
        <v>57</v>
      </c>
    </row>
    <row r="2" spans="1:8" x14ac:dyDescent="0.5">
      <c r="A2" s="32" t="s">
        <v>58</v>
      </c>
    </row>
    <row r="3" spans="1:8" x14ac:dyDescent="0.5">
      <c r="A3" s="32" t="s">
        <v>59</v>
      </c>
    </row>
    <row r="6" spans="1:8" ht="14.7" thickBot="1" x14ac:dyDescent="0.55000000000000004">
      <c r="A6" t="s">
        <v>60</v>
      </c>
    </row>
    <row r="7" spans="1:8" x14ac:dyDescent="0.5">
      <c r="B7" s="33"/>
      <c r="C7" s="33"/>
      <c r="D7" s="33" t="s">
        <v>61</v>
      </c>
      <c r="E7" s="33" t="s">
        <v>62</v>
      </c>
      <c r="F7" s="33" t="s">
        <v>18</v>
      </c>
      <c r="G7" s="33" t="s">
        <v>63</v>
      </c>
      <c r="H7" s="33" t="s">
        <v>63</v>
      </c>
    </row>
    <row r="8" spans="1:8" ht="14.7" thickBot="1" x14ac:dyDescent="0.55000000000000004">
      <c r="B8" s="34" t="s">
        <v>64</v>
      </c>
      <c r="C8" s="34" t="s">
        <v>65</v>
      </c>
      <c r="D8" s="34" t="s">
        <v>66</v>
      </c>
      <c r="E8" s="34" t="s">
        <v>67</v>
      </c>
      <c r="F8" s="34" t="s">
        <v>68</v>
      </c>
      <c r="G8" s="34" t="s">
        <v>69</v>
      </c>
      <c r="H8" s="34" t="s">
        <v>70</v>
      </c>
    </row>
    <row r="9" spans="1:8" x14ac:dyDescent="0.5">
      <c r="B9" s="35" t="s">
        <v>71</v>
      </c>
      <c r="C9" s="35" t="s">
        <v>72</v>
      </c>
      <c r="D9" s="35">
        <v>3.1249999999999971E-3</v>
      </c>
      <c r="E9" s="35">
        <v>0</v>
      </c>
      <c r="F9" s="35">
        <v>15</v>
      </c>
      <c r="G9" s="35">
        <v>1.6666666666666667</v>
      </c>
      <c r="H9" s="35">
        <v>6.935483870967742</v>
      </c>
    </row>
    <row r="10" spans="1:8" x14ac:dyDescent="0.5">
      <c r="B10" s="35" t="s">
        <v>73</v>
      </c>
      <c r="C10" s="35" t="s">
        <v>74</v>
      </c>
      <c r="D10" s="35">
        <v>3.125E-2</v>
      </c>
      <c r="E10" s="35">
        <v>0</v>
      </c>
      <c r="F10" s="35">
        <v>25</v>
      </c>
      <c r="G10" s="35">
        <v>21.5</v>
      </c>
      <c r="H10" s="35">
        <v>2.5</v>
      </c>
    </row>
    <row r="11" spans="1:8" x14ac:dyDescent="0.5">
      <c r="B11" s="35" t="s">
        <v>75</v>
      </c>
      <c r="C11" s="35" t="s">
        <v>76</v>
      </c>
      <c r="D11" s="35">
        <v>0.01</v>
      </c>
      <c r="E11" s="35">
        <v>0</v>
      </c>
      <c r="F11" s="35">
        <v>0</v>
      </c>
      <c r="G11" s="35">
        <v>1E+30</v>
      </c>
      <c r="H11" s="35">
        <v>0</v>
      </c>
    </row>
    <row r="12" spans="1:8" ht="14.7" thickBot="1" x14ac:dyDescent="0.55000000000000004">
      <c r="B12" s="36" t="s">
        <v>77</v>
      </c>
      <c r="C12" s="36" t="s">
        <v>78</v>
      </c>
      <c r="D12" s="36">
        <v>0</v>
      </c>
      <c r="E12" s="36">
        <v>0</v>
      </c>
      <c r="F12" s="36">
        <v>0</v>
      </c>
      <c r="G12" s="36">
        <v>0</v>
      </c>
      <c r="H12" s="36">
        <v>1E+30</v>
      </c>
    </row>
    <row r="14" spans="1:8" ht="14.7" thickBot="1" x14ac:dyDescent="0.55000000000000004">
      <c r="A14" t="s">
        <v>48</v>
      </c>
    </row>
    <row r="15" spans="1:8" x14ac:dyDescent="0.5">
      <c r="B15" s="33"/>
      <c r="C15" s="33"/>
      <c r="D15" s="33" t="s">
        <v>61</v>
      </c>
      <c r="E15" s="33" t="s">
        <v>79</v>
      </c>
      <c r="F15" s="33" t="s">
        <v>80</v>
      </c>
      <c r="G15" s="33" t="s">
        <v>63</v>
      </c>
      <c r="H15" s="33" t="s">
        <v>63</v>
      </c>
    </row>
    <row r="16" spans="1:8" ht="14.7" thickBot="1" x14ac:dyDescent="0.55000000000000004">
      <c r="B16" s="34" t="s">
        <v>64</v>
      </c>
      <c r="C16" s="34" t="s">
        <v>65</v>
      </c>
      <c r="D16" s="34" t="s">
        <v>66</v>
      </c>
      <c r="E16" s="34" t="s">
        <v>81</v>
      </c>
      <c r="F16" s="34" t="s">
        <v>82</v>
      </c>
      <c r="G16" s="34" t="s">
        <v>69</v>
      </c>
      <c r="H16" s="34" t="s">
        <v>70</v>
      </c>
    </row>
    <row r="17" spans="2:8" x14ac:dyDescent="0.5">
      <c r="B17" s="35" t="s">
        <v>83</v>
      </c>
      <c r="C17" s="35" t="s">
        <v>84</v>
      </c>
      <c r="D17" s="35">
        <v>1</v>
      </c>
      <c r="E17" s="35">
        <v>0.82812499999999989</v>
      </c>
      <c r="F17" s="35">
        <v>1</v>
      </c>
      <c r="G17" s="35">
        <v>1E+30</v>
      </c>
      <c r="H17" s="35">
        <v>1</v>
      </c>
    </row>
    <row r="18" spans="2:8" x14ac:dyDescent="0.5">
      <c r="B18" s="35" t="s">
        <v>85</v>
      </c>
      <c r="C18" s="35" t="s">
        <v>86</v>
      </c>
      <c r="D18" s="35">
        <v>0</v>
      </c>
      <c r="E18" s="35">
        <v>0.15625</v>
      </c>
      <c r="F18" s="35">
        <v>0</v>
      </c>
      <c r="G18" s="35">
        <v>3.3333333333333305E-2</v>
      </c>
      <c r="H18" s="35">
        <v>0.18000000000000008</v>
      </c>
    </row>
    <row r="19" spans="2:8" x14ac:dyDescent="0.5">
      <c r="B19" s="35" t="s">
        <v>87</v>
      </c>
      <c r="C19" s="35" t="s">
        <v>88</v>
      </c>
      <c r="D19" s="35">
        <v>-0.171875</v>
      </c>
      <c r="E19" s="35">
        <v>0</v>
      </c>
      <c r="F19" s="35">
        <v>0</v>
      </c>
      <c r="G19" s="35">
        <v>1E+30</v>
      </c>
      <c r="H19" s="35">
        <v>0.17187500000000006</v>
      </c>
    </row>
    <row r="20" spans="2:8" x14ac:dyDescent="0.5">
      <c r="B20" s="35" t="s">
        <v>89</v>
      </c>
      <c r="C20" s="35" t="s">
        <v>90</v>
      </c>
      <c r="D20" s="35">
        <v>0</v>
      </c>
      <c r="E20" s="35">
        <v>0.671875</v>
      </c>
      <c r="F20" s="35">
        <v>0</v>
      </c>
      <c r="G20" s="35">
        <v>0.12328767123287676</v>
      </c>
      <c r="H20" s="35">
        <v>3.2258064516129004E-2</v>
      </c>
    </row>
    <row r="21" spans="2:8" x14ac:dyDescent="0.5">
      <c r="B21" s="35" t="s">
        <v>91</v>
      </c>
      <c r="C21" s="35" t="s">
        <v>92</v>
      </c>
      <c r="D21" s="35">
        <v>-0.20937500000000009</v>
      </c>
      <c r="E21" s="35">
        <v>0</v>
      </c>
      <c r="F21" s="35">
        <v>0</v>
      </c>
      <c r="G21" s="35">
        <v>1E+30</v>
      </c>
      <c r="H21" s="35">
        <v>0.20937500000000003</v>
      </c>
    </row>
    <row r="22" spans="2:8" ht="14.7" thickBot="1" x14ac:dyDescent="0.55000000000000004">
      <c r="B22" s="36" t="s">
        <v>93</v>
      </c>
      <c r="C22" s="36" t="s">
        <v>94</v>
      </c>
      <c r="D22" s="36">
        <v>-0.28125000000000011</v>
      </c>
      <c r="E22" s="36">
        <v>0</v>
      </c>
      <c r="F22" s="36">
        <v>0</v>
      </c>
      <c r="G22" s="36">
        <v>1E+30</v>
      </c>
      <c r="H22" s="36">
        <v>0.28125000000000011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A5A1-7E61-4939-BDF2-471AC83E4B7A}">
  <dimension ref="A1:I21"/>
  <sheetViews>
    <sheetView topLeftCell="A3" workbookViewId="0">
      <selection activeCell="F17" sqref="F17"/>
    </sheetView>
  </sheetViews>
  <sheetFormatPr defaultRowHeight="14.35" x14ac:dyDescent="0.5"/>
  <cols>
    <col min="2" max="2" width="18.5859375" bestFit="1" customWidth="1"/>
  </cols>
  <sheetData>
    <row r="1" spans="1:9" x14ac:dyDescent="0.5">
      <c r="A1" s="14" t="s">
        <v>30</v>
      </c>
    </row>
    <row r="2" spans="1:9" x14ac:dyDescent="0.5">
      <c r="A2" s="16" t="s">
        <v>31</v>
      </c>
    </row>
    <row r="3" spans="1:9" x14ac:dyDescent="0.5">
      <c r="A3" s="16"/>
      <c r="C3" s="67" t="s">
        <v>32</v>
      </c>
      <c r="D3" s="67"/>
      <c r="E3" s="67" t="s">
        <v>33</v>
      </c>
      <c r="F3" s="67"/>
    </row>
    <row r="4" spans="1:9" x14ac:dyDescent="0.5">
      <c r="A4" s="14" t="s">
        <v>34</v>
      </c>
      <c r="B4" s="37" t="s">
        <v>35</v>
      </c>
      <c r="C4" s="38" t="s">
        <v>36</v>
      </c>
      <c r="D4" s="39" t="s">
        <v>37</v>
      </c>
      <c r="E4" s="38" t="s">
        <v>38</v>
      </c>
      <c r="F4" s="37" t="s">
        <v>39</v>
      </c>
    </row>
    <row r="5" spans="1:9" x14ac:dyDescent="0.5">
      <c r="B5" s="40">
        <v>1</v>
      </c>
      <c r="C5" s="11">
        <v>10</v>
      </c>
      <c r="D5" s="11">
        <v>31</v>
      </c>
      <c r="E5" s="11">
        <v>100</v>
      </c>
      <c r="F5" s="41">
        <v>5</v>
      </c>
    </row>
    <row r="6" spans="1:9" x14ac:dyDescent="0.5">
      <c r="B6" s="42">
        <v>2</v>
      </c>
      <c r="C6" s="11">
        <v>15</v>
      </c>
      <c r="D6" s="11">
        <v>25</v>
      </c>
      <c r="E6" s="11">
        <v>100</v>
      </c>
      <c r="F6" s="41">
        <v>5</v>
      </c>
    </row>
    <row r="7" spans="1:9" x14ac:dyDescent="0.5">
      <c r="B7" s="42">
        <v>3</v>
      </c>
      <c r="C7" s="11">
        <v>20</v>
      </c>
      <c r="D7" s="11">
        <v>30</v>
      </c>
      <c r="E7" s="11">
        <v>100</v>
      </c>
      <c r="F7" s="41">
        <v>5</v>
      </c>
    </row>
    <row r="8" spans="1:9" x14ac:dyDescent="0.5">
      <c r="B8" s="42">
        <v>4</v>
      </c>
      <c r="C8" s="11">
        <v>23</v>
      </c>
      <c r="D8" s="11">
        <v>23</v>
      </c>
      <c r="E8" s="11">
        <v>100</v>
      </c>
      <c r="F8" s="41">
        <v>6</v>
      </c>
    </row>
    <row r="9" spans="1:9" x14ac:dyDescent="0.5">
      <c r="B9" s="43">
        <v>5</v>
      </c>
      <c r="C9" s="11">
        <v>30</v>
      </c>
      <c r="D9" s="11">
        <v>20</v>
      </c>
      <c r="E9" s="11">
        <v>100</v>
      </c>
      <c r="F9" s="11">
        <v>5</v>
      </c>
    </row>
    <row r="11" spans="1:9" x14ac:dyDescent="0.5">
      <c r="C11" s="24" t="s">
        <v>40</v>
      </c>
      <c r="D11" s="24" t="s">
        <v>41</v>
      </c>
      <c r="E11" s="24" t="s">
        <v>42</v>
      </c>
      <c r="F11" s="24" t="s">
        <v>43</v>
      </c>
      <c r="G11" s="15"/>
    </row>
    <row r="12" spans="1:9" x14ac:dyDescent="0.5">
      <c r="A12" s="14" t="s">
        <v>44</v>
      </c>
      <c r="C12" s="25">
        <v>1.9999999552965164E-2</v>
      </c>
      <c r="D12" s="25">
        <v>1.9999999552965164E-2</v>
      </c>
      <c r="E12" s="25">
        <v>9.9999997764825821E-3</v>
      </c>
      <c r="F12" s="26">
        <v>0</v>
      </c>
      <c r="G12" s="44" t="s">
        <v>45</v>
      </c>
      <c r="H12" s="45">
        <v>4</v>
      </c>
    </row>
    <row r="13" spans="1:9" x14ac:dyDescent="0.5">
      <c r="A13" s="14"/>
      <c r="C13" s="45">
        <f>INDEX(C5:C9,$H$12)</f>
        <v>23</v>
      </c>
      <c r="D13" s="45">
        <f>INDEX(D5:D9,$H$12)</f>
        <v>23</v>
      </c>
      <c r="E13" t="s">
        <v>46</v>
      </c>
      <c r="G13" s="28" t="s">
        <v>47</v>
      </c>
      <c r="H13" s="46">
        <f>SUMPRODUCT($C$12:$D$12,C13:D13)</f>
        <v>0.91999997943639755</v>
      </c>
    </row>
    <row r="15" spans="1:9" x14ac:dyDescent="0.5">
      <c r="A15" s="14" t="s">
        <v>48</v>
      </c>
    </row>
    <row r="16" spans="1:9" x14ac:dyDescent="0.5">
      <c r="B16" s="15" t="s">
        <v>49</v>
      </c>
      <c r="C16" s="21">
        <v>0</v>
      </c>
      <c r="D16" s="21">
        <v>0</v>
      </c>
      <c r="E16" s="45">
        <f>INDEX(E5:E9,$H$12)</f>
        <v>100</v>
      </c>
      <c r="F16" s="45">
        <f>INDEX(F5:F9,$H$12)</f>
        <v>6</v>
      </c>
      <c r="G16" s="30">
        <f>SUMPRODUCT($E$12:$F$12,E16:F16)</f>
        <v>0.99999997764825821</v>
      </c>
      <c r="H16" s="24" t="s">
        <v>50</v>
      </c>
      <c r="I16" s="21">
        <v>1</v>
      </c>
    </row>
    <row r="17" spans="2:9" x14ac:dyDescent="0.5">
      <c r="B17" s="15" t="s">
        <v>51</v>
      </c>
      <c r="C17" s="21">
        <f>$C5</f>
        <v>10</v>
      </c>
      <c r="D17" s="21">
        <f>$D5</f>
        <v>31</v>
      </c>
      <c r="E17" s="21">
        <f>E5</f>
        <v>100</v>
      </c>
      <c r="F17" s="21">
        <f>F5</f>
        <v>5</v>
      </c>
      <c r="G17" s="31">
        <f>SUMPRODUCT($C$12:$D$12,C17:D17)-SUMPRODUCT($E$12:$F$12,E17:F17)</f>
        <v>-0.17999999597668648</v>
      </c>
      <c r="H17" s="24" t="s">
        <v>52</v>
      </c>
      <c r="I17" s="21">
        <v>0</v>
      </c>
    </row>
    <row r="18" spans="2:9" x14ac:dyDescent="0.5">
      <c r="B18" s="15" t="s">
        <v>53</v>
      </c>
      <c r="C18" s="21">
        <f>$C6</f>
        <v>15</v>
      </c>
      <c r="D18" s="21">
        <f>$D6</f>
        <v>25</v>
      </c>
      <c r="E18" s="21">
        <f t="shared" ref="E18:F21" si="0">E6</f>
        <v>100</v>
      </c>
      <c r="F18" s="21">
        <f t="shared" si="0"/>
        <v>5</v>
      </c>
      <c r="G18" s="31">
        <f t="shared" ref="G18:G21" si="1">SUMPRODUCT($C$12:$D$12,C18:D18)-SUMPRODUCT($E$12:$F$12,E18:F18)</f>
        <v>-0.19999999552965164</v>
      </c>
      <c r="H18" s="24" t="s">
        <v>52</v>
      </c>
      <c r="I18" s="21">
        <v>0</v>
      </c>
    </row>
    <row r="19" spans="2:9" x14ac:dyDescent="0.5">
      <c r="B19" s="15" t="s">
        <v>54</v>
      </c>
      <c r="C19" s="21">
        <f>$C7</f>
        <v>20</v>
      </c>
      <c r="D19" s="21">
        <f>$D7</f>
        <v>30</v>
      </c>
      <c r="E19" s="21">
        <f t="shared" si="0"/>
        <v>100</v>
      </c>
      <c r="F19" s="21">
        <f t="shared" si="0"/>
        <v>5</v>
      </c>
      <c r="G19" s="31">
        <f t="shared" si="1"/>
        <v>0</v>
      </c>
      <c r="H19" s="24" t="s">
        <v>52</v>
      </c>
      <c r="I19" s="21">
        <v>0</v>
      </c>
    </row>
    <row r="20" spans="2:9" x14ac:dyDescent="0.5">
      <c r="B20" s="15" t="s">
        <v>55</v>
      </c>
      <c r="C20" s="21">
        <f>$C8</f>
        <v>23</v>
      </c>
      <c r="D20" s="21">
        <f>$D8</f>
        <v>23</v>
      </c>
      <c r="E20" s="21">
        <f t="shared" si="0"/>
        <v>100</v>
      </c>
      <c r="F20" s="21">
        <f t="shared" si="0"/>
        <v>6</v>
      </c>
      <c r="G20" s="31">
        <f t="shared" si="1"/>
        <v>-7.9999998211860657E-2</v>
      </c>
      <c r="H20" s="24" t="s">
        <v>52</v>
      </c>
      <c r="I20" s="21">
        <v>0</v>
      </c>
    </row>
    <row r="21" spans="2:9" x14ac:dyDescent="0.5">
      <c r="B21" s="15" t="s">
        <v>56</v>
      </c>
      <c r="C21" s="21">
        <f>$C9</f>
        <v>30</v>
      </c>
      <c r="D21" s="21">
        <f>$D9</f>
        <v>20</v>
      </c>
      <c r="E21" s="21">
        <f t="shared" si="0"/>
        <v>100</v>
      </c>
      <c r="F21" s="21">
        <f t="shared" si="0"/>
        <v>5</v>
      </c>
      <c r="G21" s="31">
        <f t="shared" si="1"/>
        <v>0</v>
      </c>
      <c r="H21" s="24" t="s">
        <v>52</v>
      </c>
      <c r="I21" s="21">
        <v>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EF52-8B89-406E-A303-5273215247A7}">
  <dimension ref="A1:B15"/>
  <sheetViews>
    <sheetView workbookViewId="0"/>
  </sheetViews>
  <sheetFormatPr defaultRowHeight="14.35" x14ac:dyDescent="0.5"/>
  <sheetData>
    <row r="1" spans="1:2" x14ac:dyDescent="0.5">
      <c r="A1">
        <v>1</v>
      </c>
    </row>
    <row r="2" spans="1:2" x14ac:dyDescent="0.5">
      <c r="A2" t="s">
        <v>95</v>
      </c>
    </row>
    <row r="3" spans="1:2" x14ac:dyDescent="0.5">
      <c r="A3">
        <v>1</v>
      </c>
    </row>
    <row r="4" spans="1:2" x14ac:dyDescent="0.5">
      <c r="A4">
        <v>1</v>
      </c>
    </row>
    <row r="5" spans="1:2" x14ac:dyDescent="0.5">
      <c r="A5">
        <v>5</v>
      </c>
    </row>
    <row r="6" spans="1:2" x14ac:dyDescent="0.5">
      <c r="A6">
        <v>1</v>
      </c>
    </row>
    <row r="8" spans="1:2" x14ac:dyDescent="0.5">
      <c r="A8" s="47"/>
      <c r="B8" s="47"/>
    </row>
    <row r="9" spans="1:2" x14ac:dyDescent="0.5">
      <c r="A9" t="s">
        <v>122</v>
      </c>
    </row>
    <row r="10" spans="1:2" x14ac:dyDescent="0.5">
      <c r="A10" t="s">
        <v>123</v>
      </c>
    </row>
    <row r="15" spans="1:2" x14ac:dyDescent="0.5">
      <c r="B15" s="4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75C1-CA0B-49DA-89C0-783D935A707F}">
  <dimension ref="A1:B15"/>
  <sheetViews>
    <sheetView workbookViewId="0"/>
  </sheetViews>
  <sheetFormatPr defaultRowHeight="14.35" x14ac:dyDescent="0.5"/>
  <sheetData>
    <row r="1" spans="1:2" x14ac:dyDescent="0.5">
      <c r="A1">
        <v>1</v>
      </c>
    </row>
    <row r="2" spans="1:2" x14ac:dyDescent="0.5">
      <c r="A2" t="s">
        <v>116</v>
      </c>
    </row>
    <row r="3" spans="1:2" x14ac:dyDescent="0.5">
      <c r="A3">
        <v>1</v>
      </c>
    </row>
    <row r="4" spans="1:2" x14ac:dyDescent="0.5">
      <c r="A4">
        <v>50</v>
      </c>
    </row>
    <row r="5" spans="1:2" x14ac:dyDescent="0.5">
      <c r="A5">
        <v>200</v>
      </c>
    </row>
    <row r="6" spans="1:2" x14ac:dyDescent="0.5">
      <c r="A6">
        <v>10</v>
      </c>
    </row>
    <row r="8" spans="1:2" x14ac:dyDescent="0.5">
      <c r="A8" s="47"/>
      <c r="B8" s="47"/>
    </row>
    <row r="9" spans="1:2" x14ac:dyDescent="0.5">
      <c r="A9" t="s">
        <v>121</v>
      </c>
    </row>
    <row r="10" spans="1:2" x14ac:dyDescent="0.5">
      <c r="A10" t="s">
        <v>115</v>
      </c>
    </row>
    <row r="15" spans="1:2" x14ac:dyDescent="0.5">
      <c r="B15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7FA2-2D3A-4F7D-A675-D19C4AE12397}">
  <dimension ref="A1:B18"/>
  <sheetViews>
    <sheetView workbookViewId="0"/>
  </sheetViews>
  <sheetFormatPr defaultRowHeight="14.35" x14ac:dyDescent="0.5"/>
  <sheetData>
    <row r="1" spans="1:2" x14ac:dyDescent="0.5">
      <c r="B1">
        <v>1</v>
      </c>
    </row>
    <row r="2" spans="1:2" x14ac:dyDescent="0.5">
      <c r="B2" t="s">
        <v>96</v>
      </c>
    </row>
    <row r="3" spans="1:2" x14ac:dyDescent="0.5">
      <c r="B3">
        <v>1</v>
      </c>
    </row>
    <row r="4" spans="1:2" x14ac:dyDescent="0.5">
      <c r="B4">
        <v>0</v>
      </c>
    </row>
    <row r="5" spans="1:2" x14ac:dyDescent="0.5">
      <c r="B5">
        <v>10</v>
      </c>
    </row>
    <row r="6" spans="1:2" x14ac:dyDescent="0.5">
      <c r="B6">
        <v>1</v>
      </c>
    </row>
    <row r="8" spans="1:2" x14ac:dyDescent="0.5">
      <c r="A8" s="47"/>
      <c r="B8" s="47" t="s">
        <v>97</v>
      </c>
    </row>
    <row r="9" spans="1:2" x14ac:dyDescent="0.5">
      <c r="B9" t="s">
        <v>98</v>
      </c>
    </row>
    <row r="10" spans="1:2" x14ac:dyDescent="0.5">
      <c r="B10">
        <v>1</v>
      </c>
    </row>
    <row r="11" spans="1:2" x14ac:dyDescent="0.5">
      <c r="B11">
        <v>0</v>
      </c>
    </row>
    <row r="12" spans="1:2" x14ac:dyDescent="0.5">
      <c r="B12">
        <v>10</v>
      </c>
    </row>
    <row r="13" spans="1:2" x14ac:dyDescent="0.5">
      <c r="B13">
        <v>1</v>
      </c>
    </row>
    <row r="15" spans="1:2" x14ac:dyDescent="0.5">
      <c r="B15" s="47" t="s">
        <v>97</v>
      </c>
    </row>
    <row r="16" spans="1:2" x14ac:dyDescent="0.5">
      <c r="B16" t="s">
        <v>99</v>
      </c>
    </row>
    <row r="17" spans="2:2" x14ac:dyDescent="0.5">
      <c r="B17" t="s">
        <v>107</v>
      </c>
    </row>
    <row r="18" spans="2:2" x14ac:dyDescent="0.5">
      <c r="B18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C16F-4C15-41E9-B9D9-CB2A29D6780E}">
  <dimension ref="A1:B18"/>
  <sheetViews>
    <sheetView workbookViewId="0"/>
  </sheetViews>
  <sheetFormatPr defaultRowHeight="14.35" x14ac:dyDescent="0.5"/>
  <sheetData>
    <row r="1" spans="1:2" x14ac:dyDescent="0.5">
      <c r="B1">
        <v>1</v>
      </c>
    </row>
    <row r="2" spans="1:2" x14ac:dyDescent="0.5">
      <c r="B2" t="s">
        <v>96</v>
      </c>
    </row>
    <row r="3" spans="1:2" x14ac:dyDescent="0.5">
      <c r="B3">
        <v>1</v>
      </c>
    </row>
    <row r="4" spans="1:2" x14ac:dyDescent="0.5">
      <c r="B4">
        <v>0</v>
      </c>
    </row>
    <row r="5" spans="1:2" x14ac:dyDescent="0.5">
      <c r="B5">
        <v>50</v>
      </c>
    </row>
    <row r="6" spans="1:2" x14ac:dyDescent="0.5">
      <c r="B6">
        <v>2</v>
      </c>
    </row>
    <row r="8" spans="1:2" x14ac:dyDescent="0.5">
      <c r="A8" s="47"/>
      <c r="B8" s="47" t="s">
        <v>97</v>
      </c>
    </row>
    <row r="9" spans="1:2" x14ac:dyDescent="0.5">
      <c r="B9" t="s">
        <v>98</v>
      </c>
    </row>
    <row r="10" spans="1:2" x14ac:dyDescent="0.5">
      <c r="B10">
        <v>1</v>
      </c>
    </row>
    <row r="11" spans="1:2" x14ac:dyDescent="0.5">
      <c r="B11">
        <v>0</v>
      </c>
    </row>
    <row r="12" spans="1:2" x14ac:dyDescent="0.5">
      <c r="B12">
        <v>50</v>
      </c>
    </row>
    <row r="13" spans="1:2" x14ac:dyDescent="0.5">
      <c r="B13">
        <v>2</v>
      </c>
    </row>
    <row r="15" spans="1:2" x14ac:dyDescent="0.5">
      <c r="B15" s="47" t="s">
        <v>97</v>
      </c>
    </row>
    <row r="16" spans="1:2" x14ac:dyDescent="0.5">
      <c r="B16" t="s">
        <v>99</v>
      </c>
    </row>
    <row r="17" spans="2:2" x14ac:dyDescent="0.5">
      <c r="B17" t="s">
        <v>100</v>
      </c>
    </row>
    <row r="18" spans="2:2" x14ac:dyDescent="0.5">
      <c r="B18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52CC-1435-4C75-B2ED-D68424989218}">
  <dimension ref="A1:K9"/>
  <sheetViews>
    <sheetView tabSelected="1" workbookViewId="0">
      <selection activeCell="I14" sqref="I14"/>
    </sheetView>
  </sheetViews>
  <sheetFormatPr defaultRowHeight="14.35" x14ac:dyDescent="0.5"/>
  <sheetData>
    <row r="1" spans="1:11" x14ac:dyDescent="0.5">
      <c r="A1" s="32" t="s">
        <v>124</v>
      </c>
      <c r="K1" s="52" t="str">
        <f>CONCATENATE("Sensitivity of ",$K$4," to ","Branch Number")</f>
        <v>Sensitivity of $H$13 to Branch Number</v>
      </c>
    </row>
    <row r="3" spans="1:11" x14ac:dyDescent="0.5">
      <c r="A3" t="s">
        <v>125</v>
      </c>
      <c r="K3" t="s">
        <v>120</v>
      </c>
    </row>
    <row r="4" spans="1:11" ht="34" x14ac:dyDescent="0.5">
      <c r="A4" s="66" t="s">
        <v>126</v>
      </c>
      <c r="B4" s="62" t="s">
        <v>122</v>
      </c>
      <c r="J4" s="52">
        <f>MATCH($K$4,OutputAddresses,0)</f>
        <v>1</v>
      </c>
      <c r="K4" s="51" t="s">
        <v>122</v>
      </c>
    </row>
    <row r="5" spans="1:11" x14ac:dyDescent="0.5">
      <c r="A5" s="48">
        <v>1</v>
      </c>
      <c r="B5" s="63">
        <v>1</v>
      </c>
      <c r="K5">
        <f>INDEX(OutputValues,1,$J$4)</f>
        <v>1</v>
      </c>
    </row>
    <row r="6" spans="1:11" x14ac:dyDescent="0.5">
      <c r="A6" s="48">
        <v>2</v>
      </c>
      <c r="B6" s="64">
        <v>0.828125</v>
      </c>
      <c r="K6">
        <f>INDEX(OutputValues,2,$J$4)</f>
        <v>0.828125</v>
      </c>
    </row>
    <row r="7" spans="1:11" x14ac:dyDescent="0.5">
      <c r="A7" s="48">
        <v>3</v>
      </c>
      <c r="B7" s="64">
        <v>1</v>
      </c>
      <c r="K7">
        <f>INDEX(OutputValues,3,$J$4)</f>
        <v>1</v>
      </c>
    </row>
    <row r="8" spans="1:11" x14ac:dyDescent="0.5">
      <c r="A8" s="48">
        <v>4</v>
      </c>
      <c r="B8" s="64">
        <v>0.92</v>
      </c>
      <c r="K8">
        <f>INDEX(OutputValues,4,$J$4)</f>
        <v>0.92</v>
      </c>
    </row>
    <row r="9" spans="1:11" x14ac:dyDescent="0.5">
      <c r="A9" s="48">
        <v>5</v>
      </c>
      <c r="B9" s="65">
        <v>1</v>
      </c>
      <c r="K9">
        <f>INDEX(OutputValues,5,$J$4)</f>
        <v>1</v>
      </c>
    </row>
  </sheetData>
  <dataValidations count="1">
    <dataValidation type="list" allowBlank="1" showInputMessage="1" showErrorMessage="1" sqref="K4" xr:uid="{F6B02AE3-3D57-4744-8558-81343061D94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120B-7EC3-4900-AF2A-0723458AC64D}">
  <dimension ref="A3:L14"/>
  <sheetViews>
    <sheetView workbookViewId="0">
      <selection activeCell="J5" sqref="J5"/>
    </sheetView>
  </sheetViews>
  <sheetFormatPr defaultRowHeight="14.35" x14ac:dyDescent="0.5"/>
  <cols>
    <col min="1" max="1" width="12.87890625" bestFit="1" customWidth="1"/>
    <col min="8" max="8" width="10.1171875" bestFit="1" customWidth="1"/>
  </cols>
  <sheetData>
    <row r="3" spans="1:12" x14ac:dyDescent="0.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50000</v>
      </c>
      <c r="H4" s="2">
        <f>SUM(B4:G4)</f>
        <v>50000</v>
      </c>
      <c r="I4" s="1">
        <v>0</v>
      </c>
      <c r="J4" s="1">
        <v>0</v>
      </c>
      <c r="K4" s="3">
        <f>H4+I4-J4</f>
        <v>50000</v>
      </c>
      <c r="L4">
        <v>50000</v>
      </c>
    </row>
    <row r="5" spans="1:12" x14ac:dyDescent="0.5">
      <c r="A5" t="s">
        <v>1</v>
      </c>
      <c r="B5">
        <v>3</v>
      </c>
      <c r="C5">
        <v>3.5</v>
      </c>
      <c r="D5">
        <v>4</v>
      </c>
      <c r="E5">
        <v>4.5</v>
      </c>
      <c r="F5">
        <v>5</v>
      </c>
      <c r="G5">
        <v>6</v>
      </c>
      <c r="H5" s="2">
        <f>SUMPRODUCT($B$4:$G$4,B5:G5)</f>
        <v>300000</v>
      </c>
      <c r="I5" s="1">
        <v>0</v>
      </c>
      <c r="J5" s="1">
        <v>49999.999999999964</v>
      </c>
      <c r="K5" s="3">
        <f t="shared" ref="K5:K7" si="0">H5+I5-J5</f>
        <v>250000.00000000003</v>
      </c>
      <c r="L5">
        <v>250000</v>
      </c>
    </row>
    <row r="6" spans="1:12" x14ac:dyDescent="0.5">
      <c r="A6" t="s">
        <v>8</v>
      </c>
      <c r="B6">
        <v>0.25</v>
      </c>
      <c r="C6">
        <v>0.3</v>
      </c>
      <c r="D6">
        <v>0.15</v>
      </c>
      <c r="E6">
        <v>0.2</v>
      </c>
      <c r="F6">
        <v>0.4</v>
      </c>
      <c r="G6">
        <v>0.05</v>
      </c>
      <c r="H6" s="2">
        <f t="shared" ref="H6:H7" si="1">SUMPRODUCT($B$4:$G$4,B6:G6)</f>
        <v>2500</v>
      </c>
      <c r="I6" s="1">
        <v>0</v>
      </c>
      <c r="J6" s="1">
        <v>2500.0000000000023</v>
      </c>
      <c r="K6" s="3">
        <f t="shared" si="0"/>
        <v>0</v>
      </c>
      <c r="L6">
        <v>0</v>
      </c>
    </row>
    <row r="7" spans="1:12" x14ac:dyDescent="0.5">
      <c r="A7" t="s">
        <v>9</v>
      </c>
      <c r="B7">
        <v>0.4</v>
      </c>
      <c r="C7">
        <v>0.35</v>
      </c>
      <c r="D7">
        <v>0.3</v>
      </c>
      <c r="E7">
        <v>0.25</v>
      </c>
      <c r="F7">
        <v>0.2</v>
      </c>
      <c r="G7">
        <v>0.05</v>
      </c>
      <c r="H7" s="2">
        <f t="shared" si="1"/>
        <v>2500</v>
      </c>
      <c r="I7" s="1">
        <v>0</v>
      </c>
      <c r="J7" s="1">
        <v>2500.0000000000023</v>
      </c>
      <c r="K7" s="3">
        <f t="shared" si="0"/>
        <v>0</v>
      </c>
      <c r="L7">
        <v>0</v>
      </c>
    </row>
    <row r="10" spans="1:12" x14ac:dyDescent="0.5">
      <c r="H10" t="s">
        <v>17</v>
      </c>
      <c r="I10" s="4">
        <v>5</v>
      </c>
      <c r="J10" s="5">
        <v>0</v>
      </c>
    </row>
    <row r="11" spans="1:12" x14ac:dyDescent="0.5">
      <c r="I11" s="6">
        <v>0</v>
      </c>
      <c r="J11" s="7">
        <v>0</v>
      </c>
    </row>
    <row r="12" spans="1:12" x14ac:dyDescent="0.5">
      <c r="I12" s="6">
        <v>0</v>
      </c>
      <c r="J12" s="7">
        <v>10</v>
      </c>
    </row>
    <row r="13" spans="1:12" x14ac:dyDescent="0.5">
      <c r="I13" s="8">
        <v>0</v>
      </c>
      <c r="J13" s="9">
        <v>10</v>
      </c>
    </row>
    <row r="14" spans="1:12" x14ac:dyDescent="0.5">
      <c r="H14" t="s">
        <v>18</v>
      </c>
      <c r="I14" s="10">
        <f>SUMPRODUCT(I10:J13,I4:J7)</f>
        <v>50000.000000000044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6978-DA18-4BBC-9AAC-9349F909208F}">
  <dimension ref="A3:L14"/>
  <sheetViews>
    <sheetView workbookViewId="0">
      <selection activeCell="L11" sqref="L11"/>
    </sheetView>
  </sheetViews>
  <sheetFormatPr defaultRowHeight="14.35" x14ac:dyDescent="0.5"/>
  <cols>
    <col min="1" max="1" width="12.87890625" bestFit="1" customWidth="1"/>
    <col min="8" max="8" width="10.1171875" bestFit="1" customWidth="1"/>
  </cols>
  <sheetData>
    <row r="3" spans="1:12" x14ac:dyDescent="0.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5">
      <c r="A4" t="s">
        <v>10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41666</v>
      </c>
      <c r="H4" s="2">
        <f>SUM(B4:G4)</f>
        <v>41667</v>
      </c>
      <c r="I4" s="1">
        <v>8333.0000000000036</v>
      </c>
      <c r="J4" s="1">
        <v>0</v>
      </c>
      <c r="K4" s="3">
        <f>H4+I4-J4</f>
        <v>50000</v>
      </c>
      <c r="L4">
        <v>50000</v>
      </c>
    </row>
    <row r="5" spans="1:12" x14ac:dyDescent="0.5">
      <c r="A5" t="s">
        <v>1</v>
      </c>
      <c r="B5">
        <v>3</v>
      </c>
      <c r="C5">
        <v>3.5</v>
      </c>
      <c r="D5">
        <v>4</v>
      </c>
      <c r="E5">
        <v>4.5</v>
      </c>
      <c r="F5">
        <v>5</v>
      </c>
      <c r="G5">
        <v>6</v>
      </c>
      <c r="H5" s="2">
        <f>SUMPRODUCT($B$4:$G$4,B5:G5)</f>
        <v>250000</v>
      </c>
      <c r="I5" s="1">
        <v>0</v>
      </c>
      <c r="J5" s="1">
        <v>0</v>
      </c>
      <c r="K5" s="3">
        <f t="shared" ref="K5" si="0">H5+I5-J5</f>
        <v>250000</v>
      </c>
      <c r="L5">
        <v>250000</v>
      </c>
    </row>
    <row r="6" spans="1:12" x14ac:dyDescent="0.5">
      <c r="A6" t="s">
        <v>8</v>
      </c>
      <c r="B6">
        <v>0.25</v>
      </c>
      <c r="C6">
        <v>0.3</v>
      </c>
      <c r="D6">
        <v>0.15</v>
      </c>
      <c r="E6">
        <v>0.2</v>
      </c>
      <c r="F6">
        <v>0.4</v>
      </c>
      <c r="G6">
        <v>0.05</v>
      </c>
      <c r="H6" s="2">
        <f>SUMPRODUCT($B$4:$G$4,B6:G6)</f>
        <v>2083.4500000000003</v>
      </c>
      <c r="I6" s="1">
        <v>0</v>
      </c>
      <c r="J6" s="1">
        <v>9.9999999999636199E-2</v>
      </c>
      <c r="K6" s="3">
        <f>H6+I6-J6-0.05*SUM(B4:G4)</f>
        <v>0</v>
      </c>
      <c r="L6">
        <v>0</v>
      </c>
    </row>
    <row r="7" spans="1:12" x14ac:dyDescent="0.5">
      <c r="A7" t="s">
        <v>9</v>
      </c>
      <c r="B7">
        <v>0.4</v>
      </c>
      <c r="C7">
        <v>0.35</v>
      </c>
      <c r="D7">
        <v>0.3</v>
      </c>
      <c r="E7">
        <v>0.25</v>
      </c>
      <c r="F7">
        <v>0.2</v>
      </c>
      <c r="G7">
        <v>0.05</v>
      </c>
      <c r="H7" s="2">
        <f t="shared" ref="H7" si="1">SUMPRODUCT($B$4:$G$4,B7:G7)</f>
        <v>2083.6000000000004</v>
      </c>
      <c r="I7" s="1">
        <v>0</v>
      </c>
      <c r="J7" s="1">
        <v>0.24999999999909045</v>
      </c>
      <c r="K7" s="3">
        <f>H7+I7-J7-0.05*SUM(B4:G4)</f>
        <v>0</v>
      </c>
      <c r="L7">
        <v>0</v>
      </c>
    </row>
    <row r="10" spans="1:12" x14ac:dyDescent="0.5">
      <c r="H10" t="s">
        <v>17</v>
      </c>
      <c r="I10" s="4">
        <v>1</v>
      </c>
      <c r="J10" s="5">
        <v>1</v>
      </c>
    </row>
    <row r="11" spans="1:12" x14ac:dyDescent="0.5">
      <c r="I11" s="6">
        <v>1</v>
      </c>
      <c r="J11" s="7">
        <v>1</v>
      </c>
    </row>
    <row r="12" spans="1:12" x14ac:dyDescent="0.5">
      <c r="I12" s="6">
        <v>1</v>
      </c>
      <c r="J12" s="7">
        <v>1</v>
      </c>
    </row>
    <row r="13" spans="1:12" x14ac:dyDescent="0.5">
      <c r="I13" s="8">
        <v>1</v>
      </c>
      <c r="J13" s="9">
        <v>1</v>
      </c>
    </row>
    <row r="14" spans="1:12" x14ac:dyDescent="0.5">
      <c r="H14" t="s">
        <v>18</v>
      </c>
      <c r="I14" s="10">
        <f>SUMPRODUCT(I10:J13,I4:J7)</f>
        <v>8333.3500000000022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952-185A-4695-84AD-6BAF09E839B6}">
  <dimension ref="A3:M14"/>
  <sheetViews>
    <sheetView workbookViewId="0">
      <selection activeCell="I15" sqref="I15"/>
    </sheetView>
  </sheetViews>
  <sheetFormatPr defaultRowHeight="14.35" x14ac:dyDescent="0.5"/>
  <cols>
    <col min="1" max="1" width="12.87890625" bestFit="1" customWidth="1"/>
    <col min="8" max="8" width="10.1171875" bestFit="1" customWidth="1"/>
  </cols>
  <sheetData>
    <row r="3" spans="1:13" x14ac:dyDescent="0.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3" x14ac:dyDescent="0.5">
      <c r="A4" t="s">
        <v>10</v>
      </c>
      <c r="B4" s="1">
        <v>0</v>
      </c>
      <c r="C4" s="1">
        <v>1156</v>
      </c>
      <c r="D4" s="1">
        <v>0</v>
      </c>
      <c r="E4" s="1">
        <v>0</v>
      </c>
      <c r="F4" s="1">
        <v>289</v>
      </c>
      <c r="G4" s="1">
        <v>40752</v>
      </c>
      <c r="H4" s="2">
        <f>SUM(B4:G4)</f>
        <v>42197</v>
      </c>
      <c r="I4" s="1">
        <v>7803.0000000000273</v>
      </c>
      <c r="J4" s="1">
        <v>0</v>
      </c>
      <c r="K4" s="3">
        <f>H4+I4-J4</f>
        <v>50000.000000000029</v>
      </c>
      <c r="L4">
        <v>50000</v>
      </c>
    </row>
    <row r="5" spans="1:13" x14ac:dyDescent="0.5">
      <c r="A5" t="s">
        <v>1</v>
      </c>
      <c r="B5">
        <v>3</v>
      </c>
      <c r="C5">
        <v>3.5</v>
      </c>
      <c r="D5">
        <v>4</v>
      </c>
      <c r="E5">
        <v>4.5</v>
      </c>
      <c r="F5">
        <v>5</v>
      </c>
      <c r="G5">
        <v>6</v>
      </c>
      <c r="H5" s="2">
        <f>SUMPRODUCT($B$4:$G$4,B5:G5)</f>
        <v>250003</v>
      </c>
      <c r="I5" s="1">
        <v>0</v>
      </c>
      <c r="J5" s="1">
        <v>2.9999999998448699</v>
      </c>
      <c r="K5" s="3">
        <f t="shared" ref="K5" si="0">H5+I5-J5</f>
        <v>250000.00000000015</v>
      </c>
      <c r="L5">
        <v>250000</v>
      </c>
    </row>
    <row r="6" spans="1:13" x14ac:dyDescent="0.5">
      <c r="A6" t="s">
        <v>8</v>
      </c>
      <c r="B6">
        <v>0.25</v>
      </c>
      <c r="C6">
        <v>0.3</v>
      </c>
      <c r="D6">
        <v>0.15</v>
      </c>
      <c r="E6">
        <v>0.2</v>
      </c>
      <c r="F6">
        <v>0.4</v>
      </c>
      <c r="G6">
        <v>0.05</v>
      </c>
      <c r="H6" s="2">
        <f t="shared" ref="H6:H7" si="1">SUMPRODUCT($B$4:$G$4,B6:G6)</f>
        <v>2500</v>
      </c>
      <c r="I6" s="1">
        <v>0</v>
      </c>
      <c r="J6" s="1">
        <v>0</v>
      </c>
      <c r="K6" s="3">
        <f>H6+I6-J6</f>
        <v>2500</v>
      </c>
      <c r="L6">
        <f>0.05*L4</f>
        <v>2500</v>
      </c>
    </row>
    <row r="7" spans="1:13" x14ac:dyDescent="0.5">
      <c r="A7" t="s">
        <v>9</v>
      </c>
      <c r="B7">
        <v>0.4</v>
      </c>
      <c r="C7">
        <v>0.35</v>
      </c>
      <c r="D7">
        <v>0.3</v>
      </c>
      <c r="E7">
        <v>0.25</v>
      </c>
      <c r="F7">
        <v>0.2</v>
      </c>
      <c r="G7">
        <v>0.05</v>
      </c>
      <c r="H7" s="2">
        <f t="shared" si="1"/>
        <v>2500</v>
      </c>
      <c r="I7" s="1">
        <v>0</v>
      </c>
      <c r="J7" s="1">
        <v>0</v>
      </c>
      <c r="K7" s="3">
        <f>H7+I7-J7</f>
        <v>2500</v>
      </c>
      <c r="L7">
        <f>0.05*L4</f>
        <v>2500</v>
      </c>
    </row>
    <row r="9" spans="1:13" x14ac:dyDescent="0.5">
      <c r="K9" t="s">
        <v>19</v>
      </c>
    </row>
    <row r="10" spans="1:13" x14ac:dyDescent="0.5">
      <c r="H10" t="s">
        <v>17</v>
      </c>
      <c r="I10" s="4">
        <v>1</v>
      </c>
      <c r="J10" s="5">
        <v>1</v>
      </c>
      <c r="L10" s="4">
        <f>I4/$L4</f>
        <v>0.15606000000000056</v>
      </c>
      <c r="M10" s="5">
        <f>J4/$L4</f>
        <v>0</v>
      </c>
    </row>
    <row r="11" spans="1:13" x14ac:dyDescent="0.5">
      <c r="I11" s="6">
        <v>1</v>
      </c>
      <c r="J11" s="7">
        <v>1</v>
      </c>
      <c r="L11" s="6">
        <f t="shared" ref="L11:M13" si="2">I5/$L5</f>
        <v>0</v>
      </c>
      <c r="M11" s="7">
        <f>J5/$L5</f>
        <v>1.1999999999379479E-5</v>
      </c>
    </row>
    <row r="12" spans="1:13" x14ac:dyDescent="0.5">
      <c r="I12" s="6">
        <v>1</v>
      </c>
      <c r="J12" s="7">
        <v>1</v>
      </c>
      <c r="L12" s="6">
        <f t="shared" si="2"/>
        <v>0</v>
      </c>
      <c r="M12" s="7">
        <f t="shared" si="2"/>
        <v>0</v>
      </c>
    </row>
    <row r="13" spans="1:13" x14ac:dyDescent="0.5">
      <c r="I13" s="8">
        <v>1</v>
      </c>
      <c r="J13" s="9">
        <v>1</v>
      </c>
      <c r="L13" s="8">
        <f t="shared" si="2"/>
        <v>0</v>
      </c>
      <c r="M13" s="9">
        <f t="shared" si="2"/>
        <v>0</v>
      </c>
    </row>
    <row r="14" spans="1:13" x14ac:dyDescent="0.5">
      <c r="H14" t="s">
        <v>18</v>
      </c>
      <c r="I14" s="10">
        <f>SUMPRODUCT(I10:J13,L10:M13)</f>
        <v>0.15607199999999993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5791-F0B9-479B-9B87-40AD30998519}">
  <dimension ref="A3:H9"/>
  <sheetViews>
    <sheetView workbookViewId="0">
      <selection activeCell="B4" sqref="B4"/>
    </sheetView>
  </sheetViews>
  <sheetFormatPr defaultRowHeight="14.35" x14ac:dyDescent="0.5"/>
  <cols>
    <col min="1" max="1" width="8.234375" bestFit="1" customWidth="1"/>
    <col min="2" max="2" width="10.3515625" bestFit="1" customWidth="1"/>
    <col min="3" max="3" width="11.64453125" bestFit="1" customWidth="1"/>
    <col min="6" max="6" width="10.29296875" bestFit="1" customWidth="1"/>
    <col min="7" max="7" width="10.1171875" bestFit="1" customWidth="1"/>
    <col min="8" max="8" width="10.703125" bestFit="1" customWidth="1"/>
  </cols>
  <sheetData>
    <row r="3" spans="1:8" x14ac:dyDescent="0.5">
      <c r="B3" t="s">
        <v>20</v>
      </c>
      <c r="C3" t="s">
        <v>21</v>
      </c>
      <c r="D3" t="s">
        <v>11</v>
      </c>
      <c r="E3" t="s">
        <v>27</v>
      </c>
      <c r="F3" t="s">
        <v>15</v>
      </c>
      <c r="G3" t="s">
        <v>16</v>
      </c>
      <c r="H3" t="s">
        <v>22</v>
      </c>
    </row>
    <row r="4" spans="1:8" x14ac:dyDescent="0.5">
      <c r="A4" t="s">
        <v>23</v>
      </c>
      <c r="B4" s="1">
        <v>400</v>
      </c>
      <c r="C4" s="1">
        <v>89.423076923089909</v>
      </c>
      <c r="D4">
        <f>SUM(B4:C4)</f>
        <v>489.42307692308992</v>
      </c>
      <c r="E4">
        <f>D4-400</f>
        <v>89.423076923089923</v>
      </c>
      <c r="F4">
        <v>50</v>
      </c>
      <c r="G4" s="12">
        <f>(E4-F4)/F4</f>
        <v>0.78846153846179845</v>
      </c>
      <c r="H4">
        <f>10*24*7</f>
        <v>1680</v>
      </c>
    </row>
    <row r="5" spans="1:8" x14ac:dyDescent="0.5">
      <c r="A5" t="s">
        <v>26</v>
      </c>
      <c r="B5">
        <v>3</v>
      </c>
      <c r="C5">
        <v>2.5</v>
      </c>
      <c r="D5">
        <f>SUMPRODUCT(B5:C5,B4:C4)+E4*2</f>
        <v>1602.4038461539044</v>
      </c>
      <c r="F5">
        <v>7575</v>
      </c>
      <c r="G5" s="13">
        <f>(F5-D5)/F5</f>
        <v>0.78846153846153089</v>
      </c>
    </row>
    <row r="6" spans="1:8" x14ac:dyDescent="0.5">
      <c r="H6" t="s">
        <v>29</v>
      </c>
    </row>
    <row r="7" spans="1:8" x14ac:dyDescent="0.5">
      <c r="A7" t="s">
        <v>25</v>
      </c>
      <c r="B7" s="3">
        <f>B4*10</f>
        <v>4000</v>
      </c>
      <c r="C7" s="3">
        <f>C4</f>
        <v>89.423076923089909</v>
      </c>
      <c r="F7" t="s">
        <v>17</v>
      </c>
      <c r="G7" s="12">
        <v>1</v>
      </c>
      <c r="H7">
        <f>G4*G7</f>
        <v>0.78846153846179845</v>
      </c>
    </row>
    <row r="8" spans="1:8" x14ac:dyDescent="0.5">
      <c r="A8" t="s">
        <v>24</v>
      </c>
      <c r="B8">
        <v>4000</v>
      </c>
      <c r="C8">
        <v>50</v>
      </c>
      <c r="G8" s="13">
        <v>1</v>
      </c>
      <c r="H8">
        <f>G5*G8</f>
        <v>0.78846153846153089</v>
      </c>
    </row>
    <row r="9" spans="1:8" x14ac:dyDescent="0.5">
      <c r="F9" t="s">
        <v>28</v>
      </c>
      <c r="G9" s="1">
        <v>0.78846153846158962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4713-78B8-4375-AA1F-4C159007E0A9}">
  <dimension ref="A3:H9"/>
  <sheetViews>
    <sheetView workbookViewId="0">
      <selection activeCell="E4" sqref="E4"/>
    </sheetView>
  </sheetViews>
  <sheetFormatPr defaultRowHeight="14.35" x14ac:dyDescent="0.5"/>
  <cols>
    <col min="1" max="1" width="8.234375" bestFit="1" customWidth="1"/>
    <col min="2" max="2" width="10.3515625" bestFit="1" customWidth="1"/>
    <col min="3" max="3" width="11.64453125" bestFit="1" customWidth="1"/>
    <col min="7" max="7" width="10.1171875" bestFit="1" customWidth="1"/>
  </cols>
  <sheetData>
    <row r="3" spans="1:8" x14ac:dyDescent="0.5">
      <c r="B3" t="s">
        <v>20</v>
      </c>
      <c r="C3" t="s">
        <v>21</v>
      </c>
      <c r="D3" t="s">
        <v>11</v>
      </c>
      <c r="E3" t="s">
        <v>27</v>
      </c>
      <c r="F3" t="s">
        <v>15</v>
      </c>
      <c r="G3" t="s">
        <v>16</v>
      </c>
      <c r="H3" t="s">
        <v>22</v>
      </c>
    </row>
    <row r="4" spans="1:8" x14ac:dyDescent="0.5">
      <c r="A4" t="s">
        <v>23</v>
      </c>
      <c r="B4" s="1">
        <v>400</v>
      </c>
      <c r="C4" s="1">
        <v>50</v>
      </c>
      <c r="D4">
        <f>SUM(B4:C4)</f>
        <v>450</v>
      </c>
      <c r="E4">
        <f>D4-400</f>
        <v>50</v>
      </c>
      <c r="F4">
        <v>50</v>
      </c>
      <c r="G4" s="12">
        <f>(E4-F4)/F4</f>
        <v>0</v>
      </c>
      <c r="H4">
        <f>10*24*7</f>
        <v>1680</v>
      </c>
    </row>
    <row r="5" spans="1:8" x14ac:dyDescent="0.5">
      <c r="A5" t="s">
        <v>26</v>
      </c>
      <c r="B5">
        <v>3</v>
      </c>
      <c r="C5">
        <v>2.5</v>
      </c>
      <c r="D5">
        <f>SUMPRODUCT(B5:C5,B4:C4)+E4*2</f>
        <v>1425</v>
      </c>
      <c r="F5">
        <v>7575</v>
      </c>
      <c r="G5" s="13">
        <f>(F5-D5)/F5</f>
        <v>0.81188118811881194</v>
      </c>
    </row>
    <row r="7" spans="1:8" x14ac:dyDescent="0.5">
      <c r="A7" t="s">
        <v>25</v>
      </c>
      <c r="B7" s="3">
        <f>B4*10</f>
        <v>4000</v>
      </c>
      <c r="C7" s="3">
        <f>C4</f>
        <v>50</v>
      </c>
      <c r="F7" t="s">
        <v>17</v>
      </c>
      <c r="G7" s="12">
        <v>1</v>
      </c>
    </row>
    <row r="8" spans="1:8" x14ac:dyDescent="0.5">
      <c r="A8" t="s">
        <v>24</v>
      </c>
      <c r="B8">
        <v>4000</v>
      </c>
      <c r="C8">
        <v>50</v>
      </c>
      <c r="G8" s="13">
        <v>1</v>
      </c>
    </row>
    <row r="9" spans="1:8" x14ac:dyDescent="0.5">
      <c r="F9" t="s">
        <v>18</v>
      </c>
      <c r="G9">
        <f>SUMPRODUCT(G4:G5,G7:G8)</f>
        <v>0.81188118811881194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E2F6-882B-455F-BBED-259D582944F1}">
  <dimension ref="A1:AZ54"/>
  <sheetViews>
    <sheetView zoomScale="71" workbookViewId="0">
      <selection activeCell="N4" sqref="N4"/>
    </sheetView>
  </sheetViews>
  <sheetFormatPr defaultRowHeight="14.35" x14ac:dyDescent="0.5"/>
  <cols>
    <col min="1" max="1" width="4.9375" bestFit="1" customWidth="1"/>
  </cols>
  <sheetData>
    <row r="1" spans="1:52" x14ac:dyDescent="0.5">
      <c r="A1" s="32" t="s">
        <v>109</v>
      </c>
      <c r="N1" s="52" t="str">
        <f>CONCATENATE("Sensitivity of ",$N$4," to ","Weight of Profit")</f>
        <v>Sensitivity of $B$4 to Weight of Profit</v>
      </c>
      <c r="R1" s="52" t="str">
        <f>CONCATENATE("Sensitivity of ",$R$4," to ","Weight of Overtime")</f>
        <v>Sensitivity of $C$4 to Weight of Overtime</v>
      </c>
    </row>
    <row r="2" spans="1:52" x14ac:dyDescent="0.5">
      <c r="N2" t="s">
        <v>111</v>
      </c>
      <c r="R2" t="s">
        <v>113</v>
      </c>
      <c r="AZ2" t="s">
        <v>102</v>
      </c>
    </row>
    <row r="3" spans="1:52" x14ac:dyDescent="0.5">
      <c r="A3" t="s">
        <v>110</v>
      </c>
      <c r="N3" t="s">
        <v>106</v>
      </c>
      <c r="O3" t="s">
        <v>112</v>
      </c>
      <c r="R3" t="s">
        <v>106</v>
      </c>
      <c r="S3" t="s">
        <v>114</v>
      </c>
      <c r="AZ3" t="s">
        <v>103</v>
      </c>
    </row>
    <row r="4" spans="1:52" ht="27.35" x14ac:dyDescent="0.5">
      <c r="A4" s="49" t="s">
        <v>102</v>
      </c>
      <c r="B4" s="48">
        <v>0</v>
      </c>
      <c r="C4" s="48">
        <v>1</v>
      </c>
      <c r="D4" s="48">
        <v>2</v>
      </c>
      <c r="E4" s="48">
        <v>3</v>
      </c>
      <c r="F4" s="48">
        <v>4</v>
      </c>
      <c r="G4" s="48">
        <v>5</v>
      </c>
      <c r="H4" s="48">
        <v>6</v>
      </c>
      <c r="I4" s="48">
        <v>7</v>
      </c>
      <c r="J4" s="48">
        <v>8</v>
      </c>
      <c r="K4" s="48">
        <v>9</v>
      </c>
      <c r="L4" s="48">
        <v>10</v>
      </c>
      <c r="M4" s="52">
        <f>MATCH($N$4,OutputAddresses,0)</f>
        <v>1</v>
      </c>
      <c r="N4" s="51" t="s">
        <v>102</v>
      </c>
      <c r="O4" s="50">
        <v>1</v>
      </c>
      <c r="P4" s="52">
        <f>MATCH($O$4,InputValues1,0)</f>
        <v>2</v>
      </c>
      <c r="Q4" s="52">
        <f>MATCH($R$4,OutputAddresses,0)</f>
        <v>2</v>
      </c>
      <c r="R4" s="51" t="s">
        <v>103</v>
      </c>
      <c r="S4" s="50">
        <v>1</v>
      </c>
      <c r="T4" s="52">
        <f>MATCH($S$4,InputValues2,0)</f>
        <v>2</v>
      </c>
      <c r="AZ4" t="s">
        <v>104</v>
      </c>
    </row>
    <row r="5" spans="1:52" x14ac:dyDescent="0.5">
      <c r="A5" s="48">
        <v>0</v>
      </c>
      <c r="B5" s="53">
        <v>400</v>
      </c>
      <c r="C5" s="56">
        <v>400</v>
      </c>
      <c r="D5" s="56">
        <v>1630</v>
      </c>
      <c r="E5" s="56">
        <v>1630</v>
      </c>
      <c r="F5" s="56">
        <v>1630</v>
      </c>
      <c r="G5" s="56">
        <v>1630</v>
      </c>
      <c r="H5" s="56">
        <v>1630</v>
      </c>
      <c r="I5" s="56">
        <v>1630</v>
      </c>
      <c r="J5" s="56">
        <v>1630</v>
      </c>
      <c r="K5" s="56">
        <v>1630</v>
      </c>
      <c r="L5" s="59">
        <v>1630</v>
      </c>
      <c r="M5" s="52" t="str">
        <f>"OutputValues_"&amp;$M$4</f>
        <v>OutputValues_1</v>
      </c>
      <c r="N5">
        <f ca="1">INDEX(INDIRECT($M$5),$P$4,1)</f>
        <v>400</v>
      </c>
      <c r="Q5" s="52" t="str">
        <f>"OutputValues_"&amp;$Q$4</f>
        <v>OutputValues_2</v>
      </c>
      <c r="R5">
        <f ca="1">INDEX(INDIRECT($Q$5),1,$T$4)</f>
        <v>1280</v>
      </c>
      <c r="AZ5" t="s">
        <v>105</v>
      </c>
    </row>
    <row r="6" spans="1:52" x14ac:dyDescent="0.5">
      <c r="A6" s="48">
        <v>1</v>
      </c>
      <c r="B6" s="54">
        <v>400</v>
      </c>
      <c r="C6" s="57">
        <v>400</v>
      </c>
      <c r="D6" s="57">
        <v>476.1609907120914</v>
      </c>
      <c r="E6" s="57">
        <v>510.81081081083192</v>
      </c>
      <c r="F6" s="57">
        <v>543.44023323617694</v>
      </c>
      <c r="G6" s="57">
        <v>574.22096317284593</v>
      </c>
      <c r="H6" s="57">
        <v>603.30578512400086</v>
      </c>
      <c r="I6" s="57">
        <v>630.83109919573633</v>
      </c>
      <c r="J6" s="57">
        <v>656.91906005226178</v>
      </c>
      <c r="K6" s="57">
        <v>681.67938931301478</v>
      </c>
      <c r="L6" s="60">
        <v>705.21091811422025</v>
      </c>
      <c r="N6">
        <f ca="1">INDEX(INDIRECT($M$5),$P$4,2)</f>
        <v>400</v>
      </c>
      <c r="R6">
        <f ca="1">INDEX(INDIRECT($Q$5),2,$T$4)</f>
        <v>89.423076923089909</v>
      </c>
    </row>
    <row r="7" spans="1:52" x14ac:dyDescent="0.5">
      <c r="A7" s="48">
        <v>2</v>
      </c>
      <c r="B7" s="54">
        <v>400</v>
      </c>
      <c r="C7" s="57">
        <v>400</v>
      </c>
      <c r="D7" s="57">
        <v>439.29712460065218</v>
      </c>
      <c r="E7" s="57">
        <v>458.01886792454343</v>
      </c>
      <c r="F7" s="57">
        <v>476.1609907120914</v>
      </c>
      <c r="G7" s="57">
        <v>493.75000000002467</v>
      </c>
      <c r="H7" s="57">
        <v>510.81081081083192</v>
      </c>
      <c r="I7" s="57">
        <v>527.36686390534294</v>
      </c>
      <c r="J7" s="57">
        <v>543.44023323617694</v>
      </c>
      <c r="K7" s="57">
        <v>559.05172413795447</v>
      </c>
      <c r="L7" s="60">
        <v>574.22096317284593</v>
      </c>
      <c r="N7">
        <f ca="1">INDEX(INDIRECT($M$5),$P$4,3)</f>
        <v>476.1609907120914</v>
      </c>
      <c r="R7">
        <f ca="1">INDEX(INDIRECT($Q$5),3,$T$4)</f>
        <v>70.000000000011326</v>
      </c>
    </row>
    <row r="8" spans="1:52" x14ac:dyDescent="0.5">
      <c r="A8" s="48">
        <v>3</v>
      </c>
      <c r="B8" s="54">
        <v>400</v>
      </c>
      <c r="C8" s="57">
        <v>400</v>
      </c>
      <c r="D8" s="57">
        <v>426.48008611411319</v>
      </c>
      <c r="E8" s="57">
        <v>439.29712460065218</v>
      </c>
      <c r="F8" s="57">
        <v>451.8440463646088</v>
      </c>
      <c r="G8" s="57">
        <v>464.1293013555981</v>
      </c>
      <c r="H8" s="57">
        <v>476.1609907120914</v>
      </c>
      <c r="I8" s="57">
        <v>487.94688457611278</v>
      </c>
      <c r="J8" s="57">
        <v>499.49443882711785</v>
      </c>
      <c r="K8" s="57">
        <v>510.81081081082948</v>
      </c>
      <c r="L8" s="60">
        <v>521.90287413283488</v>
      </c>
      <c r="N8">
        <f ca="1">INDEX(INDIRECT($M$5),$P$4,4)</f>
        <v>510.81081081083192</v>
      </c>
      <c r="R8">
        <f ca="1">INDEX(INDIRECT($Q$5),4,$T$4)</f>
        <v>63.398692810468269</v>
      </c>
    </row>
    <row r="9" spans="1:52" x14ac:dyDescent="0.5">
      <c r="A9" s="48">
        <v>4</v>
      </c>
      <c r="B9" s="54">
        <v>400</v>
      </c>
      <c r="C9" s="57">
        <v>400</v>
      </c>
      <c r="D9" s="57">
        <v>419.96753246754383</v>
      </c>
      <c r="E9" s="57">
        <v>429.71014492754853</v>
      </c>
      <c r="F9" s="57">
        <v>439.29712460065218</v>
      </c>
      <c r="G9" s="57">
        <v>448.73217115691068</v>
      </c>
      <c r="H9" s="57">
        <v>458.01886792454343</v>
      </c>
      <c r="I9" s="57">
        <v>467.16068642747052</v>
      </c>
      <c r="J9" s="57">
        <v>476.1609907120914</v>
      </c>
      <c r="K9" s="57">
        <v>485.02304147467072</v>
      </c>
      <c r="L9" s="60">
        <v>493.75000000002467</v>
      </c>
      <c r="N9">
        <f ca="1">INDEX(INDIRECT($M$5),$P$4,5)</f>
        <v>543.44023323617694</v>
      </c>
      <c r="R9">
        <f ca="1">INDEX(INDIRECT($Q$5),5,$T$4)</f>
        <v>60.073710073720541</v>
      </c>
    </row>
    <row r="10" spans="1:52" x14ac:dyDescent="0.5">
      <c r="A10" s="48">
        <v>5</v>
      </c>
      <c r="B10" s="54">
        <v>400</v>
      </c>
      <c r="C10" s="57">
        <v>400</v>
      </c>
      <c r="D10" s="57">
        <v>416.02605863194566</v>
      </c>
      <c r="E10" s="57">
        <v>423.88349514565584</v>
      </c>
      <c r="F10" s="57">
        <v>431.63987138266236</v>
      </c>
      <c r="G10" s="57">
        <v>439.2971246006677</v>
      </c>
      <c r="H10" s="57">
        <v>446.8571428571704</v>
      </c>
      <c r="I10" s="57">
        <v>454.32176656154053</v>
      </c>
      <c r="J10" s="57">
        <v>461.69278996868144</v>
      </c>
      <c r="K10" s="57">
        <v>468.97196261685144</v>
      </c>
      <c r="L10" s="60">
        <v>476.16099071210999</v>
      </c>
      <c r="N10">
        <f ca="1">INDEX(INDIRECT($M$5),$P$4,6)</f>
        <v>574.22096317284593</v>
      </c>
      <c r="R10">
        <f ca="1">INDEX(INDIRECT($Q$5),6,$T$4)</f>
        <v>58.070866141754649</v>
      </c>
    </row>
    <row r="11" spans="1:52" x14ac:dyDescent="0.5">
      <c r="A11" s="48">
        <v>6</v>
      </c>
      <c r="B11" s="54">
        <v>400</v>
      </c>
      <c r="C11" s="57">
        <v>400</v>
      </c>
      <c r="D11" s="57">
        <v>413.38411316649609</v>
      </c>
      <c r="E11" s="57">
        <v>419.96753246754383</v>
      </c>
      <c r="F11" s="57">
        <v>426.48008611411319</v>
      </c>
      <c r="G11" s="57">
        <v>432.92291220558178</v>
      </c>
      <c r="H11" s="57">
        <v>439.29712460065218</v>
      </c>
      <c r="I11" s="57">
        <v>445.60381355933413</v>
      </c>
      <c r="J11" s="57">
        <v>451.8440463646088</v>
      </c>
      <c r="K11" s="57">
        <v>458.01886792454235</v>
      </c>
      <c r="L11" s="60">
        <v>464.1293013555981</v>
      </c>
      <c r="N11">
        <f ca="1">INDEX(INDIRECT($M$5),$P$4,7)</f>
        <v>603.30578512400086</v>
      </c>
      <c r="R11">
        <f ca="1">INDEX(INDIRECT($Q$5),7,$T$4)</f>
        <v>56.732348111668635</v>
      </c>
    </row>
    <row r="12" spans="1:52" x14ac:dyDescent="0.5">
      <c r="A12" s="48">
        <v>7</v>
      </c>
      <c r="B12" s="54">
        <v>400</v>
      </c>
      <c r="C12" s="57">
        <v>400</v>
      </c>
      <c r="D12" s="57">
        <v>411.48995796356996</v>
      </c>
      <c r="E12" s="57">
        <v>417.15481171548311</v>
      </c>
      <c r="F12" s="57">
        <v>422.76723739009952</v>
      </c>
      <c r="G12" s="57">
        <v>428.32795946568831</v>
      </c>
      <c r="H12" s="57">
        <v>433.83768913342828</v>
      </c>
      <c r="I12" s="57">
        <v>439.29712460064115</v>
      </c>
      <c r="J12" s="57">
        <v>444.70695138573785</v>
      </c>
      <c r="K12" s="57">
        <v>450.06784260515968</v>
      </c>
      <c r="L12" s="60">
        <v>455.38045925259701</v>
      </c>
      <c r="N12">
        <f ca="1">INDEX(INDIRECT($M$5),$P$4,8)</f>
        <v>630.83109919573633</v>
      </c>
      <c r="R12">
        <f ca="1">INDEX(INDIRECT($Q$5),8,$T$4)</f>
        <v>55.774647887325337</v>
      </c>
    </row>
    <row r="13" spans="1:52" x14ac:dyDescent="0.5">
      <c r="A13" s="48">
        <v>8</v>
      </c>
      <c r="B13" s="54">
        <v>400</v>
      </c>
      <c r="C13" s="57">
        <v>400</v>
      </c>
      <c r="D13" s="57">
        <v>410.06546644845565</v>
      </c>
      <c r="E13" s="57">
        <v>415.03667481663683</v>
      </c>
      <c r="F13" s="57">
        <v>419.96753246754383</v>
      </c>
      <c r="G13" s="57">
        <v>424.85852869847713</v>
      </c>
      <c r="H13" s="57">
        <v>429.71014492754853</v>
      </c>
      <c r="I13" s="57">
        <v>434.52285485165538</v>
      </c>
      <c r="J13" s="57">
        <v>439.29712460065218</v>
      </c>
      <c r="K13" s="57">
        <v>444.03341288784105</v>
      </c>
      <c r="L13" s="60">
        <v>448.73217115691068</v>
      </c>
      <c r="N13">
        <f ca="1">INDEX(INDIRECT($M$5),$P$4,9)</f>
        <v>656.91906005226178</v>
      </c>
      <c r="R13">
        <f ca="1">INDEX(INDIRECT($Q$5),9,$T$4)</f>
        <v>55.055487053030994</v>
      </c>
    </row>
    <row r="14" spans="1:52" x14ac:dyDescent="0.5">
      <c r="A14" s="48">
        <v>9</v>
      </c>
      <c r="B14" s="54">
        <v>400</v>
      </c>
      <c r="C14" s="57">
        <v>400</v>
      </c>
      <c r="D14" s="57">
        <v>408.95522388061636</v>
      </c>
      <c r="E14" s="57">
        <v>413.38411316650513</v>
      </c>
      <c r="F14" s="57">
        <v>417.78099024215976</v>
      </c>
      <c r="G14" s="57">
        <v>422.146200936284</v>
      </c>
      <c r="H14" s="57">
        <v>426.4800861141224</v>
      </c>
      <c r="I14" s="57">
        <v>430.78298176619853</v>
      </c>
      <c r="J14" s="57">
        <v>435.05521909514147</v>
      </c>
      <c r="K14" s="57">
        <v>439.29712460066088</v>
      </c>
      <c r="L14" s="60">
        <v>443.50902016274205</v>
      </c>
      <c r="N14">
        <f ca="1">INDEX(INDIRECT($M$5),$P$4,10)</f>
        <v>681.67938931301478</v>
      </c>
      <c r="R14">
        <f ca="1">INDEX(INDIRECT($Q$5),10,$T$4)</f>
        <v>54.495614035106641</v>
      </c>
    </row>
    <row r="15" spans="1:52" x14ac:dyDescent="0.5">
      <c r="A15" s="48">
        <v>10</v>
      </c>
      <c r="B15" s="55">
        <v>400</v>
      </c>
      <c r="C15" s="58">
        <v>400</v>
      </c>
      <c r="D15" s="58">
        <v>408.06557377051473</v>
      </c>
      <c r="E15" s="58">
        <v>412.05882352943513</v>
      </c>
      <c r="F15" s="58">
        <v>416.02605863194566</v>
      </c>
      <c r="G15" s="58">
        <v>419.96753246755782</v>
      </c>
      <c r="H15" s="58">
        <v>423.88349514565584</v>
      </c>
      <c r="I15" s="58">
        <v>427.77419354841129</v>
      </c>
      <c r="J15" s="58">
        <v>431.63987138266236</v>
      </c>
      <c r="K15" s="58">
        <v>435.48076923079475</v>
      </c>
      <c r="L15" s="61">
        <v>439.2971246006677</v>
      </c>
      <c r="N15">
        <f ca="1">INDEX(INDIRECT($M$5),$P$4,11)</f>
        <v>705.21091811422025</v>
      </c>
      <c r="R15">
        <f ca="1">INDEX(INDIRECT($Q$5),11,$T$4)</f>
        <v>54.047384007919533</v>
      </c>
    </row>
    <row r="17" spans="1:12" x14ac:dyDescent="0.5">
      <c r="A17" s="49" t="s">
        <v>103</v>
      </c>
      <c r="B17" s="48">
        <v>0</v>
      </c>
      <c r="C17" s="48">
        <v>1</v>
      </c>
      <c r="D17" s="48">
        <v>2</v>
      </c>
      <c r="E17" s="48">
        <v>3</v>
      </c>
      <c r="F17" s="48">
        <v>4</v>
      </c>
      <c r="G17" s="48">
        <v>5</v>
      </c>
      <c r="H17" s="48">
        <v>6</v>
      </c>
      <c r="I17" s="48">
        <v>7</v>
      </c>
      <c r="J17" s="48">
        <v>8</v>
      </c>
      <c r="K17" s="48">
        <v>9</v>
      </c>
      <c r="L17" s="48">
        <v>10</v>
      </c>
    </row>
    <row r="18" spans="1:12" x14ac:dyDescent="0.5">
      <c r="A18" s="48">
        <v>0</v>
      </c>
      <c r="B18" s="53">
        <v>50</v>
      </c>
      <c r="C18" s="56">
        <v>1280</v>
      </c>
      <c r="D18" s="56">
        <v>50</v>
      </c>
      <c r="E18" s="56">
        <v>50</v>
      </c>
      <c r="F18" s="56">
        <v>50</v>
      </c>
      <c r="G18" s="56">
        <v>50</v>
      </c>
      <c r="H18" s="56">
        <v>50</v>
      </c>
      <c r="I18" s="56">
        <v>50</v>
      </c>
      <c r="J18" s="56">
        <v>50</v>
      </c>
      <c r="K18" s="56">
        <v>50</v>
      </c>
      <c r="L18" s="59">
        <v>50</v>
      </c>
    </row>
    <row r="19" spans="1:12" x14ac:dyDescent="0.5">
      <c r="A19" s="48">
        <v>1</v>
      </c>
      <c r="B19" s="54">
        <v>50</v>
      </c>
      <c r="C19" s="57">
        <v>89.423076923089909</v>
      </c>
      <c r="D19" s="57">
        <v>50</v>
      </c>
      <c r="E19" s="57">
        <v>50.000000000000014</v>
      </c>
      <c r="F19" s="57">
        <v>50</v>
      </c>
      <c r="G19" s="57">
        <v>50</v>
      </c>
      <c r="H19" s="57">
        <v>49.999999999999972</v>
      </c>
      <c r="I19" s="57">
        <v>50</v>
      </c>
      <c r="J19" s="57">
        <v>50</v>
      </c>
      <c r="K19" s="57">
        <v>50</v>
      </c>
      <c r="L19" s="60">
        <v>50</v>
      </c>
    </row>
    <row r="20" spans="1:12" x14ac:dyDescent="0.5">
      <c r="A20" s="48">
        <v>2</v>
      </c>
      <c r="B20" s="54">
        <v>50</v>
      </c>
      <c r="C20" s="57">
        <v>70.000000000011326</v>
      </c>
      <c r="D20" s="57">
        <v>50</v>
      </c>
      <c r="E20" s="57">
        <v>50</v>
      </c>
      <c r="F20" s="57">
        <v>50</v>
      </c>
      <c r="G20" s="57">
        <v>50</v>
      </c>
      <c r="H20" s="57">
        <v>50.000000000000014</v>
      </c>
      <c r="I20" s="57">
        <v>50</v>
      </c>
      <c r="J20" s="57">
        <v>50</v>
      </c>
      <c r="K20" s="57">
        <v>50</v>
      </c>
      <c r="L20" s="60">
        <v>50</v>
      </c>
    </row>
    <row r="21" spans="1:12" x14ac:dyDescent="0.5">
      <c r="A21" s="48">
        <v>3</v>
      </c>
      <c r="B21" s="54">
        <v>50</v>
      </c>
      <c r="C21" s="57">
        <v>63.398692810468269</v>
      </c>
      <c r="D21" s="57">
        <v>50</v>
      </c>
      <c r="E21" s="57">
        <v>50.000000000000007</v>
      </c>
      <c r="F21" s="57">
        <v>49.999999999999993</v>
      </c>
      <c r="G21" s="57">
        <v>49.999999999999986</v>
      </c>
      <c r="H21" s="57">
        <v>50</v>
      </c>
      <c r="I21" s="57">
        <v>49.999999999999986</v>
      </c>
      <c r="J21" s="57">
        <v>50</v>
      </c>
      <c r="K21" s="57">
        <v>49.999999999999986</v>
      </c>
      <c r="L21" s="60">
        <v>50.000000000000014</v>
      </c>
    </row>
    <row r="22" spans="1:12" x14ac:dyDescent="0.5">
      <c r="A22" s="48">
        <v>4</v>
      </c>
      <c r="B22" s="54">
        <v>50</v>
      </c>
      <c r="C22" s="57">
        <v>60.073710073720541</v>
      </c>
      <c r="D22" s="57">
        <v>50</v>
      </c>
      <c r="E22" s="57">
        <v>50</v>
      </c>
      <c r="F22" s="57">
        <v>50</v>
      </c>
      <c r="G22" s="57">
        <v>49.999999999999993</v>
      </c>
      <c r="H22" s="57">
        <v>50</v>
      </c>
      <c r="I22" s="57">
        <v>50</v>
      </c>
      <c r="J22" s="57">
        <v>50</v>
      </c>
      <c r="K22" s="57">
        <v>50</v>
      </c>
      <c r="L22" s="60">
        <v>50</v>
      </c>
    </row>
    <row r="23" spans="1:12" x14ac:dyDescent="0.5">
      <c r="A23" s="48">
        <v>5</v>
      </c>
      <c r="B23" s="54">
        <v>50</v>
      </c>
      <c r="C23" s="57">
        <v>58.070866141754649</v>
      </c>
      <c r="D23" s="57">
        <v>50</v>
      </c>
      <c r="E23" s="57">
        <v>50</v>
      </c>
      <c r="F23" s="57">
        <v>50</v>
      </c>
      <c r="G23" s="57">
        <v>50.000000000000007</v>
      </c>
      <c r="H23" s="57">
        <v>50</v>
      </c>
      <c r="I23" s="57">
        <v>50</v>
      </c>
      <c r="J23" s="57">
        <v>49.999999999999993</v>
      </c>
      <c r="K23" s="57">
        <v>50</v>
      </c>
      <c r="L23" s="60">
        <v>50</v>
      </c>
    </row>
    <row r="24" spans="1:12" x14ac:dyDescent="0.5">
      <c r="A24" s="48">
        <v>6</v>
      </c>
      <c r="B24" s="54">
        <v>50</v>
      </c>
      <c r="C24" s="57">
        <v>56.732348111668635</v>
      </c>
      <c r="D24" s="57">
        <v>50</v>
      </c>
      <c r="E24" s="57">
        <v>50</v>
      </c>
      <c r="F24" s="57">
        <v>50</v>
      </c>
      <c r="G24" s="57">
        <v>49.999999999999986</v>
      </c>
      <c r="H24" s="57">
        <v>50.000000000000007</v>
      </c>
      <c r="I24" s="57">
        <v>50</v>
      </c>
      <c r="J24" s="57">
        <v>49.999999999999993</v>
      </c>
      <c r="K24" s="57">
        <v>50.000000000000007</v>
      </c>
      <c r="L24" s="60">
        <v>49.999999999999986</v>
      </c>
    </row>
    <row r="25" spans="1:12" x14ac:dyDescent="0.5">
      <c r="A25" s="48">
        <v>7</v>
      </c>
      <c r="B25" s="54">
        <v>50</v>
      </c>
      <c r="C25" s="57">
        <v>55.774647887325337</v>
      </c>
      <c r="D25" s="57">
        <v>50</v>
      </c>
      <c r="E25" s="57">
        <v>50</v>
      </c>
      <c r="F25" s="57">
        <v>50</v>
      </c>
      <c r="G25" s="57">
        <v>50</v>
      </c>
      <c r="H25" s="57">
        <v>50</v>
      </c>
      <c r="I25" s="57">
        <v>50</v>
      </c>
      <c r="J25" s="57">
        <v>50.000000000000007</v>
      </c>
      <c r="K25" s="57">
        <v>49.999999999999993</v>
      </c>
      <c r="L25" s="60">
        <v>49.999999999999993</v>
      </c>
    </row>
    <row r="26" spans="1:12" x14ac:dyDescent="0.5">
      <c r="A26" s="48">
        <v>8</v>
      </c>
      <c r="B26" s="54">
        <v>50</v>
      </c>
      <c r="C26" s="57">
        <v>55.055487053030994</v>
      </c>
      <c r="D26" s="57">
        <v>50</v>
      </c>
      <c r="E26" s="57">
        <v>50</v>
      </c>
      <c r="F26" s="57">
        <v>50</v>
      </c>
      <c r="G26" s="57">
        <v>50</v>
      </c>
      <c r="H26" s="57">
        <v>50</v>
      </c>
      <c r="I26" s="57">
        <v>50.000000000000007</v>
      </c>
      <c r="J26" s="57">
        <v>50</v>
      </c>
      <c r="K26" s="57">
        <v>49.999999999999993</v>
      </c>
      <c r="L26" s="60">
        <v>49.999999999999993</v>
      </c>
    </row>
    <row r="27" spans="1:12" x14ac:dyDescent="0.5">
      <c r="A27" s="48">
        <v>9</v>
      </c>
      <c r="B27" s="54">
        <v>50</v>
      </c>
      <c r="C27" s="57">
        <v>54.495614035106641</v>
      </c>
      <c r="D27" s="57">
        <v>50</v>
      </c>
      <c r="E27" s="57">
        <v>50.000000000000007</v>
      </c>
      <c r="F27" s="57">
        <v>49.999999999999993</v>
      </c>
      <c r="G27" s="57">
        <v>50</v>
      </c>
      <c r="H27" s="57">
        <v>50</v>
      </c>
      <c r="I27" s="57">
        <v>50</v>
      </c>
      <c r="J27" s="57">
        <v>50</v>
      </c>
      <c r="K27" s="57">
        <v>50</v>
      </c>
      <c r="L27" s="60">
        <v>50.000000000000007</v>
      </c>
    </row>
    <row r="28" spans="1:12" x14ac:dyDescent="0.5">
      <c r="A28" s="48">
        <v>10</v>
      </c>
      <c r="B28" s="55">
        <v>50</v>
      </c>
      <c r="C28" s="58">
        <v>54.047384007919533</v>
      </c>
      <c r="D28" s="58">
        <v>50</v>
      </c>
      <c r="E28" s="58">
        <v>50</v>
      </c>
      <c r="F28" s="58">
        <v>50</v>
      </c>
      <c r="G28" s="58">
        <v>50</v>
      </c>
      <c r="H28" s="58">
        <v>50</v>
      </c>
      <c r="I28" s="58">
        <v>50</v>
      </c>
      <c r="J28" s="58">
        <v>50</v>
      </c>
      <c r="K28" s="58">
        <v>50</v>
      </c>
      <c r="L28" s="61">
        <v>50.000000000000007</v>
      </c>
    </row>
    <row r="30" spans="1:12" x14ac:dyDescent="0.5">
      <c r="A30" s="49" t="s">
        <v>104</v>
      </c>
      <c r="B30" s="48">
        <v>0</v>
      </c>
      <c r="C30" s="48">
        <v>1</v>
      </c>
      <c r="D30" s="48">
        <v>2</v>
      </c>
      <c r="E30" s="48">
        <v>3</v>
      </c>
      <c r="F30" s="48">
        <v>4</v>
      </c>
      <c r="G30" s="48">
        <v>5</v>
      </c>
      <c r="H30" s="48">
        <v>6</v>
      </c>
      <c r="I30" s="48">
        <v>7</v>
      </c>
      <c r="J30" s="48">
        <v>8</v>
      </c>
      <c r="K30" s="48">
        <v>9</v>
      </c>
      <c r="L30" s="48">
        <v>10</v>
      </c>
    </row>
    <row r="31" spans="1:12" x14ac:dyDescent="0.5">
      <c r="A31" s="48">
        <v>0</v>
      </c>
      <c r="B31" s="53">
        <v>50</v>
      </c>
      <c r="C31" s="56">
        <v>1280</v>
      </c>
      <c r="D31" s="56">
        <v>1280</v>
      </c>
      <c r="E31" s="56">
        <v>1280</v>
      </c>
      <c r="F31" s="56">
        <v>1280</v>
      </c>
      <c r="G31" s="56">
        <v>1280</v>
      </c>
      <c r="H31" s="56">
        <v>1280</v>
      </c>
      <c r="I31" s="56">
        <v>1280</v>
      </c>
      <c r="J31" s="56">
        <v>1280</v>
      </c>
      <c r="K31" s="56">
        <v>1280</v>
      </c>
      <c r="L31" s="59">
        <v>1280</v>
      </c>
    </row>
    <row r="32" spans="1:12" x14ac:dyDescent="0.5">
      <c r="A32" s="48">
        <v>1</v>
      </c>
      <c r="B32" s="54">
        <v>50</v>
      </c>
      <c r="C32" s="57">
        <v>89.423076923089923</v>
      </c>
      <c r="D32" s="57">
        <v>126.16099071209146</v>
      </c>
      <c r="E32" s="57">
        <v>160.81081081083198</v>
      </c>
      <c r="F32" s="57">
        <v>193.44023323617694</v>
      </c>
      <c r="G32" s="57">
        <v>224.22096317284593</v>
      </c>
      <c r="H32" s="57">
        <v>253.30578512400086</v>
      </c>
      <c r="I32" s="57">
        <v>280.83109919573633</v>
      </c>
      <c r="J32" s="57">
        <v>306.91906005226178</v>
      </c>
      <c r="K32" s="57">
        <v>331.67938931301478</v>
      </c>
      <c r="L32" s="60">
        <v>355.21091811422025</v>
      </c>
    </row>
    <row r="33" spans="1:12" x14ac:dyDescent="0.5">
      <c r="A33" s="48">
        <v>2</v>
      </c>
      <c r="B33" s="54">
        <v>50</v>
      </c>
      <c r="C33" s="57">
        <v>70.000000000011312</v>
      </c>
      <c r="D33" s="57">
        <v>89.297124600652182</v>
      </c>
      <c r="E33" s="57">
        <v>108.01886792454343</v>
      </c>
      <c r="F33" s="57">
        <v>126.16099071209146</v>
      </c>
      <c r="G33" s="57">
        <v>143.75000000002467</v>
      </c>
      <c r="H33" s="57">
        <v>160.81081081083198</v>
      </c>
      <c r="I33" s="57">
        <v>177.36686390534294</v>
      </c>
      <c r="J33" s="57">
        <v>193.44023323617694</v>
      </c>
      <c r="K33" s="57">
        <v>209.05172413795447</v>
      </c>
      <c r="L33" s="60">
        <v>224.22096317284593</v>
      </c>
    </row>
    <row r="34" spans="1:12" x14ac:dyDescent="0.5">
      <c r="A34" s="48">
        <v>3</v>
      </c>
      <c r="B34" s="54">
        <v>50</v>
      </c>
      <c r="C34" s="57">
        <v>63.398692810468276</v>
      </c>
      <c r="D34" s="57">
        <v>76.480086114113192</v>
      </c>
      <c r="E34" s="57">
        <v>89.297124600652182</v>
      </c>
      <c r="F34" s="57">
        <v>101.8440463646088</v>
      </c>
      <c r="G34" s="57">
        <v>114.12930135559805</v>
      </c>
      <c r="H34" s="57">
        <v>126.16099071209146</v>
      </c>
      <c r="I34" s="57">
        <v>137.94688457611278</v>
      </c>
      <c r="J34" s="57">
        <v>149.49443882711785</v>
      </c>
      <c r="K34" s="57">
        <v>160.81081081082948</v>
      </c>
      <c r="L34" s="60">
        <v>171.90287413283488</v>
      </c>
    </row>
    <row r="35" spans="1:12" x14ac:dyDescent="0.5">
      <c r="A35" s="48">
        <v>4</v>
      </c>
      <c r="B35" s="54">
        <v>50</v>
      </c>
      <c r="C35" s="57">
        <v>60.07371007372052</v>
      </c>
      <c r="D35" s="57">
        <v>69.967532467543833</v>
      </c>
      <c r="E35" s="57">
        <v>79.710144927548527</v>
      </c>
      <c r="F35" s="57">
        <v>89.297124600652182</v>
      </c>
      <c r="G35" s="57">
        <v>98.732171156910681</v>
      </c>
      <c r="H35" s="57">
        <v>108.01886792454343</v>
      </c>
      <c r="I35" s="57">
        <v>117.16068642747052</v>
      </c>
      <c r="J35" s="57">
        <v>126.16099071209146</v>
      </c>
      <c r="K35" s="57">
        <v>135.02304147467066</v>
      </c>
      <c r="L35" s="60">
        <v>143.75000000002467</v>
      </c>
    </row>
    <row r="36" spans="1:12" x14ac:dyDescent="0.5">
      <c r="A36" s="48">
        <v>5</v>
      </c>
      <c r="B36" s="54">
        <v>50</v>
      </c>
      <c r="C36" s="57">
        <v>58.070866141754664</v>
      </c>
      <c r="D36" s="57">
        <v>66.026058631945659</v>
      </c>
      <c r="E36" s="57">
        <v>73.883495145655843</v>
      </c>
      <c r="F36" s="57">
        <v>81.639871382662363</v>
      </c>
      <c r="G36" s="57">
        <v>89.297124600667701</v>
      </c>
      <c r="H36" s="57">
        <v>96.857142857170402</v>
      </c>
      <c r="I36" s="57">
        <v>104.32176656154053</v>
      </c>
      <c r="J36" s="57">
        <v>111.69278996868144</v>
      </c>
      <c r="K36" s="57">
        <v>118.97196261685144</v>
      </c>
      <c r="L36" s="60">
        <v>126.16099071210999</v>
      </c>
    </row>
    <row r="37" spans="1:12" x14ac:dyDescent="0.5">
      <c r="A37" s="48">
        <v>6</v>
      </c>
      <c r="B37" s="54">
        <v>50</v>
      </c>
      <c r="C37" s="57">
        <v>56.732348111668614</v>
      </c>
      <c r="D37" s="57">
        <v>63.384113166496093</v>
      </c>
      <c r="E37" s="57">
        <v>69.967532467543833</v>
      </c>
      <c r="F37" s="57">
        <v>76.480086114113192</v>
      </c>
      <c r="G37" s="57">
        <v>82.922912205581781</v>
      </c>
      <c r="H37" s="57">
        <v>89.297124600652182</v>
      </c>
      <c r="I37" s="57">
        <v>95.603813559334128</v>
      </c>
      <c r="J37" s="57">
        <v>101.8440463646088</v>
      </c>
      <c r="K37" s="57">
        <v>108.01886792454235</v>
      </c>
      <c r="L37" s="60">
        <v>114.12930135559805</v>
      </c>
    </row>
    <row r="38" spans="1:12" x14ac:dyDescent="0.5">
      <c r="A38" s="48">
        <v>7</v>
      </c>
      <c r="B38" s="54">
        <v>50</v>
      </c>
      <c r="C38" s="57">
        <v>55.77464788732533</v>
      </c>
      <c r="D38" s="57">
        <v>61.489957963569964</v>
      </c>
      <c r="E38" s="57">
        <v>67.154811715483106</v>
      </c>
      <c r="F38" s="57">
        <v>72.767237390099524</v>
      </c>
      <c r="G38" s="57">
        <v>78.327959465688309</v>
      </c>
      <c r="H38" s="57">
        <v>83.837689133428285</v>
      </c>
      <c r="I38" s="57">
        <v>89.297124600641155</v>
      </c>
      <c r="J38" s="57">
        <v>94.706951385737852</v>
      </c>
      <c r="K38" s="57">
        <v>100.06784260515968</v>
      </c>
      <c r="L38" s="60">
        <v>105.38045925259701</v>
      </c>
    </row>
    <row r="39" spans="1:12" x14ac:dyDescent="0.5">
      <c r="A39" s="48">
        <v>8</v>
      </c>
      <c r="B39" s="54">
        <v>50</v>
      </c>
      <c r="C39" s="57">
        <v>55.055487053031015</v>
      </c>
      <c r="D39" s="57">
        <v>60.065466448455652</v>
      </c>
      <c r="E39" s="57">
        <v>65.036674816636832</v>
      </c>
      <c r="F39" s="57">
        <v>69.967532467543833</v>
      </c>
      <c r="G39" s="57">
        <v>74.85852869847713</v>
      </c>
      <c r="H39" s="57">
        <v>79.710144927548527</v>
      </c>
      <c r="I39" s="57">
        <v>84.522854851655381</v>
      </c>
      <c r="J39" s="57">
        <v>89.297124600652182</v>
      </c>
      <c r="K39" s="57">
        <v>94.033412887841052</v>
      </c>
      <c r="L39" s="60">
        <v>98.732171156910681</v>
      </c>
    </row>
    <row r="40" spans="1:12" x14ac:dyDescent="0.5">
      <c r="A40" s="48">
        <v>9</v>
      </c>
      <c r="B40" s="54">
        <v>50</v>
      </c>
      <c r="C40" s="57">
        <v>54.495614035106655</v>
      </c>
      <c r="D40" s="57">
        <v>58.955223880616359</v>
      </c>
      <c r="E40" s="57">
        <v>63.384113166505131</v>
      </c>
      <c r="F40" s="57">
        <v>67.78099024215976</v>
      </c>
      <c r="G40" s="57">
        <v>72.146200936284004</v>
      </c>
      <c r="H40" s="57">
        <v>76.4800861141224</v>
      </c>
      <c r="I40" s="57">
        <v>80.782981766198532</v>
      </c>
      <c r="J40" s="57">
        <v>85.055219095141467</v>
      </c>
      <c r="K40" s="57">
        <v>89.297124600660879</v>
      </c>
      <c r="L40" s="60">
        <v>93.509020162742047</v>
      </c>
    </row>
    <row r="41" spans="1:12" x14ac:dyDescent="0.5">
      <c r="A41" s="48">
        <v>10</v>
      </c>
      <c r="B41" s="55">
        <v>50</v>
      </c>
      <c r="C41" s="58">
        <v>54.047384007919504</v>
      </c>
      <c r="D41" s="58">
        <v>58.065573770514732</v>
      </c>
      <c r="E41" s="58">
        <v>62.058823529435131</v>
      </c>
      <c r="F41" s="58">
        <v>66.026058631945659</v>
      </c>
      <c r="G41" s="58">
        <v>69.967532467557817</v>
      </c>
      <c r="H41" s="58">
        <v>73.883495145655843</v>
      </c>
      <c r="I41" s="58">
        <v>77.77419354841129</v>
      </c>
      <c r="J41" s="58">
        <v>81.639871382662363</v>
      </c>
      <c r="K41" s="58">
        <v>85.480769230794749</v>
      </c>
      <c r="L41" s="61">
        <v>89.297124600667701</v>
      </c>
    </row>
    <row r="43" spans="1:12" x14ac:dyDescent="0.5">
      <c r="A43" s="49" t="s">
        <v>105</v>
      </c>
      <c r="B43" s="48">
        <v>0</v>
      </c>
      <c r="C43" s="48">
        <v>1</v>
      </c>
      <c r="D43" s="48">
        <v>2</v>
      </c>
      <c r="E43" s="48">
        <v>3</v>
      </c>
      <c r="F43" s="48">
        <v>4</v>
      </c>
      <c r="G43" s="48">
        <v>5</v>
      </c>
      <c r="H43" s="48">
        <v>6</v>
      </c>
      <c r="I43" s="48">
        <v>7</v>
      </c>
      <c r="J43" s="48">
        <v>8</v>
      </c>
      <c r="K43" s="48">
        <v>9</v>
      </c>
      <c r="L43" s="48">
        <v>10</v>
      </c>
    </row>
    <row r="44" spans="1:12" x14ac:dyDescent="0.5">
      <c r="A44" s="48">
        <v>0</v>
      </c>
      <c r="B44" s="53">
        <v>1425</v>
      </c>
      <c r="C44" s="56">
        <v>6960</v>
      </c>
      <c r="D44" s="56">
        <v>7575</v>
      </c>
      <c r="E44" s="56">
        <v>7575</v>
      </c>
      <c r="F44" s="56">
        <v>7575</v>
      </c>
      <c r="G44" s="56">
        <v>7575</v>
      </c>
      <c r="H44" s="56">
        <v>7575</v>
      </c>
      <c r="I44" s="56">
        <v>7575</v>
      </c>
      <c r="J44" s="56">
        <v>7575</v>
      </c>
      <c r="K44" s="56">
        <v>7575</v>
      </c>
      <c r="L44" s="59">
        <v>7575</v>
      </c>
    </row>
    <row r="45" spans="1:12" x14ac:dyDescent="0.5">
      <c r="A45" s="48">
        <v>1</v>
      </c>
      <c r="B45" s="54">
        <v>1425</v>
      </c>
      <c r="C45" s="57">
        <v>1602.4038461539044</v>
      </c>
      <c r="D45" s="57">
        <v>1805.8049535604571</v>
      </c>
      <c r="E45" s="57">
        <v>1979.0540540541597</v>
      </c>
      <c r="F45" s="57">
        <v>2142.2011661808847</v>
      </c>
      <c r="G45" s="57">
        <v>2296.1048158642297</v>
      </c>
      <c r="H45" s="57">
        <v>2441.528925620004</v>
      </c>
      <c r="I45" s="57">
        <v>2579.1554959786818</v>
      </c>
      <c r="J45" s="57">
        <v>2709.5953002613091</v>
      </c>
      <c r="K45" s="57">
        <v>2833.3969465650739</v>
      </c>
      <c r="L45" s="60">
        <v>2951.054590571101</v>
      </c>
    </row>
    <row r="46" spans="1:12" x14ac:dyDescent="0.5">
      <c r="A46" s="48">
        <v>2</v>
      </c>
      <c r="B46" s="54">
        <v>1425</v>
      </c>
      <c r="C46" s="57">
        <v>1515.0000000000509</v>
      </c>
      <c r="D46" s="57">
        <v>1621.4856230032608</v>
      </c>
      <c r="E46" s="57">
        <v>1715.0943396227171</v>
      </c>
      <c r="F46" s="57">
        <v>1805.8049535604571</v>
      </c>
      <c r="G46" s="57">
        <v>1893.7500000001235</v>
      </c>
      <c r="H46" s="57">
        <v>1979.0540540541597</v>
      </c>
      <c r="I46" s="57">
        <v>2061.8343195267144</v>
      </c>
      <c r="J46" s="57">
        <v>2142.2011661808847</v>
      </c>
      <c r="K46" s="57">
        <v>2220.2586206897722</v>
      </c>
      <c r="L46" s="60">
        <v>2296.1048158642297</v>
      </c>
    </row>
    <row r="47" spans="1:12" x14ac:dyDescent="0.5">
      <c r="A47" s="48">
        <v>3</v>
      </c>
      <c r="B47" s="54">
        <v>1425</v>
      </c>
      <c r="C47" s="57">
        <v>1485.2941176471072</v>
      </c>
      <c r="D47" s="57">
        <v>1557.400430570566</v>
      </c>
      <c r="E47" s="57">
        <v>1621.4856230032608</v>
      </c>
      <c r="F47" s="57">
        <v>1684.2202318230438</v>
      </c>
      <c r="G47" s="57">
        <v>1745.6465067779905</v>
      </c>
      <c r="H47" s="57">
        <v>1805.8049535604571</v>
      </c>
      <c r="I47" s="57">
        <v>1864.7344228805639</v>
      </c>
      <c r="J47" s="57">
        <v>1922.4721941355892</v>
      </c>
      <c r="K47" s="57">
        <v>1979.0540540541474</v>
      </c>
      <c r="L47" s="60">
        <v>2034.5143706641745</v>
      </c>
    </row>
    <row r="48" spans="1:12" x14ac:dyDescent="0.5">
      <c r="A48" s="48">
        <v>4</v>
      </c>
      <c r="B48" s="54">
        <v>1425</v>
      </c>
      <c r="C48" s="57">
        <v>1470.3316953317426</v>
      </c>
      <c r="D48" s="57">
        <v>1524.8376623377192</v>
      </c>
      <c r="E48" s="57">
        <v>1573.5507246377426</v>
      </c>
      <c r="F48" s="57">
        <v>1621.4856230032608</v>
      </c>
      <c r="G48" s="57">
        <v>1668.6608557845534</v>
      </c>
      <c r="H48" s="57">
        <v>1715.0943396227171</v>
      </c>
      <c r="I48" s="57">
        <v>1760.8034321373527</v>
      </c>
      <c r="J48" s="57">
        <v>1805.8049535604571</v>
      </c>
      <c r="K48" s="57">
        <v>1850.1152073733535</v>
      </c>
      <c r="L48" s="60">
        <v>1893.7500000001235</v>
      </c>
    </row>
    <row r="49" spans="1:12" x14ac:dyDescent="0.5">
      <c r="A49" s="48">
        <v>5</v>
      </c>
      <c r="B49" s="54">
        <v>1425</v>
      </c>
      <c r="C49" s="57">
        <v>1461.318897637896</v>
      </c>
      <c r="D49" s="57">
        <v>1505.1302931597284</v>
      </c>
      <c r="E49" s="57">
        <v>1544.4174757282792</v>
      </c>
      <c r="F49" s="57">
        <v>1583.1993569133117</v>
      </c>
      <c r="G49" s="57">
        <v>1621.4856230033383</v>
      </c>
      <c r="H49" s="57">
        <v>1659.285714285852</v>
      </c>
      <c r="I49" s="57">
        <v>1696.6088328077026</v>
      </c>
      <c r="J49" s="57">
        <v>1733.4639498434071</v>
      </c>
      <c r="K49" s="57">
        <v>1769.8598130842572</v>
      </c>
      <c r="L49" s="60">
        <v>1805.8049535605498</v>
      </c>
    </row>
    <row r="50" spans="1:12" x14ac:dyDescent="0.5">
      <c r="A50" s="48">
        <v>6</v>
      </c>
      <c r="B50" s="54">
        <v>1425</v>
      </c>
      <c r="C50" s="57">
        <v>1455.2955665025088</v>
      </c>
      <c r="D50" s="57">
        <v>1491.9205658324804</v>
      </c>
      <c r="E50" s="57">
        <v>1524.8376623377192</v>
      </c>
      <c r="F50" s="57">
        <v>1557.400430570566</v>
      </c>
      <c r="G50" s="57">
        <v>1589.6145610279091</v>
      </c>
      <c r="H50" s="57">
        <v>1621.4856230032608</v>
      </c>
      <c r="I50" s="57">
        <v>1653.0190677966707</v>
      </c>
      <c r="J50" s="57">
        <v>1684.2202318230438</v>
      </c>
      <c r="K50" s="57">
        <v>1715.0943396227117</v>
      </c>
      <c r="L50" s="60">
        <v>1745.6465067779905</v>
      </c>
    </row>
    <row r="51" spans="1:12" x14ac:dyDescent="0.5">
      <c r="A51" s="48">
        <v>7</v>
      </c>
      <c r="B51" s="54">
        <v>1425</v>
      </c>
      <c r="C51" s="57">
        <v>1450.9859154929641</v>
      </c>
      <c r="D51" s="57">
        <v>1482.4497898178499</v>
      </c>
      <c r="E51" s="57">
        <v>1510.7740585774156</v>
      </c>
      <c r="F51" s="57">
        <v>1538.8361869504974</v>
      </c>
      <c r="G51" s="57">
        <v>1566.6397973284415</v>
      </c>
      <c r="H51" s="57">
        <v>1594.1884456671414</v>
      </c>
      <c r="I51" s="57">
        <v>1621.4856230032058</v>
      </c>
      <c r="J51" s="57">
        <v>1648.5347569286894</v>
      </c>
      <c r="K51" s="57">
        <v>1675.3392130257985</v>
      </c>
      <c r="L51" s="60">
        <v>1701.9022962629849</v>
      </c>
    </row>
    <row r="52" spans="1:12" x14ac:dyDescent="0.5">
      <c r="A52" s="48">
        <v>8</v>
      </c>
      <c r="B52" s="54">
        <v>1425</v>
      </c>
      <c r="C52" s="57">
        <v>1447.7496917386395</v>
      </c>
      <c r="D52" s="57">
        <v>1475.3273322422783</v>
      </c>
      <c r="E52" s="57">
        <v>1500.1833740831842</v>
      </c>
      <c r="F52" s="57">
        <v>1524.8376623377192</v>
      </c>
      <c r="G52" s="57">
        <v>1549.2926434923857</v>
      </c>
      <c r="H52" s="57">
        <v>1573.5507246377426</v>
      </c>
      <c r="I52" s="57">
        <v>1597.614274258277</v>
      </c>
      <c r="J52" s="57">
        <v>1621.4856230032608</v>
      </c>
      <c r="K52" s="57">
        <v>1645.1670644392052</v>
      </c>
      <c r="L52" s="60">
        <v>1668.6608557845534</v>
      </c>
    </row>
    <row r="53" spans="1:12" x14ac:dyDescent="0.5">
      <c r="A53" s="48">
        <v>9</v>
      </c>
      <c r="B53" s="54">
        <v>1425</v>
      </c>
      <c r="C53" s="57">
        <v>1445.2302631579798</v>
      </c>
      <c r="D53" s="57">
        <v>1469.7761194030818</v>
      </c>
      <c r="E53" s="57">
        <v>1491.9205658325257</v>
      </c>
      <c r="F53" s="57">
        <v>1513.9049512107988</v>
      </c>
      <c r="G53" s="57">
        <v>1535.73100468142</v>
      </c>
      <c r="H53" s="57">
        <v>1557.4004305706119</v>
      </c>
      <c r="I53" s="57">
        <v>1578.9149088309925</v>
      </c>
      <c r="J53" s="57">
        <v>1600.2760954757073</v>
      </c>
      <c r="K53" s="57">
        <v>1621.4856230033042</v>
      </c>
      <c r="L53" s="60">
        <v>1642.5451008137102</v>
      </c>
    </row>
    <row r="54" spans="1:12" x14ac:dyDescent="0.5">
      <c r="A54" s="48">
        <v>10</v>
      </c>
      <c r="B54" s="55">
        <v>1425</v>
      </c>
      <c r="C54" s="58">
        <v>1443.2132280356379</v>
      </c>
      <c r="D54" s="58">
        <v>1465.3278688525738</v>
      </c>
      <c r="E54" s="58">
        <v>1485.2941176471757</v>
      </c>
      <c r="F54" s="58">
        <v>1505.1302931597284</v>
      </c>
      <c r="G54" s="58">
        <v>1524.8376623377892</v>
      </c>
      <c r="H54" s="58">
        <v>1544.4174757282792</v>
      </c>
      <c r="I54" s="58">
        <v>1563.8709677420563</v>
      </c>
      <c r="J54" s="58">
        <v>1583.1993569133117</v>
      </c>
      <c r="K54" s="58">
        <v>1602.4038461539737</v>
      </c>
      <c r="L54" s="61">
        <v>1621.4856230033383</v>
      </c>
    </row>
  </sheetData>
  <dataValidations count="3">
    <dataValidation type="list" allowBlank="1" showInputMessage="1" showErrorMessage="1" sqref="N4 R4" xr:uid="{C21F5C19-8A21-4245-947B-F76278BC32D6}">
      <formula1>OutputAddresses</formula1>
    </dataValidation>
    <dataValidation type="list" allowBlank="1" showInputMessage="1" showErrorMessage="1" sqref="O4" xr:uid="{59F59C56-8EAC-483E-A4EB-DC354AC85D6B}">
      <formula1>InputValues1</formula1>
    </dataValidation>
    <dataValidation type="list" allowBlank="1" showInputMessage="1" showErrorMessage="1" sqref="S4" xr:uid="{C8811895-5C51-4413-AE75-EC4D37E53769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319E-9ECE-46D1-95FB-E8BB61480B99}">
  <dimension ref="A3:G10"/>
  <sheetViews>
    <sheetView workbookViewId="0">
      <selection activeCell="D13" sqref="D13"/>
    </sheetView>
  </sheetViews>
  <sheetFormatPr defaultRowHeight="14.35" x14ac:dyDescent="0.5"/>
  <cols>
    <col min="1" max="1" width="8.234375" bestFit="1" customWidth="1"/>
    <col min="2" max="2" width="10.3515625" bestFit="1" customWidth="1"/>
    <col min="3" max="3" width="11.64453125" bestFit="1" customWidth="1"/>
    <col min="6" max="6" width="12.703125" customWidth="1"/>
    <col min="7" max="7" width="10.703125" bestFit="1" customWidth="1"/>
  </cols>
  <sheetData>
    <row r="3" spans="1:7" x14ac:dyDescent="0.5">
      <c r="B3" t="s">
        <v>20</v>
      </c>
      <c r="C3" t="s">
        <v>21</v>
      </c>
      <c r="D3" t="s">
        <v>11</v>
      </c>
      <c r="E3" t="s">
        <v>27</v>
      </c>
      <c r="F3" t="s">
        <v>115</v>
      </c>
      <c r="G3" t="s">
        <v>22</v>
      </c>
    </row>
    <row r="4" spans="1:7" x14ac:dyDescent="0.5">
      <c r="A4" t="s">
        <v>23</v>
      </c>
      <c r="B4" s="1">
        <v>430</v>
      </c>
      <c r="C4" s="1">
        <v>50</v>
      </c>
      <c r="D4">
        <f>SUM(B4:C4)</f>
        <v>480</v>
      </c>
      <c r="E4" s="3">
        <f>D4-400</f>
        <v>80</v>
      </c>
      <c r="F4">
        <v>80</v>
      </c>
      <c r="G4">
        <f>10*24*7</f>
        <v>1680</v>
      </c>
    </row>
    <row r="5" spans="1:7" x14ac:dyDescent="0.5">
      <c r="A5" t="s">
        <v>26</v>
      </c>
      <c r="B5">
        <v>3</v>
      </c>
      <c r="C5">
        <v>2.5</v>
      </c>
    </row>
    <row r="7" spans="1:7" x14ac:dyDescent="0.5">
      <c r="A7" t="s">
        <v>25</v>
      </c>
      <c r="B7" s="3">
        <f>B4*10</f>
        <v>4300</v>
      </c>
      <c r="C7" s="3">
        <f>C4</f>
        <v>50</v>
      </c>
    </row>
    <row r="8" spans="1:7" x14ac:dyDescent="0.5">
      <c r="A8" t="s">
        <v>24</v>
      </c>
      <c r="B8">
        <v>4000</v>
      </c>
      <c r="C8">
        <v>50</v>
      </c>
    </row>
    <row r="10" spans="1:7" x14ac:dyDescent="0.5">
      <c r="A10" t="s">
        <v>18</v>
      </c>
      <c r="B10" s="10">
        <f>SUMPRODUCT(B5:C5,B4:C4)+E4*2</f>
        <v>1575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2660-CA44-4AA5-B2C1-72A984958722}">
  <dimension ref="A1:K20"/>
  <sheetViews>
    <sheetView topLeftCell="A15" workbookViewId="0">
      <selection activeCell="E37" sqref="E37"/>
    </sheetView>
  </sheetViews>
  <sheetFormatPr defaultRowHeight="14.35" x14ac:dyDescent="0.5"/>
  <sheetData>
    <row r="1" spans="1:11" x14ac:dyDescent="0.5">
      <c r="A1" s="32" t="s">
        <v>117</v>
      </c>
      <c r="K1" s="52" t="str">
        <f>CONCATENATE("Sensitivity of ",$K$4," to ","Overtime Limit")</f>
        <v>Sensitivity of $B$10 to Overtime Limit</v>
      </c>
    </row>
    <row r="3" spans="1:11" x14ac:dyDescent="0.5">
      <c r="A3" t="s">
        <v>118</v>
      </c>
      <c r="K3" t="s">
        <v>120</v>
      </c>
    </row>
    <row r="4" spans="1:11" ht="33" x14ac:dyDescent="0.5">
      <c r="B4" s="62" t="s">
        <v>102</v>
      </c>
      <c r="C4" s="62" t="s">
        <v>103</v>
      </c>
      <c r="D4" s="62" t="s">
        <v>104</v>
      </c>
      <c r="E4" s="62" t="s">
        <v>119</v>
      </c>
      <c r="J4" s="52">
        <f>MATCH($K$4,OutputAddresses,0)</f>
        <v>4</v>
      </c>
      <c r="K4" s="51" t="s">
        <v>119</v>
      </c>
    </row>
    <row r="5" spans="1:11" x14ac:dyDescent="0.5">
      <c r="A5" s="48">
        <v>50</v>
      </c>
      <c r="B5" s="53">
        <v>400</v>
      </c>
      <c r="C5" s="56">
        <v>50</v>
      </c>
      <c r="D5" s="56">
        <v>50</v>
      </c>
      <c r="E5" s="59">
        <v>1425</v>
      </c>
      <c r="K5">
        <f>INDEX(OutputValues,1,$J$4)</f>
        <v>1425</v>
      </c>
    </row>
    <row r="6" spans="1:11" x14ac:dyDescent="0.5">
      <c r="A6" s="48">
        <v>60</v>
      </c>
      <c r="B6" s="54">
        <v>410</v>
      </c>
      <c r="C6" s="57">
        <v>50</v>
      </c>
      <c r="D6" s="57">
        <v>60</v>
      </c>
      <c r="E6" s="60">
        <v>1475</v>
      </c>
      <c r="K6">
        <f>INDEX(OutputValues,2,$J$4)</f>
        <v>1475</v>
      </c>
    </row>
    <row r="7" spans="1:11" x14ac:dyDescent="0.5">
      <c r="A7" s="48">
        <v>70</v>
      </c>
      <c r="B7" s="54">
        <v>420</v>
      </c>
      <c r="C7" s="57">
        <v>50</v>
      </c>
      <c r="D7" s="57">
        <v>70</v>
      </c>
      <c r="E7" s="60">
        <v>1525</v>
      </c>
      <c r="K7">
        <f>INDEX(OutputValues,3,$J$4)</f>
        <v>1525</v>
      </c>
    </row>
    <row r="8" spans="1:11" x14ac:dyDescent="0.5">
      <c r="A8" s="48">
        <v>80</v>
      </c>
      <c r="B8" s="54">
        <v>430</v>
      </c>
      <c r="C8" s="57">
        <v>50</v>
      </c>
      <c r="D8" s="57">
        <v>80</v>
      </c>
      <c r="E8" s="60">
        <v>1575</v>
      </c>
      <c r="K8">
        <f>INDEX(OutputValues,4,$J$4)</f>
        <v>1575</v>
      </c>
    </row>
    <row r="9" spans="1:11" x14ac:dyDescent="0.5">
      <c r="A9" s="48">
        <v>90</v>
      </c>
      <c r="B9" s="54">
        <v>440</v>
      </c>
      <c r="C9" s="57">
        <v>50</v>
      </c>
      <c r="D9" s="57">
        <v>90</v>
      </c>
      <c r="E9" s="60">
        <v>1625</v>
      </c>
      <c r="K9">
        <f>INDEX(OutputValues,5,$J$4)</f>
        <v>1625</v>
      </c>
    </row>
    <row r="10" spans="1:11" x14ac:dyDescent="0.5">
      <c r="A10" s="48">
        <v>100</v>
      </c>
      <c r="B10" s="54">
        <v>450</v>
      </c>
      <c r="C10" s="57">
        <v>50</v>
      </c>
      <c r="D10" s="57">
        <v>100</v>
      </c>
      <c r="E10" s="60">
        <v>1675</v>
      </c>
      <c r="K10">
        <f>INDEX(OutputValues,6,$J$4)</f>
        <v>1675</v>
      </c>
    </row>
    <row r="11" spans="1:11" x14ac:dyDescent="0.5">
      <c r="A11" s="48">
        <v>110</v>
      </c>
      <c r="B11" s="54">
        <v>460</v>
      </c>
      <c r="C11" s="57">
        <v>50</v>
      </c>
      <c r="D11" s="57">
        <v>110</v>
      </c>
      <c r="E11" s="60">
        <v>1725</v>
      </c>
      <c r="K11">
        <f>INDEX(OutputValues,7,$J$4)</f>
        <v>1725</v>
      </c>
    </row>
    <row r="12" spans="1:11" x14ac:dyDescent="0.5">
      <c r="A12" s="48">
        <v>120</v>
      </c>
      <c r="B12" s="54">
        <v>470</v>
      </c>
      <c r="C12" s="57">
        <v>50</v>
      </c>
      <c r="D12" s="57">
        <v>120</v>
      </c>
      <c r="E12" s="60">
        <v>1775</v>
      </c>
      <c r="K12">
        <f>INDEX(OutputValues,8,$J$4)</f>
        <v>1775</v>
      </c>
    </row>
    <row r="13" spans="1:11" x14ac:dyDescent="0.5">
      <c r="A13" s="48">
        <v>130</v>
      </c>
      <c r="B13" s="54">
        <v>480</v>
      </c>
      <c r="C13" s="57">
        <v>50</v>
      </c>
      <c r="D13" s="57">
        <v>130</v>
      </c>
      <c r="E13" s="60">
        <v>1825</v>
      </c>
      <c r="K13">
        <f>INDEX(OutputValues,9,$J$4)</f>
        <v>1825</v>
      </c>
    </row>
    <row r="14" spans="1:11" x14ac:dyDescent="0.5">
      <c r="A14" s="48">
        <v>140</v>
      </c>
      <c r="B14" s="54">
        <v>490</v>
      </c>
      <c r="C14" s="57">
        <v>50</v>
      </c>
      <c r="D14" s="57">
        <v>140</v>
      </c>
      <c r="E14" s="60">
        <v>1875</v>
      </c>
      <c r="K14">
        <f>INDEX(OutputValues,10,$J$4)</f>
        <v>1875</v>
      </c>
    </row>
    <row r="15" spans="1:11" x14ac:dyDescent="0.5">
      <c r="A15" s="48">
        <v>150</v>
      </c>
      <c r="B15" s="54">
        <v>500</v>
      </c>
      <c r="C15" s="57">
        <v>50</v>
      </c>
      <c r="D15" s="57">
        <v>150</v>
      </c>
      <c r="E15" s="60">
        <v>1925</v>
      </c>
      <c r="K15">
        <f>INDEX(OutputValues,11,$J$4)</f>
        <v>1925</v>
      </c>
    </row>
    <row r="16" spans="1:11" x14ac:dyDescent="0.5">
      <c r="A16" s="48">
        <v>160</v>
      </c>
      <c r="B16" s="54">
        <v>510</v>
      </c>
      <c r="C16" s="57">
        <v>50</v>
      </c>
      <c r="D16" s="57">
        <v>160</v>
      </c>
      <c r="E16" s="60">
        <v>1975</v>
      </c>
      <c r="K16">
        <f>INDEX(OutputValues,12,$J$4)</f>
        <v>1975</v>
      </c>
    </row>
    <row r="17" spans="1:11" x14ac:dyDescent="0.5">
      <c r="A17" s="48">
        <v>170</v>
      </c>
      <c r="B17" s="54">
        <v>520</v>
      </c>
      <c r="C17" s="57">
        <v>50</v>
      </c>
      <c r="D17" s="57">
        <v>170</v>
      </c>
      <c r="E17" s="60">
        <v>2025</v>
      </c>
      <c r="K17">
        <f>INDEX(OutputValues,13,$J$4)</f>
        <v>2025</v>
      </c>
    </row>
    <row r="18" spans="1:11" x14ac:dyDescent="0.5">
      <c r="A18" s="48">
        <v>180</v>
      </c>
      <c r="B18" s="54">
        <v>530</v>
      </c>
      <c r="C18" s="57">
        <v>50</v>
      </c>
      <c r="D18" s="57">
        <v>180</v>
      </c>
      <c r="E18" s="60">
        <v>2075</v>
      </c>
      <c r="K18">
        <f>INDEX(OutputValues,14,$J$4)</f>
        <v>2075</v>
      </c>
    </row>
    <row r="19" spans="1:11" x14ac:dyDescent="0.5">
      <c r="A19" s="48">
        <v>190</v>
      </c>
      <c r="B19" s="54">
        <v>540</v>
      </c>
      <c r="C19" s="57">
        <v>50</v>
      </c>
      <c r="D19" s="57">
        <v>190</v>
      </c>
      <c r="E19" s="60">
        <v>2125</v>
      </c>
      <c r="K19">
        <f>INDEX(OutputValues,15,$J$4)</f>
        <v>2125</v>
      </c>
    </row>
    <row r="20" spans="1:11" x14ac:dyDescent="0.5">
      <c r="A20" s="48">
        <v>200</v>
      </c>
      <c r="B20" s="55">
        <v>550</v>
      </c>
      <c r="C20" s="58">
        <v>50</v>
      </c>
      <c r="D20" s="58">
        <v>200</v>
      </c>
      <c r="E20" s="61">
        <v>2175</v>
      </c>
      <c r="K20">
        <f>INDEX(OutputValues,16,$J$4)</f>
        <v>2175</v>
      </c>
    </row>
  </sheetData>
  <dataValidations count="1">
    <dataValidation type="list" allowBlank="1" showInputMessage="1" showErrorMessage="1" sqref="K4" xr:uid="{6C8C39DA-AA7E-494D-B963-59F1C76BAFBE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Susan Lovett (1)</vt:lpstr>
      <vt:lpstr>Susan Lovett (2)</vt:lpstr>
      <vt:lpstr>Susan Lovett (3)</vt:lpstr>
      <vt:lpstr>Susan Lovett (4)</vt:lpstr>
      <vt:lpstr>Utility Company (2)</vt:lpstr>
      <vt:lpstr>Utility Company</vt:lpstr>
      <vt:lpstr>STS_1</vt:lpstr>
      <vt:lpstr>Utility Company (3)</vt:lpstr>
      <vt:lpstr>STS_2</vt:lpstr>
      <vt:lpstr>DEA Formulation For B2</vt:lpstr>
      <vt:lpstr>Sensitivity Report for B2</vt:lpstr>
      <vt:lpstr>DEA Formulation For B4</vt:lpstr>
      <vt:lpstr>STS_3</vt:lpstr>
      <vt:lpstr>STS_2!ChartData</vt:lpstr>
      <vt:lpstr>STS_3!ChartData</vt:lpstr>
      <vt:lpstr>STS_1!ChartData1</vt:lpstr>
      <vt:lpstr>STS_1!ChartData2</vt:lpstr>
      <vt:lpstr>STS_2!InputValues</vt:lpstr>
      <vt:lpstr>STS_3!InputValues</vt:lpstr>
      <vt:lpstr>STS_1!InputValues1</vt:lpstr>
      <vt:lpstr>STS_1!InputValues2</vt:lpstr>
      <vt:lpstr>STS_1!OutputAddresses</vt:lpstr>
      <vt:lpstr>STS_2!OutputAddresses</vt:lpstr>
      <vt:lpstr>STS_3!OutputAddresses</vt:lpstr>
      <vt:lpstr>STS_2!OutputValues</vt:lpstr>
      <vt:lpstr>STS_3!OutputValues</vt:lpstr>
      <vt:lpstr>STS_1!OutputValues_1</vt:lpstr>
      <vt:lpstr>STS_1!OutputValues_2</vt:lpstr>
      <vt:lpstr>STS_1!OutputValues_3</vt:lpstr>
      <vt:lpstr>STS_1!OutputValues_4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Turken</dc:creator>
  <cp:lastModifiedBy>Nazli Turken</cp:lastModifiedBy>
  <dcterms:created xsi:type="dcterms:W3CDTF">2019-12-10T17:10:57Z</dcterms:created>
  <dcterms:modified xsi:type="dcterms:W3CDTF">2020-02-25T17:34:25Z</dcterms:modified>
</cp:coreProperties>
</file>