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PC\Documents\fax\master\4. semestar\PSI\seminarski-git\Seminarski-psi\"/>
    </mc:Choice>
  </mc:AlternateContent>
  <xr:revisionPtr revIDLastSave="0" documentId="10_ncr:8100000_{D1963F19-6927-4923-9C7F-403493BBDBDB}" xr6:coauthVersionLast="33" xr6:coauthVersionMax="33" xr10:uidLastSave="{00000000-0000-0000-0000-000000000000}"/>
  <bookViews>
    <workbookView xWindow="0" yWindow="0" windowWidth="18600" windowHeight="11820" activeTab="5" xr2:uid="{FF27E536-9279-41D8-8F0B-2F3346B7D470}"/>
  </bookViews>
  <sheets>
    <sheet name="Alokacija zahtjeva" sheetId="1" r:id="rId1"/>
    <sheet name="Analiza maintainability " sheetId="2" r:id="rId2"/>
    <sheet name="Analiza maintainability  - rez" sheetId="3" r:id="rId3"/>
    <sheet name="Broj rezervnih dijelova" sheetId="5" r:id="rId4"/>
    <sheet name="Life Cycle cost analiza" sheetId="6" r:id="rId5"/>
    <sheet name="LCC analiza 2" sheetId="7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7" l="1"/>
  <c r="E98" i="7"/>
  <c r="F97" i="7"/>
  <c r="F96" i="7"/>
  <c r="F95" i="7"/>
  <c r="F94" i="7"/>
  <c r="F93" i="7"/>
  <c r="F92" i="7"/>
  <c r="F91" i="7"/>
  <c r="F90" i="7"/>
  <c r="C90" i="7"/>
  <c r="C91" i="7" s="1"/>
  <c r="F89" i="7"/>
  <c r="E89" i="7"/>
  <c r="G89" i="7" s="1"/>
  <c r="D89" i="7"/>
  <c r="T83" i="7"/>
  <c r="S83" i="7"/>
  <c r="R83" i="7"/>
  <c r="Q83" i="7"/>
  <c r="P83" i="7"/>
  <c r="O83" i="7"/>
  <c r="N83" i="7"/>
  <c r="M83" i="7"/>
  <c r="L83" i="7"/>
  <c r="F81" i="7"/>
  <c r="E81" i="7"/>
  <c r="G81" i="7" s="1"/>
  <c r="F80" i="7"/>
  <c r="F79" i="7"/>
  <c r="F78" i="7"/>
  <c r="F77" i="7"/>
  <c r="F76" i="7"/>
  <c r="F75" i="7"/>
  <c r="F74" i="7"/>
  <c r="F73" i="7"/>
  <c r="C73" i="7"/>
  <c r="E73" i="7" s="1"/>
  <c r="G73" i="7" s="1"/>
  <c r="F72" i="7"/>
  <c r="D72" i="7"/>
  <c r="E72" i="7" s="1"/>
  <c r="G72" i="7" s="1"/>
  <c r="T66" i="7"/>
  <c r="S66" i="7"/>
  <c r="R66" i="7"/>
  <c r="Q66" i="7"/>
  <c r="P66" i="7"/>
  <c r="O66" i="7"/>
  <c r="N66" i="7"/>
  <c r="M66" i="7"/>
  <c r="L66" i="7"/>
  <c r="F56" i="7"/>
  <c r="L49" i="7"/>
  <c r="G64" i="7"/>
  <c r="F64" i="7"/>
  <c r="E64" i="7"/>
  <c r="F63" i="7"/>
  <c r="F62" i="7"/>
  <c r="F61" i="7"/>
  <c r="F60" i="7"/>
  <c r="F59" i="7"/>
  <c r="F58" i="7"/>
  <c r="F57" i="7"/>
  <c r="C56" i="7"/>
  <c r="E56" i="7" s="1"/>
  <c r="G56" i="7" s="1"/>
  <c r="H56" i="7" s="1"/>
  <c r="F55" i="7"/>
  <c r="D55" i="7"/>
  <c r="E55" i="7" s="1"/>
  <c r="G55" i="7" s="1"/>
  <c r="T49" i="7"/>
  <c r="S49" i="7"/>
  <c r="R49" i="7"/>
  <c r="Q49" i="7"/>
  <c r="P49" i="7"/>
  <c r="O49" i="7"/>
  <c r="N49" i="7"/>
  <c r="M49" i="7"/>
  <c r="F47" i="7"/>
  <c r="E47" i="7"/>
  <c r="G47" i="7" s="1"/>
  <c r="F46" i="7"/>
  <c r="F45" i="7"/>
  <c r="F44" i="7"/>
  <c r="F43" i="7"/>
  <c r="F42" i="7"/>
  <c r="F41" i="7"/>
  <c r="F40" i="7"/>
  <c r="F39" i="7"/>
  <c r="C39" i="7"/>
  <c r="C40" i="7" s="1"/>
  <c r="F38" i="7"/>
  <c r="E38" i="7"/>
  <c r="G38" i="7" s="1"/>
  <c r="D38" i="7"/>
  <c r="T32" i="7"/>
  <c r="S32" i="7"/>
  <c r="R32" i="7"/>
  <c r="Q32" i="7"/>
  <c r="P32" i="7"/>
  <c r="O32" i="7"/>
  <c r="N32" i="7"/>
  <c r="M32" i="7"/>
  <c r="L32" i="7"/>
  <c r="M15" i="7"/>
  <c r="N15" i="7"/>
  <c r="O15" i="7"/>
  <c r="P15" i="7"/>
  <c r="Q15" i="7"/>
  <c r="R15" i="7"/>
  <c r="S15" i="7"/>
  <c r="T15" i="7"/>
  <c r="L15" i="7"/>
  <c r="H21" i="7"/>
  <c r="F30" i="7"/>
  <c r="E30" i="7"/>
  <c r="G30" i="7" s="1"/>
  <c r="F29" i="7"/>
  <c r="F28" i="7"/>
  <c r="F27" i="7"/>
  <c r="F26" i="7"/>
  <c r="F25" i="7"/>
  <c r="F24" i="7"/>
  <c r="F23" i="7"/>
  <c r="F22" i="7"/>
  <c r="C22" i="7"/>
  <c r="E22" i="7" s="1"/>
  <c r="G22" i="7" s="1"/>
  <c r="H22" i="7" s="1"/>
  <c r="F21" i="7"/>
  <c r="E21" i="7"/>
  <c r="G21" i="7" s="1"/>
  <c r="D21" i="7"/>
  <c r="F5" i="7"/>
  <c r="F6" i="7"/>
  <c r="F7" i="7"/>
  <c r="F8" i="7"/>
  <c r="F9" i="7"/>
  <c r="F10" i="7"/>
  <c r="F11" i="7"/>
  <c r="F12" i="7"/>
  <c r="F13" i="7"/>
  <c r="F4" i="7"/>
  <c r="G4" i="7" s="1"/>
  <c r="E13" i="7"/>
  <c r="E4" i="7"/>
  <c r="D4" i="7"/>
  <c r="C5" i="7"/>
  <c r="E5" i="7" s="1"/>
  <c r="D40" i="5"/>
  <c r="D41" i="5" s="1"/>
  <c r="E136" i="6"/>
  <c r="F136" i="6" s="1"/>
  <c r="G136" i="6" s="1"/>
  <c r="H136" i="6" s="1"/>
  <c r="I136" i="6" s="1"/>
  <c r="J136" i="6" s="1"/>
  <c r="D136" i="6"/>
  <c r="C136" i="6"/>
  <c r="E134" i="6"/>
  <c r="F134" i="6"/>
  <c r="G134" i="6" s="1"/>
  <c r="D134" i="6"/>
  <c r="G143" i="6"/>
  <c r="K142" i="6"/>
  <c r="J142" i="6"/>
  <c r="I142" i="6"/>
  <c r="H142" i="6"/>
  <c r="G142" i="6"/>
  <c r="F142" i="6"/>
  <c r="E142" i="6"/>
  <c r="D142" i="6"/>
  <c r="C142" i="6"/>
  <c r="L142" i="6" s="1"/>
  <c r="L141" i="6"/>
  <c r="L140" i="6"/>
  <c r="K139" i="6"/>
  <c r="K143" i="6" s="1"/>
  <c r="J139" i="6"/>
  <c r="J143" i="6" s="1"/>
  <c r="I139" i="6"/>
  <c r="I143" i="6" s="1"/>
  <c r="H139" i="6"/>
  <c r="H143" i="6" s="1"/>
  <c r="G139" i="6"/>
  <c r="F139" i="6"/>
  <c r="F143" i="6" s="1"/>
  <c r="E139" i="6"/>
  <c r="E143" i="6" s="1"/>
  <c r="D139" i="6"/>
  <c r="D143" i="6" s="1"/>
  <c r="C139" i="6"/>
  <c r="L139" i="6" s="1"/>
  <c r="L138" i="6"/>
  <c r="L135" i="6"/>
  <c r="C134" i="6"/>
  <c r="K133" i="6"/>
  <c r="K137" i="6" s="1"/>
  <c r="J133" i="6"/>
  <c r="I133" i="6"/>
  <c r="H133" i="6"/>
  <c r="G133" i="6"/>
  <c r="F133" i="6"/>
  <c r="E133" i="6"/>
  <c r="D133" i="6"/>
  <c r="C133" i="6"/>
  <c r="L133" i="6" s="1"/>
  <c r="L132" i="6"/>
  <c r="K131" i="6"/>
  <c r="J131" i="6"/>
  <c r="I131" i="6"/>
  <c r="H131" i="6"/>
  <c r="G131" i="6"/>
  <c r="F131" i="6"/>
  <c r="E131" i="6"/>
  <c r="D131" i="6"/>
  <c r="C131" i="6"/>
  <c r="L131" i="6" s="1"/>
  <c r="L130" i="6"/>
  <c r="L129" i="6"/>
  <c r="L128" i="6"/>
  <c r="L127" i="6"/>
  <c r="H88" i="6"/>
  <c r="I88" i="6"/>
  <c r="I95" i="6" s="1"/>
  <c r="C87" i="6"/>
  <c r="H119" i="6"/>
  <c r="G119" i="6"/>
  <c r="K118" i="6"/>
  <c r="K119" i="6" s="1"/>
  <c r="J118" i="6"/>
  <c r="J119" i="6" s="1"/>
  <c r="I118" i="6"/>
  <c r="I119" i="6" s="1"/>
  <c r="H118" i="6"/>
  <c r="G118" i="6"/>
  <c r="F118" i="6"/>
  <c r="E118" i="6"/>
  <c r="D118" i="6"/>
  <c r="C118" i="6"/>
  <c r="C119" i="6" s="1"/>
  <c r="L117" i="6"/>
  <c r="L116" i="6"/>
  <c r="K115" i="6"/>
  <c r="J115" i="6"/>
  <c r="I115" i="6"/>
  <c r="H115" i="6"/>
  <c r="G115" i="6"/>
  <c r="F115" i="6"/>
  <c r="F119" i="6" s="1"/>
  <c r="E115" i="6"/>
  <c r="E119" i="6" s="1"/>
  <c r="D115" i="6"/>
  <c r="D119" i="6" s="1"/>
  <c r="C115" i="6"/>
  <c r="L115" i="6" s="1"/>
  <c r="L114" i="6"/>
  <c r="K113" i="6"/>
  <c r="H113" i="6"/>
  <c r="H120" i="6" s="1"/>
  <c r="J112" i="6"/>
  <c r="J113" i="6" s="1"/>
  <c r="I112" i="6"/>
  <c r="L112" i="6" s="1"/>
  <c r="H112" i="6"/>
  <c r="G112" i="6"/>
  <c r="F112" i="6"/>
  <c r="E112" i="6"/>
  <c r="D112" i="6"/>
  <c r="D113" i="6" s="1"/>
  <c r="C112" i="6"/>
  <c r="C113" i="6" s="1"/>
  <c r="L111" i="6"/>
  <c r="C110" i="6"/>
  <c r="L110" i="6" s="1"/>
  <c r="K109" i="6"/>
  <c r="J109" i="6"/>
  <c r="I109" i="6"/>
  <c r="H109" i="6"/>
  <c r="G109" i="6"/>
  <c r="G113" i="6" s="1"/>
  <c r="G120" i="6" s="1"/>
  <c r="F109" i="6"/>
  <c r="F113" i="6" s="1"/>
  <c r="F120" i="6" s="1"/>
  <c r="E109" i="6"/>
  <c r="E113" i="6" s="1"/>
  <c r="D109" i="6"/>
  <c r="C109" i="6"/>
  <c r="L109" i="6" s="1"/>
  <c r="L108" i="6"/>
  <c r="K107" i="6"/>
  <c r="J107" i="6"/>
  <c r="I107" i="6"/>
  <c r="H107" i="6"/>
  <c r="G107" i="6"/>
  <c r="F107" i="6"/>
  <c r="E107" i="6"/>
  <c r="D107" i="6"/>
  <c r="C107" i="6"/>
  <c r="L107" i="6" s="1"/>
  <c r="L106" i="6"/>
  <c r="L105" i="6"/>
  <c r="L104" i="6"/>
  <c r="L103" i="6"/>
  <c r="H94" i="6"/>
  <c r="G94" i="6"/>
  <c r="K93" i="6"/>
  <c r="J93" i="6"/>
  <c r="I93" i="6"/>
  <c r="H93" i="6"/>
  <c r="G93" i="6"/>
  <c r="F93" i="6"/>
  <c r="E93" i="6"/>
  <c r="D93" i="6"/>
  <c r="C93" i="6"/>
  <c r="L93" i="6" s="1"/>
  <c r="L92" i="6"/>
  <c r="L91" i="6"/>
  <c r="K90" i="6"/>
  <c r="K94" i="6" s="1"/>
  <c r="J90" i="6"/>
  <c r="J94" i="6" s="1"/>
  <c r="I90" i="6"/>
  <c r="I94" i="6" s="1"/>
  <c r="H90" i="6"/>
  <c r="G90" i="6"/>
  <c r="F90" i="6"/>
  <c r="F94" i="6" s="1"/>
  <c r="E90" i="6"/>
  <c r="E94" i="6" s="1"/>
  <c r="D90" i="6"/>
  <c r="D94" i="6" s="1"/>
  <c r="C90" i="6"/>
  <c r="L90" i="6" s="1"/>
  <c r="L89" i="6"/>
  <c r="L86" i="6"/>
  <c r="C85" i="6"/>
  <c r="L85" i="6" s="1"/>
  <c r="K84" i="6"/>
  <c r="K88" i="6" s="1"/>
  <c r="J84" i="6"/>
  <c r="J88" i="6" s="1"/>
  <c r="J95" i="6" s="1"/>
  <c r="I84" i="6"/>
  <c r="H84" i="6"/>
  <c r="G84" i="6"/>
  <c r="G88" i="6" s="1"/>
  <c r="F84" i="6"/>
  <c r="F88" i="6" s="1"/>
  <c r="F95" i="6" s="1"/>
  <c r="E84" i="6"/>
  <c r="E88" i="6" s="1"/>
  <c r="E95" i="6" s="1"/>
  <c r="D84" i="6"/>
  <c r="D88" i="6" s="1"/>
  <c r="C84" i="6"/>
  <c r="L84" i="6" s="1"/>
  <c r="L83" i="6"/>
  <c r="K82" i="6"/>
  <c r="J82" i="6"/>
  <c r="I82" i="6"/>
  <c r="H82" i="6"/>
  <c r="G82" i="6"/>
  <c r="F82" i="6"/>
  <c r="E82" i="6"/>
  <c r="D82" i="6"/>
  <c r="C82" i="6"/>
  <c r="L82" i="6" s="1"/>
  <c r="L81" i="6"/>
  <c r="L80" i="6"/>
  <c r="L79" i="6"/>
  <c r="L78" i="6"/>
  <c r="C35" i="6"/>
  <c r="L35" i="6" s="1"/>
  <c r="C61" i="6"/>
  <c r="L61" i="6" s="1"/>
  <c r="D63" i="6"/>
  <c r="D64" i="6" s="1"/>
  <c r="E63" i="6"/>
  <c r="F63" i="6"/>
  <c r="G63" i="6"/>
  <c r="H63" i="6"/>
  <c r="H64" i="6" s="1"/>
  <c r="I63" i="6"/>
  <c r="J63" i="6"/>
  <c r="C63" i="6"/>
  <c r="K70" i="6"/>
  <c r="H70" i="6"/>
  <c r="G70" i="6"/>
  <c r="C70" i="6"/>
  <c r="K69" i="6"/>
  <c r="J69" i="6"/>
  <c r="J70" i="6" s="1"/>
  <c r="I69" i="6"/>
  <c r="H69" i="6"/>
  <c r="G69" i="6"/>
  <c r="F69" i="6"/>
  <c r="E69" i="6"/>
  <c r="D69" i="6"/>
  <c r="L69" i="6" s="1"/>
  <c r="C69" i="6"/>
  <c r="L68" i="6"/>
  <c r="L67" i="6"/>
  <c r="K66" i="6"/>
  <c r="J66" i="6"/>
  <c r="I66" i="6"/>
  <c r="I70" i="6" s="1"/>
  <c r="H66" i="6"/>
  <c r="G66" i="6"/>
  <c r="F66" i="6"/>
  <c r="F70" i="6" s="1"/>
  <c r="E66" i="6"/>
  <c r="E70" i="6" s="1"/>
  <c r="D66" i="6"/>
  <c r="D70" i="6" s="1"/>
  <c r="C66" i="6"/>
  <c r="L66" i="6" s="1"/>
  <c r="L65" i="6"/>
  <c r="K64" i="6"/>
  <c r="K71" i="6" s="1"/>
  <c r="I64" i="6"/>
  <c r="L62" i="6"/>
  <c r="K60" i="6"/>
  <c r="J60" i="6"/>
  <c r="J64" i="6" s="1"/>
  <c r="J71" i="6" s="1"/>
  <c r="I60" i="6"/>
  <c r="H60" i="6"/>
  <c r="G60" i="6"/>
  <c r="G64" i="6" s="1"/>
  <c r="G71" i="6" s="1"/>
  <c r="F60" i="6"/>
  <c r="F64" i="6" s="1"/>
  <c r="E60" i="6"/>
  <c r="E64" i="6" s="1"/>
  <c r="E71" i="6" s="1"/>
  <c r="D60" i="6"/>
  <c r="C60" i="6"/>
  <c r="L60" i="6" s="1"/>
  <c r="L59" i="6"/>
  <c r="K58" i="6"/>
  <c r="J58" i="6"/>
  <c r="I58" i="6"/>
  <c r="H58" i="6"/>
  <c r="G58" i="6"/>
  <c r="F58" i="6"/>
  <c r="E58" i="6"/>
  <c r="D58" i="6"/>
  <c r="L58" i="6" s="1"/>
  <c r="C58" i="6"/>
  <c r="L57" i="6"/>
  <c r="L56" i="6"/>
  <c r="L55" i="6"/>
  <c r="L54" i="6"/>
  <c r="D37" i="6"/>
  <c r="E37" i="6"/>
  <c r="F37" i="6"/>
  <c r="G37" i="6"/>
  <c r="H37" i="6"/>
  <c r="I37" i="6"/>
  <c r="J37" i="6"/>
  <c r="C37" i="6"/>
  <c r="H38" i="6"/>
  <c r="G44" i="6"/>
  <c r="K43" i="6"/>
  <c r="J43" i="6"/>
  <c r="I43" i="6"/>
  <c r="H43" i="6"/>
  <c r="G43" i="6"/>
  <c r="F43" i="6"/>
  <c r="E43" i="6"/>
  <c r="D43" i="6"/>
  <c r="C43" i="6"/>
  <c r="L43" i="6" s="1"/>
  <c r="L42" i="6"/>
  <c r="L41" i="6"/>
  <c r="K40" i="6"/>
  <c r="K44" i="6" s="1"/>
  <c r="J40" i="6"/>
  <c r="J44" i="6" s="1"/>
  <c r="I40" i="6"/>
  <c r="I44" i="6" s="1"/>
  <c r="H40" i="6"/>
  <c r="H44" i="6" s="1"/>
  <c r="G40" i="6"/>
  <c r="F40" i="6"/>
  <c r="F44" i="6" s="1"/>
  <c r="E40" i="6"/>
  <c r="E44" i="6" s="1"/>
  <c r="D40" i="6"/>
  <c r="D44" i="6" s="1"/>
  <c r="C40" i="6"/>
  <c r="L40" i="6" s="1"/>
  <c r="L39" i="6"/>
  <c r="L36" i="6"/>
  <c r="K34" i="6"/>
  <c r="J34" i="6"/>
  <c r="J38" i="6" s="1"/>
  <c r="J45" i="6" s="1"/>
  <c r="I34" i="6"/>
  <c r="I38" i="6" s="1"/>
  <c r="H34" i="6"/>
  <c r="G34" i="6"/>
  <c r="F34" i="6"/>
  <c r="F38" i="6" s="1"/>
  <c r="F45" i="6" s="1"/>
  <c r="E34" i="6"/>
  <c r="D34" i="6"/>
  <c r="L34" i="6" s="1"/>
  <c r="C34" i="6"/>
  <c r="L33" i="6"/>
  <c r="K32" i="6"/>
  <c r="J32" i="6"/>
  <c r="I32" i="6"/>
  <c r="H32" i="6"/>
  <c r="G32" i="6"/>
  <c r="F32" i="6"/>
  <c r="E32" i="6"/>
  <c r="D32" i="6"/>
  <c r="C32" i="6"/>
  <c r="L32" i="6" s="1"/>
  <c r="L31" i="6"/>
  <c r="L30" i="6"/>
  <c r="L29" i="6"/>
  <c r="L28" i="6"/>
  <c r="L8" i="6"/>
  <c r="L9" i="6"/>
  <c r="L10" i="6"/>
  <c r="L11" i="6"/>
  <c r="L12" i="6"/>
  <c r="L13" i="6"/>
  <c r="L14" i="6"/>
  <c r="L15" i="6"/>
  <c r="L16" i="6"/>
  <c r="L17" i="6"/>
  <c r="L18" i="6"/>
  <c r="L19" i="6"/>
  <c r="L4" i="6"/>
  <c r="L5" i="6"/>
  <c r="L6" i="6"/>
  <c r="L7" i="6"/>
  <c r="D21" i="6"/>
  <c r="E21" i="6"/>
  <c r="F21" i="6"/>
  <c r="G21" i="6"/>
  <c r="H21" i="6"/>
  <c r="I21" i="6"/>
  <c r="J21" i="6"/>
  <c r="D20" i="6"/>
  <c r="E20" i="6"/>
  <c r="F20" i="6"/>
  <c r="G20" i="6"/>
  <c r="H20" i="6"/>
  <c r="I20" i="6"/>
  <c r="J20" i="6"/>
  <c r="K20" i="6"/>
  <c r="K21" i="6" s="1"/>
  <c r="C20" i="6"/>
  <c r="C21" i="6" s="1"/>
  <c r="D19" i="6"/>
  <c r="E19" i="6"/>
  <c r="F19" i="6"/>
  <c r="G19" i="6"/>
  <c r="H19" i="6"/>
  <c r="I19" i="6"/>
  <c r="J19" i="6"/>
  <c r="K19" i="6"/>
  <c r="C19" i="6"/>
  <c r="AB44" i="1"/>
  <c r="AA44" i="1"/>
  <c r="AB28" i="1"/>
  <c r="AA28" i="1"/>
  <c r="AB12" i="1"/>
  <c r="AA12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B4" i="1"/>
  <c r="AA4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Z4" i="1"/>
  <c r="Y4" i="1"/>
  <c r="D14" i="6"/>
  <c r="E14" i="6"/>
  <c r="F14" i="6"/>
  <c r="G14" i="6"/>
  <c r="H14" i="6"/>
  <c r="I14" i="6"/>
  <c r="J14" i="6"/>
  <c r="K14" i="6"/>
  <c r="C14" i="6"/>
  <c r="D13" i="6"/>
  <c r="E13" i="6"/>
  <c r="F13" i="6"/>
  <c r="G13" i="6"/>
  <c r="H13" i="6"/>
  <c r="I13" i="6"/>
  <c r="J13" i="6"/>
  <c r="C13" i="6"/>
  <c r="D28" i="5"/>
  <c r="D16" i="6"/>
  <c r="E16" i="6"/>
  <c r="F16" i="6"/>
  <c r="G16" i="6"/>
  <c r="H16" i="6"/>
  <c r="I16" i="6"/>
  <c r="J16" i="6"/>
  <c r="K16" i="6"/>
  <c r="C16" i="6"/>
  <c r="D10" i="6"/>
  <c r="E10" i="6"/>
  <c r="F10" i="6"/>
  <c r="G10" i="6"/>
  <c r="H10" i="6"/>
  <c r="I10" i="6"/>
  <c r="J10" i="6"/>
  <c r="K10" i="6"/>
  <c r="C10" i="6"/>
  <c r="D8" i="6"/>
  <c r="E8" i="6"/>
  <c r="F8" i="6"/>
  <c r="G8" i="6"/>
  <c r="H8" i="6"/>
  <c r="I8" i="6"/>
  <c r="J8" i="6"/>
  <c r="K8" i="6"/>
  <c r="C11" i="6"/>
  <c r="C8" i="6"/>
  <c r="E40" i="5"/>
  <c r="E27" i="5"/>
  <c r="D27" i="5"/>
  <c r="E13" i="5"/>
  <c r="D13" i="5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S5" i="1"/>
  <c r="S6" i="1"/>
  <c r="S7" i="1"/>
  <c r="S8" i="1"/>
  <c r="S9" i="1"/>
  <c r="S10" i="1"/>
  <c r="S11" i="1"/>
  <c r="S4" i="1"/>
  <c r="R4" i="1"/>
  <c r="R5" i="1"/>
  <c r="R6" i="1"/>
  <c r="R7" i="1"/>
  <c r="R8" i="1"/>
  <c r="R9" i="1"/>
  <c r="R10" i="1"/>
  <c r="R11" i="1"/>
  <c r="M5" i="1"/>
  <c r="M6" i="1"/>
  <c r="M7" i="1"/>
  <c r="M8" i="1"/>
  <c r="M9" i="1"/>
  <c r="M10" i="1"/>
  <c r="M11" i="1"/>
  <c r="M12" i="1"/>
  <c r="M20" i="1"/>
  <c r="M21" i="1"/>
  <c r="M22" i="1"/>
  <c r="M23" i="1"/>
  <c r="M24" i="1"/>
  <c r="M25" i="1"/>
  <c r="M26" i="1"/>
  <c r="M27" i="1"/>
  <c r="M28" i="1"/>
  <c r="M36" i="1"/>
  <c r="M37" i="1"/>
  <c r="M38" i="1"/>
  <c r="M39" i="1"/>
  <c r="M40" i="1"/>
  <c r="M41" i="1"/>
  <c r="M42" i="1"/>
  <c r="M43" i="1"/>
  <c r="M4" i="1"/>
  <c r="O43" i="1"/>
  <c r="O42" i="1"/>
  <c r="O41" i="1"/>
  <c r="O40" i="1"/>
  <c r="O39" i="1"/>
  <c r="O38" i="1"/>
  <c r="O37" i="1"/>
  <c r="O36" i="1"/>
  <c r="O27" i="1"/>
  <c r="O26" i="1"/>
  <c r="O25" i="1"/>
  <c r="O24" i="1"/>
  <c r="O23" i="1"/>
  <c r="O22" i="1"/>
  <c r="O21" i="1"/>
  <c r="O20" i="1"/>
  <c r="O5" i="1"/>
  <c r="O6" i="1"/>
  <c r="O7" i="1"/>
  <c r="O8" i="1"/>
  <c r="O9" i="1"/>
  <c r="O10" i="1"/>
  <c r="O11" i="1"/>
  <c r="O4" i="1"/>
  <c r="I12" i="3"/>
  <c r="F12" i="3"/>
  <c r="C12" i="3"/>
  <c r="Q65" i="2"/>
  <c r="P65" i="2"/>
  <c r="L63" i="2"/>
  <c r="K63" i="2"/>
  <c r="H65" i="2"/>
  <c r="G65" i="2"/>
  <c r="C63" i="2"/>
  <c r="B63" i="2"/>
  <c r="C53" i="2"/>
  <c r="H55" i="2"/>
  <c r="G55" i="2"/>
  <c r="B53" i="2"/>
  <c r="AA45" i="2"/>
  <c r="Z45" i="2"/>
  <c r="V43" i="2"/>
  <c r="U43" i="2"/>
  <c r="Q45" i="2"/>
  <c r="P45" i="2"/>
  <c r="L43" i="2"/>
  <c r="K43" i="2"/>
  <c r="H45" i="2"/>
  <c r="G45" i="2"/>
  <c r="C43" i="2"/>
  <c r="B43" i="2"/>
  <c r="Q35" i="2"/>
  <c r="P35" i="2"/>
  <c r="L33" i="2"/>
  <c r="K33" i="2"/>
  <c r="H35" i="2"/>
  <c r="G35" i="2"/>
  <c r="C33" i="2"/>
  <c r="B33" i="2"/>
  <c r="AA25" i="2"/>
  <c r="Z25" i="2"/>
  <c r="V23" i="2"/>
  <c r="U23" i="2"/>
  <c r="Q25" i="2"/>
  <c r="P25" i="2"/>
  <c r="L23" i="2"/>
  <c r="K23" i="2"/>
  <c r="C23" i="2"/>
  <c r="B23" i="2"/>
  <c r="C14" i="2"/>
  <c r="B14" i="2"/>
  <c r="H25" i="2"/>
  <c r="G25" i="2"/>
  <c r="H16" i="2"/>
  <c r="G16" i="2"/>
  <c r="H7" i="2"/>
  <c r="G7" i="2"/>
  <c r="C5" i="2"/>
  <c r="B5" i="2"/>
  <c r="J44" i="1"/>
  <c r="I44" i="1"/>
  <c r="H44" i="1"/>
  <c r="E44" i="1"/>
  <c r="F39" i="1"/>
  <c r="J28" i="1"/>
  <c r="I28" i="1"/>
  <c r="H28" i="1"/>
  <c r="E28" i="1"/>
  <c r="F27" i="1"/>
  <c r="J12" i="1"/>
  <c r="I12" i="1"/>
  <c r="H12" i="1"/>
  <c r="E12" i="1"/>
  <c r="F6" i="1" s="1"/>
  <c r="E90" i="7" l="1"/>
  <c r="G90" i="7" s="1"/>
  <c r="H90" i="7" s="1"/>
  <c r="G98" i="7"/>
  <c r="H89" i="7"/>
  <c r="C92" i="7"/>
  <c r="E91" i="7"/>
  <c r="G91" i="7" s="1"/>
  <c r="C74" i="7"/>
  <c r="C75" i="7" s="1"/>
  <c r="E75" i="7" s="1"/>
  <c r="G75" i="7" s="1"/>
  <c r="H72" i="7"/>
  <c r="H73" i="7"/>
  <c r="H55" i="7"/>
  <c r="C57" i="7"/>
  <c r="E39" i="7"/>
  <c r="G39" i="7" s="1"/>
  <c r="E40" i="7"/>
  <c r="G40" i="7" s="1"/>
  <c r="H41" i="7" s="1"/>
  <c r="C41" i="7"/>
  <c r="E41" i="7" s="1"/>
  <c r="G41" i="7" s="1"/>
  <c r="H39" i="7"/>
  <c r="H40" i="7"/>
  <c r="H38" i="7"/>
  <c r="C23" i="7"/>
  <c r="C24" i="7" s="1"/>
  <c r="E24" i="7" s="1"/>
  <c r="G24" i="7" s="1"/>
  <c r="G13" i="7"/>
  <c r="H4" i="7"/>
  <c r="C6" i="7"/>
  <c r="E6" i="7" s="1"/>
  <c r="G6" i="7" s="1"/>
  <c r="G5" i="7"/>
  <c r="E120" i="6"/>
  <c r="J120" i="6"/>
  <c r="D120" i="6"/>
  <c r="K120" i="6"/>
  <c r="L136" i="6"/>
  <c r="E137" i="6"/>
  <c r="E144" i="6" s="1"/>
  <c r="H134" i="6"/>
  <c r="F137" i="6"/>
  <c r="F144" i="6" s="1"/>
  <c r="G137" i="6"/>
  <c r="G144" i="6" s="1"/>
  <c r="D137" i="6"/>
  <c r="D144" i="6" s="1"/>
  <c r="K144" i="6"/>
  <c r="C137" i="6"/>
  <c r="C143" i="6"/>
  <c r="L143" i="6" s="1"/>
  <c r="L87" i="6"/>
  <c r="L119" i="6"/>
  <c r="C120" i="6"/>
  <c r="L118" i="6"/>
  <c r="I113" i="6"/>
  <c r="I120" i="6" s="1"/>
  <c r="H95" i="6"/>
  <c r="G95" i="6"/>
  <c r="K95" i="6"/>
  <c r="D95" i="6"/>
  <c r="C88" i="6"/>
  <c r="C94" i="6"/>
  <c r="L94" i="6" s="1"/>
  <c r="C64" i="6"/>
  <c r="H71" i="6"/>
  <c r="F71" i="6"/>
  <c r="I71" i="6"/>
  <c r="C71" i="6"/>
  <c r="L63" i="6"/>
  <c r="D71" i="6"/>
  <c r="L70" i="6"/>
  <c r="L64" i="6"/>
  <c r="I45" i="6"/>
  <c r="L21" i="6"/>
  <c r="L20" i="6"/>
  <c r="L37" i="6"/>
  <c r="E38" i="6"/>
  <c r="E45" i="6" s="1"/>
  <c r="G38" i="6"/>
  <c r="G45" i="6" s="1"/>
  <c r="K38" i="6"/>
  <c r="K45" i="6" s="1"/>
  <c r="C38" i="6"/>
  <c r="C45" i="6" s="1"/>
  <c r="H45" i="6"/>
  <c r="D38" i="6"/>
  <c r="D45" i="6" s="1"/>
  <c r="C44" i="6"/>
  <c r="L44" i="6" s="1"/>
  <c r="F20" i="1"/>
  <c r="F40" i="1"/>
  <c r="F21" i="1"/>
  <c r="F41" i="1"/>
  <c r="F22" i="1"/>
  <c r="F42" i="1"/>
  <c r="F43" i="1"/>
  <c r="F23" i="1"/>
  <c r="F25" i="1"/>
  <c r="F37" i="1"/>
  <c r="F24" i="1"/>
  <c r="F36" i="1"/>
  <c r="F26" i="1"/>
  <c r="F38" i="1"/>
  <c r="F5" i="1"/>
  <c r="F4" i="1"/>
  <c r="F11" i="1"/>
  <c r="F10" i="1"/>
  <c r="F9" i="1"/>
  <c r="F8" i="1"/>
  <c r="F7" i="1"/>
  <c r="H91" i="7" l="1"/>
  <c r="E92" i="7"/>
  <c r="G92" i="7" s="1"/>
  <c r="C93" i="7"/>
  <c r="E74" i="7"/>
  <c r="G74" i="7" s="1"/>
  <c r="H74" i="7" s="1"/>
  <c r="C76" i="7"/>
  <c r="C77" i="7" s="1"/>
  <c r="C58" i="7"/>
  <c r="E57" i="7"/>
  <c r="G57" i="7" s="1"/>
  <c r="C42" i="7"/>
  <c r="C43" i="7" s="1"/>
  <c r="C25" i="7"/>
  <c r="E25" i="7" s="1"/>
  <c r="G25" i="7" s="1"/>
  <c r="E23" i="7"/>
  <c r="G23" i="7" s="1"/>
  <c r="H23" i="7" s="1"/>
  <c r="C26" i="7"/>
  <c r="H6" i="7"/>
  <c r="C7" i="7"/>
  <c r="E7" i="7" s="1"/>
  <c r="G7" i="7" s="1"/>
  <c r="H5" i="7"/>
  <c r="I134" i="6"/>
  <c r="H137" i="6"/>
  <c r="H144" i="6" s="1"/>
  <c r="C144" i="6"/>
  <c r="L113" i="6"/>
  <c r="L120" i="6"/>
  <c r="C95" i="6"/>
  <c r="L95" i="6" s="1"/>
  <c r="L88" i="6"/>
  <c r="L71" i="6"/>
  <c r="L45" i="6"/>
  <c r="L38" i="6"/>
  <c r="G28" i="1"/>
  <c r="G44" i="1"/>
  <c r="G12" i="1"/>
  <c r="E93" i="7" l="1"/>
  <c r="G93" i="7" s="1"/>
  <c r="H93" i="7" s="1"/>
  <c r="C94" i="7"/>
  <c r="H92" i="7"/>
  <c r="H75" i="7"/>
  <c r="E76" i="7"/>
  <c r="G76" i="7" s="1"/>
  <c r="H76" i="7" s="1"/>
  <c r="C78" i="7"/>
  <c r="E77" i="7"/>
  <c r="G77" i="7" s="1"/>
  <c r="H57" i="7"/>
  <c r="C59" i="7"/>
  <c r="E58" i="7"/>
  <c r="G58" i="7" s="1"/>
  <c r="H58" i="7" s="1"/>
  <c r="E42" i="7"/>
  <c r="G42" i="7" s="1"/>
  <c r="H42" i="7" s="1"/>
  <c r="C44" i="7"/>
  <c r="E43" i="7"/>
  <c r="G43" i="7" s="1"/>
  <c r="H24" i="7"/>
  <c r="H25" i="7"/>
  <c r="C27" i="7"/>
  <c r="E26" i="7"/>
  <c r="G26" i="7" s="1"/>
  <c r="C8" i="7"/>
  <c r="E8" i="7" s="1"/>
  <c r="G8" i="7" s="1"/>
  <c r="H7" i="7"/>
  <c r="J134" i="6"/>
  <c r="J137" i="6" s="1"/>
  <c r="J144" i="6" s="1"/>
  <c r="L144" i="6" s="1"/>
  <c r="I137" i="6"/>
  <c r="I144" i="6" s="1"/>
  <c r="C95" i="7" l="1"/>
  <c r="E94" i="7"/>
  <c r="G94" i="7" s="1"/>
  <c r="H77" i="7"/>
  <c r="E78" i="7"/>
  <c r="G78" i="7" s="1"/>
  <c r="H78" i="7" s="1"/>
  <c r="C79" i="7"/>
  <c r="E59" i="7"/>
  <c r="G59" i="7" s="1"/>
  <c r="C60" i="7"/>
  <c r="E44" i="7"/>
  <c r="G44" i="7" s="1"/>
  <c r="H44" i="7" s="1"/>
  <c r="C45" i="7"/>
  <c r="H43" i="7"/>
  <c r="H26" i="7"/>
  <c r="E27" i="7"/>
  <c r="G27" i="7" s="1"/>
  <c r="H27" i="7" s="1"/>
  <c r="C28" i="7"/>
  <c r="C9" i="7"/>
  <c r="C10" i="7" s="1"/>
  <c r="H8" i="7"/>
  <c r="L134" i="6"/>
  <c r="L137" i="6"/>
  <c r="H94" i="7" l="1"/>
  <c r="E95" i="7"/>
  <c r="G95" i="7" s="1"/>
  <c r="C96" i="7"/>
  <c r="C80" i="7"/>
  <c r="E80" i="7" s="1"/>
  <c r="G80" i="7" s="1"/>
  <c r="E79" i="7"/>
  <c r="G79" i="7" s="1"/>
  <c r="H79" i="7" s="1"/>
  <c r="C61" i="7"/>
  <c r="E60" i="7"/>
  <c r="G60" i="7" s="1"/>
  <c r="H60" i="7" s="1"/>
  <c r="H59" i="7"/>
  <c r="C46" i="7"/>
  <c r="E46" i="7" s="1"/>
  <c r="G46" i="7" s="1"/>
  <c r="E45" i="7"/>
  <c r="G45" i="7" s="1"/>
  <c r="C29" i="7"/>
  <c r="E29" i="7" s="1"/>
  <c r="G29" i="7" s="1"/>
  <c r="E28" i="7"/>
  <c r="G28" i="7" s="1"/>
  <c r="E9" i="7"/>
  <c r="G9" i="7" s="1"/>
  <c r="H9" i="7" s="1"/>
  <c r="C11" i="7"/>
  <c r="E10" i="7"/>
  <c r="G10" i="7" s="1"/>
  <c r="C97" i="7" l="1"/>
  <c r="E97" i="7" s="1"/>
  <c r="G97" i="7" s="1"/>
  <c r="E96" i="7"/>
  <c r="G96" i="7" s="1"/>
  <c r="H95" i="7"/>
  <c r="H81" i="7"/>
  <c r="H80" i="7"/>
  <c r="E61" i="7"/>
  <c r="G61" i="7" s="1"/>
  <c r="C62" i="7"/>
  <c r="H46" i="7"/>
  <c r="H45" i="7"/>
  <c r="H47" i="7"/>
  <c r="H30" i="7"/>
  <c r="H28" i="7"/>
  <c r="H29" i="7"/>
  <c r="H10" i="7"/>
  <c r="C12" i="7"/>
  <c r="E12" i="7" s="1"/>
  <c r="G12" i="7" s="1"/>
  <c r="E11" i="7"/>
  <c r="G11" i="7" s="1"/>
  <c r="H97" i="7" l="1"/>
  <c r="H96" i="7"/>
  <c r="H98" i="7"/>
  <c r="C63" i="7"/>
  <c r="E63" i="7" s="1"/>
  <c r="G63" i="7" s="1"/>
  <c r="E62" i="7"/>
  <c r="G62" i="7" s="1"/>
  <c r="H62" i="7" s="1"/>
  <c r="H61" i="7"/>
  <c r="H13" i="7"/>
  <c r="H12" i="7"/>
  <c r="H11" i="7"/>
  <c r="H63" i="7" l="1"/>
  <c r="H64" i="7"/>
</calcChain>
</file>

<file path=xl/sharedStrings.xml><?xml version="1.0" encoding="utf-8"?>
<sst xmlns="http://schemas.openxmlformats.org/spreadsheetml/2006/main" count="663" uniqueCount="135">
  <si>
    <t>Aktivnost</t>
  </si>
  <si>
    <t>Total</t>
  </si>
  <si>
    <t>1. Istraživanje i razvoj</t>
  </si>
  <si>
    <t>2. Proizvodnja/konstrukcija</t>
  </si>
  <si>
    <t>3. Rad i podrška</t>
  </si>
  <si>
    <t>Cjelina</t>
  </si>
  <si>
    <t>Upravljačka jedinica</t>
  </si>
  <si>
    <t>Komponente</t>
  </si>
  <si>
    <t>Mehanizam printanja</t>
  </si>
  <si>
    <t>Driver za motore</t>
  </si>
  <si>
    <t>Mikrokontroler</t>
  </si>
  <si>
    <t>Motori</t>
  </si>
  <si>
    <t>Okvir</t>
  </si>
  <si>
    <t>Prskalica</t>
  </si>
  <si>
    <t>Spremnik pritiska</t>
  </si>
  <si>
    <t>Komunikacija</t>
  </si>
  <si>
    <t>Wifi modul za komunikaciju</t>
  </si>
  <si>
    <t>USB modul za komunikaciju</t>
  </si>
  <si>
    <t>MTBF</t>
  </si>
  <si>
    <t>Ukupno:</t>
  </si>
  <si>
    <t>Dobiveno: Volumen 15 L, Prosječno vrijeme printa 1 min, minimalan pomjeraj prskalice 0.1 mm</t>
  </si>
  <si>
    <t>MTBF(h)</t>
  </si>
  <si>
    <t>-</t>
  </si>
  <si>
    <t>Broj jedinica</t>
  </si>
  <si>
    <t>Doproinos
kvarovima</t>
  </si>
  <si>
    <t>Mct(h)</t>
  </si>
  <si>
    <t>Cijena(KM)</t>
  </si>
  <si>
    <t>Potrošnja (W)</t>
  </si>
  <si>
    <t>Intenzitet zvuka (db)</t>
  </si>
  <si>
    <t>Alokacija zahtjeva: Rješenje 1 (Mal volumen, precizan, brz i tih print)</t>
  </si>
  <si>
    <t>Alokacija zahtjeva: Rješenje 2 (Srednji volumen, precizan, brz i tih print)</t>
  </si>
  <si>
    <t>Dobiveno: Volumen 25 L, Prosječno vrijeme printa 1 min, minimalan pomjeraj prskalice 0.1 mm</t>
  </si>
  <si>
    <t>Alokacija zahtjeva: Rješenje 3 (Srednji volumen, srednje precizan, brz i tih print)</t>
  </si>
  <si>
    <t>Dobiveno: Volumen 25 L, Prosječno vrijeme printa 2 min, minimalan pomjeraj prskalice 0.2 mm</t>
  </si>
  <si>
    <t xml:space="preserve">  </t>
  </si>
  <si>
    <t>Kriterij evaluacije</t>
  </si>
  <si>
    <t>Popravka</t>
  </si>
  <si>
    <t>Zamjena</t>
  </si>
  <si>
    <t>Opis</t>
  </si>
  <si>
    <t>Standardna 
cijema
 komponente</t>
  </si>
  <si>
    <t xml:space="preserve"> Cijena nove komponente</t>
  </si>
  <si>
    <t>Rad ljudi koji popravljaju</t>
  </si>
  <si>
    <t>Zamjena (KM)</t>
  </si>
  <si>
    <t>Na osnovu MTBF, Mct, pretpostavke da 
će se mašina koristiti 6 h dnevno, može se doći do ukupnog broja intervencija. Prosječna plata radnika 15 KM/h. U slučaju popravke vrijeme se povećava 10 puta. Uračunat jedan sad potreban da se dođe i vrati sa mjesta popravke</t>
  </si>
  <si>
    <t>Račun:</t>
  </si>
  <si>
    <t>Mct - zamjena</t>
  </si>
  <si>
    <t>Mct - popravka</t>
  </si>
  <si>
    <t>Broj sati dnevno</t>
  </si>
  <si>
    <t>Broj dana</t>
  </si>
  <si>
    <t>Cijena za popravku</t>
  </si>
  <si>
    <t>Cijena za zamjenu</t>
  </si>
  <si>
    <t>Popravka vs zamjena cijena: Driver za motore, rješenje 1, 2 i 3</t>
  </si>
  <si>
    <t>Popravka vs zamjena cijena: Mikrokontroler, rješenje 1,2 i 3</t>
  </si>
  <si>
    <t>Na osnovu MTBF, Mct, pretpostavke da 
će se mašina koristiti 6 h dnevno, može se doći do ukupnog broja intervencija. Prosječna plata radnika 15 KM/h. U slučaju popravke vrijeme se povećava 3 puta. Uračunat jedan sad potreban da se dođe i vrati sa mjesta popravke</t>
  </si>
  <si>
    <t>Na osnovu MTBF, Mct, pretpostavke da 
će se mašina koristiti 6 h dnevno, može se doći do ukupnog broja intervencija. Prosječna plata radnika 15 KM/h. U slučaju popravke vrijeme se povećava 2 puta. Uračunat jedan sad potreban da se dođe i vrati sa mjesta popravke</t>
  </si>
  <si>
    <t>Rezervni dijelovi</t>
  </si>
  <si>
    <t>Rezrvni dijelovi</t>
  </si>
  <si>
    <t xml:space="preserve">Popravka vs zamjena cijena: Motori, rješenje 1 </t>
  </si>
  <si>
    <t xml:space="preserve">Popravka vs zamjena cijena: Motori, rješenje 2 </t>
  </si>
  <si>
    <t>Popravka vs zamjena cijena: Motori, rješenje 3</t>
  </si>
  <si>
    <t>Popravka vs zamjena cijena: Okvir, rješenje 1</t>
  </si>
  <si>
    <t>Popravka vs zamjena cijena: Okvir, rješenje 2,3</t>
  </si>
  <si>
    <t>Popravka vs zamjena cijena: Prskalica, rješenje 1</t>
  </si>
  <si>
    <t>Na osnovu MTBF, Mct, pretpostavke da 
će se mašina koristiti 6 h dnevno, može se doći do ukupnog broja intervencija. Prosječna plata radnika 15 KM/h.  Uračunat jedan sad potreban da se dođe i vrati sa mjesta popravke</t>
  </si>
  <si>
    <t>Na osnovu MTBF, Mct, pretpostavke da 
će se mašina koristiti 6 h dnevno, može se doći do ukupnog broja intervencija. Prosječna plata radnika 15 KM/h. Uračunat jedan sad potreban da se dođe i vrati sa mjesta popravke</t>
  </si>
  <si>
    <t>Popravka vs zamjena cijena: Spremnik pritiska, rješenje 1,2,3</t>
  </si>
  <si>
    <t>Komponenta</t>
  </si>
  <si>
    <t>Rješenje 1</t>
  </si>
  <si>
    <t>Status održavanja</t>
  </si>
  <si>
    <t>Odabir</t>
  </si>
  <si>
    <t>Popravka (KM)</t>
  </si>
  <si>
    <t>Popravka vs zamjena cijena: WIFI/USB modul, rješenje 1</t>
  </si>
  <si>
    <t>Popravka vs zamjena cijena: WIFI/USB modul, rješenje 2,3</t>
  </si>
  <si>
    <t>Rješenje 2</t>
  </si>
  <si>
    <t>Cijena odabrane metode (KM):</t>
  </si>
  <si>
    <t>Rješenje 3</t>
  </si>
  <si>
    <t>Pretvaranje MTBH u lambda</t>
  </si>
  <si>
    <t>Broj dijelova1</t>
  </si>
  <si>
    <t>Broj dijelova2</t>
  </si>
  <si>
    <t>broj sati rada</t>
  </si>
  <si>
    <t xml:space="preserve">snadbijevanja svakih </t>
  </si>
  <si>
    <t>K lambda T</t>
  </si>
  <si>
    <t>za 1</t>
  </si>
  <si>
    <t>za 2</t>
  </si>
  <si>
    <t>Broj rezervnih  dijelova</t>
  </si>
  <si>
    <t>Broj proračunatih rezervnih dijelova za radno vrijeme od 6h i period snadbijevanja od 30 dana</t>
  </si>
  <si>
    <t>Broj rezervnih dijelova
za broj od 50 proizvedenih jedinica godišnje sa garancijom od jedne godine</t>
  </si>
  <si>
    <t>Cijena (KM)</t>
  </si>
  <si>
    <t>Cijena prve nabavke (KM):</t>
  </si>
  <si>
    <t>50 jedinica proizvedeno godišnje</t>
  </si>
  <si>
    <t>100 jedinica proizvedeno godišnje</t>
  </si>
  <si>
    <t>Cijena programa po godini, rješenje 1, 50 jedinica proizvedeno godišnje</t>
  </si>
  <si>
    <t>1.1. Dizajn za održivost</t>
  </si>
  <si>
    <t>1.2. Dizajn za pouzdanost</t>
  </si>
  <si>
    <t>1.3 Komponente za prvi prototip</t>
  </si>
  <si>
    <t>2.1 Iznajmljivanje prostora</t>
  </si>
  <si>
    <t>2.2 Kupovina komponenti za
proizvodnju</t>
  </si>
  <si>
    <t>2.3 Kupovina opreme</t>
  </si>
  <si>
    <t>3.1 Plate uposlenicima</t>
  </si>
  <si>
    <t>3.2 Prva kupovina rezervnih
 komponenti</t>
  </si>
  <si>
    <t>Broj rezervnih dijelova
za broj od 100 proizvedenih jedinica godišnje sa garancijom od jedne godine</t>
  </si>
  <si>
    <t>2.4 Slanje proizvoda</t>
  </si>
  <si>
    <t>3.3 Održavanje broja komponenti</t>
  </si>
  <si>
    <t>Račun prosječnog broja potrošenih komponenti</t>
  </si>
  <si>
    <t>Broj komp1</t>
  </si>
  <si>
    <t>Broj komp2</t>
  </si>
  <si>
    <t>Cijena1</t>
  </si>
  <si>
    <t>Cijena2</t>
  </si>
  <si>
    <t>ukupno</t>
  </si>
  <si>
    <t>3.4. Održavanje vozila</t>
  </si>
  <si>
    <t>Ukupno po katergoriji:</t>
  </si>
  <si>
    <t>Ukupno po kategoriji:</t>
  </si>
  <si>
    <t>Cijena programa po godini, rješenje 1, 100 jedinica proizvedeno godišnje</t>
  </si>
  <si>
    <t>Cijena programa po godini, rješenje 2, 100 jedinica proizvedeno godišnje</t>
  </si>
  <si>
    <t>Cijena programa po godini, rješenje 2, 50 jedinica proizvedeno godišnje</t>
  </si>
  <si>
    <t>broj</t>
  </si>
  <si>
    <t>cijena</t>
  </si>
  <si>
    <t>Cijena programa po godini, rješenje 3, 50 jedinica proizvedeno godišnje</t>
  </si>
  <si>
    <t>Cijena programa po godini, rješenje 3, 100 jedinica proizvedeno godišnje</t>
  </si>
  <si>
    <t>Godina</t>
  </si>
  <si>
    <t>Prihodi</t>
  </si>
  <si>
    <t>Troškovi</t>
  </si>
  <si>
    <t>Priliv novca</t>
  </si>
  <si>
    <t>Diskontni faktor</t>
  </si>
  <si>
    <t>Rješenje 1, 50 proizvedenih godišnje</t>
  </si>
  <si>
    <t>NPV</t>
  </si>
  <si>
    <t>Broj proizvedenih:</t>
  </si>
  <si>
    <t>Investicija:</t>
  </si>
  <si>
    <t>Cijena:</t>
  </si>
  <si>
    <t>Stvarna vrijednost priliva novca</t>
  </si>
  <si>
    <t xml:space="preserve">Diskontni faktor: </t>
  </si>
  <si>
    <t>Rješenje 1, 100 proizvedenih godišnje</t>
  </si>
  <si>
    <t>Rješenje 2, 50 proizvedenih godišnje</t>
  </si>
  <si>
    <t>Rješenje 2, 100 proizvedenih godišnje</t>
  </si>
  <si>
    <t>Rješenje 3, 50 proizvedenih godišnje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</si>
</sst>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vertical="center" wrapText="1"/>
    </xf>
    <xf numFmtId="10" fontId="0" fillId="0" borderId="2" xfId="0" applyNumberFormat="1" applyBorder="1"/>
    <xf numFmtId="9" fontId="0" fillId="0" borderId="1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3" xfId="0" applyFill="1" applyBorder="1"/>
    <xf numFmtId="0" fontId="1" fillId="0" borderId="2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590550</xdr:colOff>
      <xdr:row>3</xdr:row>
      <xdr:rowOff>0</xdr:rowOff>
    </xdr:from>
    <xdr:to>
      <xdr:col>30</xdr:col>
      <xdr:colOff>437483</xdr:colOff>
      <xdr:row>21</xdr:row>
      <xdr:rowOff>190000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3C606F-542A-4F22-9BF3-3D58703E8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97075" y="733425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111900</xdr:colOff>
      <xdr:row>28</xdr:row>
      <xdr:rowOff>35700</xdr:rowOff>
    </xdr:from>
    <xdr:to>
      <xdr:col>30</xdr:col>
      <xdr:colOff>568433</xdr:colOff>
      <xdr:row>47</xdr:row>
      <xdr:rowOff>35200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EB8EAE-6688-4BCF-BA41-715379BB8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8025" y="5369700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185700</xdr:colOff>
      <xdr:row>3</xdr:row>
      <xdr:rowOff>0</xdr:rowOff>
    </xdr:from>
    <xdr:to>
      <xdr:col>22</xdr:col>
      <xdr:colOff>32633</xdr:colOff>
      <xdr:row>21</xdr:row>
      <xdr:rowOff>190000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432C17-0156-45D8-AF34-20A84196B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5425" y="719100"/>
          <a:ext cx="5333333" cy="40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107100</xdr:colOff>
      <xdr:row>28</xdr:row>
      <xdr:rowOff>116625</xdr:rowOff>
    </xdr:from>
    <xdr:to>
      <xdr:col>21</xdr:col>
      <xdr:colOff>563633</xdr:colOff>
      <xdr:row>47</xdr:row>
      <xdr:rowOff>116125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CA631C6-D1A7-4046-8F74-58D2D6BAC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6825" y="5450625"/>
          <a:ext cx="5333333" cy="4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9C9F-ACA1-44CB-BFB2-C0D6338A6EE1}">
  <dimension ref="B1:AD45"/>
  <sheetViews>
    <sheetView topLeftCell="A16" workbookViewId="0">
      <selection activeCell="AA12" sqref="AA12"/>
    </sheetView>
  </sheetViews>
  <sheetFormatPr defaultRowHeight="15" x14ac:dyDescent="0.25"/>
  <cols>
    <col min="2" max="2" width="25.42578125" customWidth="1"/>
    <col min="3" max="3" width="25" customWidth="1"/>
    <col min="4" max="4" width="12.7109375" customWidth="1"/>
    <col min="6" max="6" width="11.140625" customWidth="1"/>
    <col min="8" max="8" width="12.42578125" customWidth="1"/>
    <col min="9" max="9" width="13.28515625" customWidth="1"/>
    <col min="10" max="10" width="22" customWidth="1"/>
    <col min="13" max="13" width="26.7109375" style="10" customWidth="1"/>
    <col min="14" max="14" width="16.28515625" style="10" customWidth="1"/>
    <col min="15" max="15" width="13.5703125" style="10" customWidth="1"/>
    <col min="16" max="16" width="18.5703125" style="10" customWidth="1"/>
    <col min="17" max="17" width="22.7109375" style="10" customWidth="1"/>
    <col min="18" max="18" width="12" customWidth="1"/>
    <col min="19" max="19" width="10.5703125" customWidth="1"/>
    <col min="20" max="20" width="22.28515625" customWidth="1"/>
    <col min="21" max="21" width="19.28515625" customWidth="1"/>
    <col min="25" max="26" width="11.28515625" customWidth="1"/>
  </cols>
  <sheetData>
    <row r="1" spans="2:30" x14ac:dyDescent="0.25">
      <c r="X1" s="8" t="s">
        <v>103</v>
      </c>
      <c r="Y1" s="8"/>
      <c r="Z1" s="8"/>
      <c r="AA1" s="8"/>
      <c r="AB1" s="8"/>
      <c r="AC1" s="8"/>
      <c r="AD1" s="8"/>
    </row>
    <row r="2" spans="2:30" x14ac:dyDescent="0.25">
      <c r="B2" s="15" t="s">
        <v>29</v>
      </c>
      <c r="C2" s="15"/>
      <c r="D2" s="15"/>
      <c r="E2" s="15"/>
      <c r="F2" s="15"/>
      <c r="G2" s="15"/>
      <c r="H2" s="15"/>
      <c r="I2" s="15"/>
      <c r="J2" s="15"/>
      <c r="M2" s="10" t="s">
        <v>76</v>
      </c>
      <c r="N2" s="10" t="s">
        <v>77</v>
      </c>
      <c r="O2" s="10" t="s">
        <v>78</v>
      </c>
      <c r="P2" s="10" t="s">
        <v>79</v>
      </c>
      <c r="Q2" s="10" t="s">
        <v>80</v>
      </c>
      <c r="R2" s="10" t="s">
        <v>81</v>
      </c>
      <c r="S2" s="10" t="s">
        <v>81</v>
      </c>
      <c r="T2" s="10" t="s">
        <v>84</v>
      </c>
      <c r="U2" s="10" t="s">
        <v>84</v>
      </c>
    </row>
    <row r="3" spans="2:30" ht="30" customHeight="1" x14ac:dyDescent="0.25">
      <c r="B3" s="14" t="s">
        <v>5</v>
      </c>
      <c r="C3" s="14" t="s">
        <v>7</v>
      </c>
      <c r="D3" s="14" t="s">
        <v>23</v>
      </c>
      <c r="E3" s="14" t="s">
        <v>21</v>
      </c>
      <c r="F3" s="20" t="s">
        <v>24</v>
      </c>
      <c r="G3" s="14" t="s">
        <v>25</v>
      </c>
      <c r="H3" s="14" t="s">
        <v>26</v>
      </c>
      <c r="I3" s="14" t="s">
        <v>27</v>
      </c>
      <c r="J3" s="14" t="s">
        <v>28</v>
      </c>
      <c r="P3" s="10">
        <v>6</v>
      </c>
      <c r="Q3" s="10">
        <v>90</v>
      </c>
      <c r="R3" t="s">
        <v>82</v>
      </c>
      <c r="S3" t="s">
        <v>83</v>
      </c>
      <c r="T3" t="s">
        <v>82</v>
      </c>
      <c r="U3" t="s">
        <v>83</v>
      </c>
      <c r="Y3" t="s">
        <v>104</v>
      </c>
      <c r="Z3" t="s">
        <v>105</v>
      </c>
      <c r="AA3" t="s">
        <v>106</v>
      </c>
      <c r="AB3" t="s">
        <v>107</v>
      </c>
    </row>
    <row r="4" spans="2:30" x14ac:dyDescent="0.25">
      <c r="B4" s="11" t="s">
        <v>6</v>
      </c>
      <c r="C4" s="3" t="s">
        <v>9</v>
      </c>
      <c r="D4" s="3">
        <v>1</v>
      </c>
      <c r="E4" s="3">
        <v>2500</v>
      </c>
      <c r="F4" s="21">
        <f>$E$12/E4</f>
        <v>0.11483253588516745</v>
      </c>
      <c r="G4" s="3">
        <v>0.3</v>
      </c>
      <c r="H4" s="3">
        <v>20</v>
      </c>
      <c r="I4" s="3">
        <v>5</v>
      </c>
      <c r="J4" s="3"/>
      <c r="M4" s="10">
        <f>1/E4</f>
        <v>4.0000000000000002E-4</v>
      </c>
      <c r="N4" s="10">
        <v>50</v>
      </c>
      <c r="O4" s="10">
        <f>2*N4</f>
        <v>100</v>
      </c>
      <c r="R4">
        <f>M4*N4*$P$3*$Q$3</f>
        <v>10.799999999999999</v>
      </c>
      <c r="S4">
        <f>M4*O4*$P$3*$Q$3</f>
        <v>21.599999999999998</v>
      </c>
      <c r="T4">
        <v>14</v>
      </c>
      <c r="U4">
        <v>28</v>
      </c>
      <c r="Y4">
        <f>6*365*N4/E4</f>
        <v>43.8</v>
      </c>
      <c r="Z4">
        <f>6*365*O4/E4</f>
        <v>87.6</v>
      </c>
      <c r="AA4">
        <f>Y4*H4</f>
        <v>876</v>
      </c>
      <c r="AB4">
        <f>Z4*H4</f>
        <v>1752</v>
      </c>
    </row>
    <row r="5" spans="2:30" x14ac:dyDescent="0.25">
      <c r="B5" s="12"/>
      <c r="C5" s="1" t="s">
        <v>10</v>
      </c>
      <c r="D5" s="1">
        <v>1</v>
      </c>
      <c r="E5" s="1">
        <v>2500</v>
      </c>
      <c r="F5" s="21">
        <f>$E$12/E5</f>
        <v>0.11483253588516745</v>
      </c>
      <c r="G5" s="1">
        <v>0.3</v>
      </c>
      <c r="H5" s="1">
        <v>10</v>
      </c>
      <c r="I5" s="1">
        <v>1</v>
      </c>
      <c r="J5" s="1"/>
      <c r="M5" s="10">
        <f t="shared" ref="M5:M43" si="0">1/E5</f>
        <v>4.0000000000000002E-4</v>
      </c>
      <c r="N5" s="10">
        <v>50</v>
      </c>
      <c r="O5" s="10">
        <f t="shared" ref="O5:O11" si="1">2*N5</f>
        <v>100</v>
      </c>
      <c r="R5">
        <f t="shared" ref="R5:R12" si="2">M5*N5*$P$3*$Q$3</f>
        <v>10.799999999999999</v>
      </c>
      <c r="S5">
        <f t="shared" ref="S5:S12" si="3">M5*O5*$P$3*$Q$3</f>
        <v>21.599999999999998</v>
      </c>
      <c r="T5">
        <v>14</v>
      </c>
      <c r="U5">
        <v>28</v>
      </c>
      <c r="Y5">
        <f t="shared" ref="Y5:Y12" si="4">6*365*N5/E5</f>
        <v>43.8</v>
      </c>
      <c r="Z5">
        <f t="shared" ref="Z5:Z12" si="5">6*365*O5/E5</f>
        <v>87.6</v>
      </c>
      <c r="AA5">
        <f t="shared" ref="AA5:AA12" si="6">Y5*H5</f>
        <v>438</v>
      </c>
      <c r="AB5">
        <f t="shared" ref="AB5:AB12" si="7">Z5*H5</f>
        <v>876</v>
      </c>
    </row>
    <row r="6" spans="2:30" x14ac:dyDescent="0.25">
      <c r="B6" s="11" t="s">
        <v>8</v>
      </c>
      <c r="C6" s="3" t="s">
        <v>11</v>
      </c>
      <c r="D6" s="3">
        <v>3</v>
      </c>
      <c r="E6" s="3">
        <v>4000</v>
      </c>
      <c r="F6" s="21">
        <f>$E$12/E6</f>
        <v>7.1770334928229665E-2</v>
      </c>
      <c r="G6" s="3">
        <v>2</v>
      </c>
      <c r="H6" s="3">
        <v>250</v>
      </c>
      <c r="I6" s="3">
        <v>170</v>
      </c>
      <c r="J6" s="3">
        <v>50</v>
      </c>
      <c r="M6" s="10">
        <f t="shared" si="0"/>
        <v>2.5000000000000001E-4</v>
      </c>
      <c r="N6" s="10">
        <v>150</v>
      </c>
      <c r="O6" s="10">
        <f t="shared" si="1"/>
        <v>300</v>
      </c>
      <c r="R6">
        <f t="shared" si="2"/>
        <v>20.249999999999996</v>
      </c>
      <c r="S6">
        <f t="shared" si="3"/>
        <v>40.499999999999993</v>
      </c>
      <c r="T6">
        <v>28</v>
      </c>
      <c r="U6">
        <v>55</v>
      </c>
      <c r="Y6">
        <f t="shared" si="4"/>
        <v>82.125</v>
      </c>
      <c r="Z6">
        <f t="shared" si="5"/>
        <v>164.25</v>
      </c>
      <c r="AA6">
        <f t="shared" si="6"/>
        <v>20531.25</v>
      </c>
      <c r="AB6">
        <f t="shared" si="7"/>
        <v>41062.5</v>
      </c>
    </row>
    <row r="7" spans="2:30" x14ac:dyDescent="0.25">
      <c r="B7" s="13"/>
      <c r="C7" s="4" t="s">
        <v>12</v>
      </c>
      <c r="D7" s="19">
        <v>1</v>
      </c>
      <c r="E7" s="4">
        <v>10000</v>
      </c>
      <c r="F7" s="21">
        <f>$E$12/E7</f>
        <v>2.8708133971291863E-2</v>
      </c>
      <c r="G7" s="19">
        <v>3</v>
      </c>
      <c r="H7" s="19">
        <v>100</v>
      </c>
      <c r="I7" s="4"/>
      <c r="J7" s="4"/>
      <c r="M7" s="10">
        <f t="shared" si="0"/>
        <v>1E-4</v>
      </c>
      <c r="N7" s="10">
        <v>50</v>
      </c>
      <c r="O7" s="10">
        <f t="shared" si="1"/>
        <v>100</v>
      </c>
      <c r="R7">
        <f t="shared" si="2"/>
        <v>2.6999999999999997</v>
      </c>
      <c r="S7">
        <f t="shared" si="3"/>
        <v>5.3999999999999995</v>
      </c>
      <c r="T7">
        <v>5</v>
      </c>
      <c r="U7">
        <v>8</v>
      </c>
      <c r="Y7">
        <f t="shared" si="4"/>
        <v>10.95</v>
      </c>
      <c r="Z7">
        <f t="shared" si="5"/>
        <v>21.9</v>
      </c>
      <c r="AA7">
        <f t="shared" si="6"/>
        <v>1095</v>
      </c>
      <c r="AB7">
        <f t="shared" si="7"/>
        <v>2190</v>
      </c>
    </row>
    <row r="8" spans="2:30" x14ac:dyDescent="0.25">
      <c r="B8" s="13"/>
      <c r="C8" s="4" t="s">
        <v>13</v>
      </c>
      <c r="D8" s="19">
        <v>1</v>
      </c>
      <c r="E8" s="4">
        <v>2000</v>
      </c>
      <c r="F8" s="21">
        <f>$E$12/E8</f>
        <v>0.14354066985645933</v>
      </c>
      <c r="G8" s="19">
        <v>0.7</v>
      </c>
      <c r="H8" s="19">
        <v>20</v>
      </c>
      <c r="I8" s="4"/>
      <c r="J8" s="19">
        <v>60</v>
      </c>
      <c r="M8" s="10">
        <f t="shared" si="0"/>
        <v>5.0000000000000001E-4</v>
      </c>
      <c r="N8" s="10">
        <v>50</v>
      </c>
      <c r="O8" s="10">
        <f t="shared" si="1"/>
        <v>100</v>
      </c>
      <c r="R8">
        <f t="shared" si="2"/>
        <v>13.500000000000002</v>
      </c>
      <c r="S8">
        <f t="shared" si="3"/>
        <v>27.000000000000004</v>
      </c>
      <c r="T8">
        <v>18</v>
      </c>
      <c r="U8">
        <v>35</v>
      </c>
      <c r="Y8">
        <f t="shared" si="4"/>
        <v>54.75</v>
      </c>
      <c r="Z8">
        <f t="shared" si="5"/>
        <v>109.5</v>
      </c>
      <c r="AA8">
        <f t="shared" si="6"/>
        <v>1095</v>
      </c>
      <c r="AB8">
        <f t="shared" si="7"/>
        <v>2190</v>
      </c>
    </row>
    <row r="9" spans="2:30" x14ac:dyDescent="0.25">
      <c r="B9" s="12"/>
      <c r="C9" s="1" t="s">
        <v>14</v>
      </c>
      <c r="D9" s="1">
        <v>1</v>
      </c>
      <c r="E9" s="1">
        <v>3000</v>
      </c>
      <c r="F9" s="21">
        <f>$E$12/E9</f>
        <v>9.5693779904306206E-2</v>
      </c>
      <c r="G9" s="1">
        <v>1</v>
      </c>
      <c r="H9" s="1">
        <v>25</v>
      </c>
      <c r="I9" s="1">
        <v>5</v>
      </c>
      <c r="J9" s="1">
        <v>40</v>
      </c>
      <c r="M9" s="10">
        <f t="shared" si="0"/>
        <v>3.3333333333333332E-4</v>
      </c>
      <c r="N9" s="10">
        <v>50</v>
      </c>
      <c r="O9" s="10">
        <f t="shared" si="1"/>
        <v>100</v>
      </c>
      <c r="R9">
        <f t="shared" si="2"/>
        <v>9</v>
      </c>
      <c r="S9">
        <f t="shared" si="3"/>
        <v>18</v>
      </c>
      <c r="T9">
        <v>12</v>
      </c>
      <c r="U9">
        <v>24</v>
      </c>
      <c r="Y9">
        <f t="shared" si="4"/>
        <v>36.5</v>
      </c>
      <c r="Z9">
        <f t="shared" si="5"/>
        <v>73</v>
      </c>
      <c r="AA9">
        <f t="shared" si="6"/>
        <v>912.5</v>
      </c>
      <c r="AB9">
        <f t="shared" si="7"/>
        <v>1825</v>
      </c>
    </row>
    <row r="10" spans="2:30" x14ac:dyDescent="0.25">
      <c r="B10" s="11" t="s">
        <v>15</v>
      </c>
      <c r="C10" s="3" t="s">
        <v>16</v>
      </c>
      <c r="D10" s="3">
        <v>1</v>
      </c>
      <c r="E10" s="3">
        <v>2000</v>
      </c>
      <c r="F10" s="21">
        <f>$E$12/E10</f>
        <v>0.14354066985645933</v>
      </c>
      <c r="G10" s="3">
        <v>0.3</v>
      </c>
      <c r="H10" s="3">
        <v>5</v>
      </c>
      <c r="I10" s="3">
        <v>1</v>
      </c>
      <c r="J10" s="3"/>
      <c r="M10" s="10">
        <f t="shared" si="0"/>
        <v>5.0000000000000001E-4</v>
      </c>
      <c r="N10" s="10">
        <v>50</v>
      </c>
      <c r="O10" s="10">
        <f t="shared" si="1"/>
        <v>100</v>
      </c>
      <c r="R10">
        <f t="shared" si="2"/>
        <v>13.500000000000002</v>
      </c>
      <c r="S10">
        <f t="shared" si="3"/>
        <v>27.000000000000004</v>
      </c>
      <c r="T10">
        <v>17</v>
      </c>
      <c r="U10">
        <v>35</v>
      </c>
      <c r="Y10">
        <f t="shared" si="4"/>
        <v>54.75</v>
      </c>
      <c r="Z10">
        <f t="shared" si="5"/>
        <v>109.5</v>
      </c>
      <c r="AA10">
        <f t="shared" si="6"/>
        <v>273.75</v>
      </c>
      <c r="AB10">
        <f t="shared" si="7"/>
        <v>547.5</v>
      </c>
    </row>
    <row r="11" spans="2:30" x14ac:dyDescent="0.25">
      <c r="B11" s="12"/>
      <c r="C11" s="1" t="s">
        <v>17</v>
      </c>
      <c r="D11" s="1">
        <v>1</v>
      </c>
      <c r="E11" s="1">
        <v>2000</v>
      </c>
      <c r="F11" s="21">
        <f>$E$12/E11</f>
        <v>0.14354066985645933</v>
      </c>
      <c r="G11" s="1">
        <v>0.3</v>
      </c>
      <c r="H11" s="1">
        <v>5</v>
      </c>
      <c r="I11" s="1">
        <v>1</v>
      </c>
      <c r="J11" s="1"/>
      <c r="M11" s="10">
        <f t="shared" si="0"/>
        <v>5.0000000000000001E-4</v>
      </c>
      <c r="N11" s="10">
        <v>50</v>
      </c>
      <c r="O11" s="10">
        <f t="shared" si="1"/>
        <v>100</v>
      </c>
      <c r="R11">
        <f t="shared" si="2"/>
        <v>13.500000000000002</v>
      </c>
      <c r="S11">
        <f t="shared" si="3"/>
        <v>27.000000000000004</v>
      </c>
      <c r="T11">
        <v>17</v>
      </c>
      <c r="U11">
        <v>35</v>
      </c>
      <c r="Y11">
        <f t="shared" si="4"/>
        <v>54.75</v>
      </c>
      <c r="Z11">
        <f t="shared" si="5"/>
        <v>109.5</v>
      </c>
      <c r="AA11">
        <f t="shared" si="6"/>
        <v>273.75</v>
      </c>
      <c r="AB11">
        <f t="shared" si="7"/>
        <v>547.5</v>
      </c>
    </row>
    <row r="12" spans="2:30" x14ac:dyDescent="0.25">
      <c r="B12" s="2"/>
      <c r="C12" s="2" t="s">
        <v>19</v>
      </c>
      <c r="D12" s="2"/>
      <c r="E12" s="2">
        <f>1/(1/E4 + 1/E5+3/E6+1/E7+1/E8+1/E9+1/E10+1/E11)</f>
        <v>287.08133971291863</v>
      </c>
      <c r="F12" s="22">
        <v>1</v>
      </c>
      <c r="G12" s="2">
        <f>F4*G4+F5*G5+F6*G6+F7*G7+F8*G8+F9*G9+F10*G10+F11*G11</f>
        <v>0.58086124401913874</v>
      </c>
      <c r="H12" s="2">
        <f>SUM(H4:H11)</f>
        <v>435</v>
      </c>
      <c r="I12" s="2">
        <f>SUM(I4:I11)</f>
        <v>183</v>
      </c>
      <c r="J12" s="2">
        <f>MAX(J4:J11)</f>
        <v>60</v>
      </c>
      <c r="M12" s="10">
        <f t="shared" si="0"/>
        <v>3.4833333333333335E-3</v>
      </c>
      <c r="Z12" t="s">
        <v>108</v>
      </c>
      <c r="AA12">
        <f>SUM(AA4:AA11)</f>
        <v>25495.25</v>
      </c>
      <c r="AB12">
        <f>SUM(AB4:AB11)</f>
        <v>50990.5</v>
      </c>
    </row>
    <row r="13" spans="2:30" x14ac:dyDescent="0.25">
      <c r="B13" s="15" t="s">
        <v>20</v>
      </c>
      <c r="C13" s="15"/>
      <c r="D13" s="15"/>
      <c r="E13" s="15"/>
      <c r="F13" s="15"/>
      <c r="G13" s="15"/>
      <c r="H13" s="15"/>
      <c r="I13" s="15"/>
      <c r="J13" s="15"/>
    </row>
    <row r="15" spans="2:30" x14ac:dyDescent="0.25">
      <c r="B15" s="9"/>
    </row>
    <row r="16" spans="2:30" x14ac:dyDescent="0.25">
      <c r="B16" s="9"/>
    </row>
    <row r="18" spans="2:28" x14ac:dyDescent="0.25">
      <c r="B18" s="15" t="s">
        <v>30</v>
      </c>
      <c r="C18" s="15"/>
      <c r="D18" s="15"/>
      <c r="E18" s="15"/>
      <c r="F18" s="15"/>
      <c r="G18" s="15"/>
      <c r="H18" s="15"/>
      <c r="I18" s="15"/>
      <c r="J18" s="15"/>
    </row>
    <row r="19" spans="2:28" ht="36.75" customHeight="1" x14ac:dyDescent="0.25">
      <c r="B19" s="14" t="s">
        <v>5</v>
      </c>
      <c r="C19" s="14" t="s">
        <v>7</v>
      </c>
      <c r="D19" s="14" t="s">
        <v>23</v>
      </c>
      <c r="E19" s="14" t="s">
        <v>21</v>
      </c>
      <c r="F19" s="20" t="s">
        <v>24</v>
      </c>
      <c r="G19" s="14" t="s">
        <v>25</v>
      </c>
      <c r="H19" s="14" t="s">
        <v>26</v>
      </c>
      <c r="I19" s="14" t="s">
        <v>27</v>
      </c>
      <c r="J19" s="14" t="s">
        <v>28</v>
      </c>
    </row>
    <row r="20" spans="2:28" x14ac:dyDescent="0.25">
      <c r="B20" s="11" t="s">
        <v>6</v>
      </c>
      <c r="C20" s="3" t="s">
        <v>9</v>
      </c>
      <c r="D20" s="3">
        <v>1</v>
      </c>
      <c r="E20" s="3">
        <v>2500</v>
      </c>
      <c r="F20" s="21">
        <f>$E$12/E20</f>
        <v>0.11483253588516745</v>
      </c>
      <c r="G20" s="3">
        <v>0.1</v>
      </c>
      <c r="H20" s="3">
        <v>20</v>
      </c>
      <c r="I20" s="3">
        <v>5</v>
      </c>
      <c r="J20" s="3"/>
      <c r="M20" s="10">
        <f t="shared" si="0"/>
        <v>4.0000000000000002E-4</v>
      </c>
      <c r="N20" s="10">
        <v>50</v>
      </c>
      <c r="O20" s="10">
        <f>2*N20</f>
        <v>100</v>
      </c>
      <c r="R20">
        <f t="shared" ref="R13:R43" si="8">M20*N20*$P$3*$Q$3</f>
        <v>10.799999999999999</v>
      </c>
      <c r="S20">
        <f t="shared" ref="S13:S43" si="9">M20*O20*$P$3*$Q$3</f>
        <v>21.599999999999998</v>
      </c>
      <c r="T20">
        <v>14</v>
      </c>
      <c r="U20">
        <v>28</v>
      </c>
      <c r="Y20">
        <f t="shared" ref="Y13:Y43" si="10">6*365*N20/E20</f>
        <v>43.8</v>
      </c>
      <c r="Z20">
        <f t="shared" ref="Z13:Z43" si="11">6*365*O20/E20</f>
        <v>87.6</v>
      </c>
      <c r="AA20">
        <f t="shared" ref="AA13:AA43" si="12">Y20*H20</f>
        <v>876</v>
      </c>
      <c r="AB20">
        <f t="shared" ref="AB13:AB43" si="13">Z20*H20</f>
        <v>1752</v>
      </c>
    </row>
    <row r="21" spans="2:28" x14ac:dyDescent="0.25">
      <c r="B21" s="12"/>
      <c r="C21" s="1" t="s">
        <v>10</v>
      </c>
      <c r="D21" s="1">
        <v>1</v>
      </c>
      <c r="E21" s="1">
        <v>2500</v>
      </c>
      <c r="F21" s="21">
        <f>$E$12/E21</f>
        <v>0.11483253588516745</v>
      </c>
      <c r="G21" s="1">
        <v>0.1</v>
      </c>
      <c r="H21" s="1">
        <v>10</v>
      </c>
      <c r="I21" s="1">
        <v>1</v>
      </c>
      <c r="J21" s="1"/>
      <c r="M21" s="10">
        <f t="shared" si="0"/>
        <v>4.0000000000000002E-4</v>
      </c>
      <c r="N21" s="10">
        <v>50</v>
      </c>
      <c r="O21" s="10">
        <f t="shared" ref="O21:O27" si="14">2*N21</f>
        <v>100</v>
      </c>
      <c r="R21">
        <f t="shared" si="8"/>
        <v>10.799999999999999</v>
      </c>
      <c r="S21">
        <f t="shared" si="9"/>
        <v>21.599999999999998</v>
      </c>
      <c r="T21">
        <v>14</v>
      </c>
      <c r="U21">
        <v>28</v>
      </c>
      <c r="Y21">
        <f t="shared" si="10"/>
        <v>43.8</v>
      </c>
      <c r="Z21">
        <f t="shared" si="11"/>
        <v>87.6</v>
      </c>
      <c r="AA21">
        <f t="shared" si="12"/>
        <v>438</v>
      </c>
      <c r="AB21">
        <f t="shared" si="13"/>
        <v>876</v>
      </c>
    </row>
    <row r="22" spans="2:28" x14ac:dyDescent="0.25">
      <c r="B22" s="11" t="s">
        <v>8</v>
      </c>
      <c r="C22" s="3" t="s">
        <v>11</v>
      </c>
      <c r="D22" s="3">
        <v>3</v>
      </c>
      <c r="E22" s="3">
        <v>4000</v>
      </c>
      <c r="F22" s="21">
        <f>$E$12/E22</f>
        <v>7.1770334928229665E-2</v>
      </c>
      <c r="G22" s="3">
        <v>1</v>
      </c>
      <c r="H22" s="3">
        <v>250</v>
      </c>
      <c r="I22" s="3">
        <v>170</v>
      </c>
      <c r="J22" s="3">
        <v>50</v>
      </c>
      <c r="M22" s="10">
        <f t="shared" si="0"/>
        <v>2.5000000000000001E-4</v>
      </c>
      <c r="N22" s="10">
        <v>150</v>
      </c>
      <c r="O22" s="10">
        <f t="shared" si="14"/>
        <v>300</v>
      </c>
      <c r="R22">
        <f t="shared" si="8"/>
        <v>20.249999999999996</v>
      </c>
      <c r="S22">
        <f t="shared" si="9"/>
        <v>40.499999999999993</v>
      </c>
      <c r="T22">
        <v>28</v>
      </c>
      <c r="U22">
        <v>55</v>
      </c>
      <c r="Y22">
        <f t="shared" si="10"/>
        <v>82.125</v>
      </c>
      <c r="Z22">
        <f t="shared" si="11"/>
        <v>164.25</v>
      </c>
      <c r="AA22">
        <f t="shared" si="12"/>
        <v>20531.25</v>
      </c>
      <c r="AB22">
        <f t="shared" si="13"/>
        <v>41062.5</v>
      </c>
    </row>
    <row r="23" spans="2:28" x14ac:dyDescent="0.25">
      <c r="B23" s="13"/>
      <c r="C23" s="4" t="s">
        <v>12</v>
      </c>
      <c r="D23" s="19">
        <v>1</v>
      </c>
      <c r="E23" s="4">
        <v>10000</v>
      </c>
      <c r="F23" s="21">
        <f>$E$12/E23</f>
        <v>2.8708133971291863E-2</v>
      </c>
      <c r="G23" s="19">
        <v>2</v>
      </c>
      <c r="H23" s="19">
        <v>50</v>
      </c>
      <c r="I23" s="4"/>
      <c r="J23" s="4"/>
      <c r="M23" s="10">
        <f t="shared" si="0"/>
        <v>1E-4</v>
      </c>
      <c r="N23" s="10">
        <v>50</v>
      </c>
      <c r="O23" s="10">
        <f t="shared" si="14"/>
        <v>100</v>
      </c>
      <c r="R23">
        <f t="shared" si="8"/>
        <v>2.6999999999999997</v>
      </c>
      <c r="S23">
        <f t="shared" si="9"/>
        <v>5.3999999999999995</v>
      </c>
      <c r="T23">
        <v>5</v>
      </c>
      <c r="U23">
        <v>8</v>
      </c>
      <c r="Y23">
        <f t="shared" si="10"/>
        <v>10.95</v>
      </c>
      <c r="Z23">
        <f t="shared" si="11"/>
        <v>21.9</v>
      </c>
      <c r="AA23">
        <f t="shared" si="12"/>
        <v>547.5</v>
      </c>
      <c r="AB23">
        <f t="shared" si="13"/>
        <v>1095</v>
      </c>
    </row>
    <row r="24" spans="2:28" x14ac:dyDescent="0.25">
      <c r="B24" s="13"/>
      <c r="C24" s="4" t="s">
        <v>13</v>
      </c>
      <c r="D24" s="19">
        <v>1</v>
      </c>
      <c r="E24" s="4">
        <v>2000</v>
      </c>
      <c r="F24" s="21">
        <f>$E$12/E24</f>
        <v>0.14354066985645933</v>
      </c>
      <c r="G24" s="19">
        <v>0.5</v>
      </c>
      <c r="H24" s="19">
        <v>20</v>
      </c>
      <c r="I24" s="4"/>
      <c r="J24" s="19">
        <v>60</v>
      </c>
      <c r="M24" s="10">
        <f t="shared" si="0"/>
        <v>5.0000000000000001E-4</v>
      </c>
      <c r="N24" s="10">
        <v>50</v>
      </c>
      <c r="O24" s="10">
        <f t="shared" si="14"/>
        <v>100</v>
      </c>
      <c r="R24">
        <f t="shared" si="8"/>
        <v>13.500000000000002</v>
      </c>
      <c r="S24">
        <f t="shared" si="9"/>
        <v>27.000000000000004</v>
      </c>
      <c r="T24">
        <v>18</v>
      </c>
      <c r="U24">
        <v>35</v>
      </c>
      <c r="Y24">
        <f t="shared" si="10"/>
        <v>54.75</v>
      </c>
      <c r="Z24">
        <f t="shared" si="11"/>
        <v>109.5</v>
      </c>
      <c r="AA24">
        <f t="shared" si="12"/>
        <v>1095</v>
      </c>
      <c r="AB24">
        <f t="shared" si="13"/>
        <v>2190</v>
      </c>
    </row>
    <row r="25" spans="2:28" x14ac:dyDescent="0.25">
      <c r="B25" s="12"/>
      <c r="C25" s="1" t="s">
        <v>14</v>
      </c>
      <c r="D25" s="1">
        <v>1</v>
      </c>
      <c r="E25" s="1">
        <v>3000</v>
      </c>
      <c r="F25" s="21">
        <f>$E$12/E25</f>
        <v>9.5693779904306206E-2</v>
      </c>
      <c r="G25" s="1">
        <v>0.5</v>
      </c>
      <c r="H25" s="1">
        <v>25</v>
      </c>
      <c r="I25" s="1">
        <v>5</v>
      </c>
      <c r="J25" s="1">
        <v>40</v>
      </c>
      <c r="M25" s="10">
        <f t="shared" si="0"/>
        <v>3.3333333333333332E-4</v>
      </c>
      <c r="N25" s="10">
        <v>50</v>
      </c>
      <c r="O25" s="10">
        <f t="shared" si="14"/>
        <v>100</v>
      </c>
      <c r="R25">
        <f t="shared" si="8"/>
        <v>9</v>
      </c>
      <c r="S25">
        <f t="shared" si="9"/>
        <v>18</v>
      </c>
      <c r="T25">
        <v>12</v>
      </c>
      <c r="U25">
        <v>24</v>
      </c>
      <c r="Y25">
        <f t="shared" si="10"/>
        <v>36.5</v>
      </c>
      <c r="Z25">
        <f t="shared" si="11"/>
        <v>73</v>
      </c>
      <c r="AA25">
        <f t="shared" si="12"/>
        <v>912.5</v>
      </c>
      <c r="AB25">
        <f t="shared" si="13"/>
        <v>1825</v>
      </c>
    </row>
    <row r="26" spans="2:28" x14ac:dyDescent="0.25">
      <c r="B26" s="11" t="s">
        <v>15</v>
      </c>
      <c r="C26" s="3" t="s">
        <v>16</v>
      </c>
      <c r="D26" s="3">
        <v>1</v>
      </c>
      <c r="E26" s="3">
        <v>2000</v>
      </c>
      <c r="F26" s="21">
        <f>$E$12/E26</f>
        <v>0.14354066985645933</v>
      </c>
      <c r="G26" s="3">
        <v>0.1</v>
      </c>
      <c r="H26" s="3">
        <v>5</v>
      </c>
      <c r="I26" s="3">
        <v>1</v>
      </c>
      <c r="J26" s="3"/>
      <c r="M26" s="10">
        <f t="shared" si="0"/>
        <v>5.0000000000000001E-4</v>
      </c>
      <c r="N26" s="10">
        <v>50</v>
      </c>
      <c r="O26" s="10">
        <f t="shared" si="14"/>
        <v>100</v>
      </c>
      <c r="R26">
        <f t="shared" si="8"/>
        <v>13.500000000000002</v>
      </c>
      <c r="S26">
        <f t="shared" si="9"/>
        <v>27.000000000000004</v>
      </c>
      <c r="T26">
        <v>17</v>
      </c>
      <c r="U26">
        <v>35</v>
      </c>
      <c r="Y26">
        <f t="shared" si="10"/>
        <v>54.75</v>
      </c>
      <c r="Z26">
        <f t="shared" si="11"/>
        <v>109.5</v>
      </c>
      <c r="AA26">
        <f t="shared" si="12"/>
        <v>273.75</v>
      </c>
      <c r="AB26">
        <f t="shared" si="13"/>
        <v>547.5</v>
      </c>
    </row>
    <row r="27" spans="2:28" x14ac:dyDescent="0.25">
      <c r="B27" s="12"/>
      <c r="C27" s="1" t="s">
        <v>17</v>
      </c>
      <c r="D27" s="1">
        <v>1</v>
      </c>
      <c r="E27" s="1">
        <v>2000</v>
      </c>
      <c r="F27" s="21">
        <f>$E$12/E27</f>
        <v>0.14354066985645933</v>
      </c>
      <c r="G27" s="1">
        <v>0.1</v>
      </c>
      <c r="H27" s="1">
        <v>5</v>
      </c>
      <c r="I27" s="1">
        <v>1</v>
      </c>
      <c r="J27" s="1"/>
      <c r="M27" s="10">
        <f t="shared" si="0"/>
        <v>5.0000000000000001E-4</v>
      </c>
      <c r="N27" s="10">
        <v>50</v>
      </c>
      <c r="O27" s="10">
        <f t="shared" si="14"/>
        <v>100</v>
      </c>
      <c r="R27">
        <f t="shared" si="8"/>
        <v>13.500000000000002</v>
      </c>
      <c r="S27">
        <f t="shared" si="9"/>
        <v>27.000000000000004</v>
      </c>
      <c r="T27">
        <v>17</v>
      </c>
      <c r="U27">
        <v>35</v>
      </c>
      <c r="Y27">
        <f t="shared" si="10"/>
        <v>54.75</v>
      </c>
      <c r="Z27">
        <f t="shared" si="11"/>
        <v>109.5</v>
      </c>
      <c r="AA27">
        <f t="shared" si="12"/>
        <v>273.75</v>
      </c>
      <c r="AB27">
        <f t="shared" si="13"/>
        <v>547.5</v>
      </c>
    </row>
    <row r="28" spans="2:28" x14ac:dyDescent="0.25">
      <c r="B28" s="2"/>
      <c r="C28" s="2" t="s">
        <v>19</v>
      </c>
      <c r="D28" s="2"/>
      <c r="E28" s="2">
        <f>1/(1/E20 + 1/E21+3/E22+1/E23+1/E24+1/E25+1/E26+1/E27)</f>
        <v>287.08133971291863</v>
      </c>
      <c r="F28" s="22">
        <v>1</v>
      </c>
      <c r="G28" s="2">
        <f>F20*G20+F21*G21+F22*G22+F23*G23+F24*G24+F25*G25+F26*G26+F27*G27</f>
        <v>0.30047846889952151</v>
      </c>
      <c r="H28" s="2">
        <f>SUM(H20:H27)</f>
        <v>385</v>
      </c>
      <c r="I28" s="2">
        <f>SUM(I20:I27)</f>
        <v>183</v>
      </c>
      <c r="J28" s="2">
        <f>MAX(J20:J27)</f>
        <v>60</v>
      </c>
      <c r="M28" s="10">
        <f t="shared" si="0"/>
        <v>3.4833333333333335E-3</v>
      </c>
      <c r="Z28" t="s">
        <v>108</v>
      </c>
      <c r="AA28">
        <f>SUM(AA20:AA27)</f>
        <v>24947.75</v>
      </c>
      <c r="AB28">
        <f>SUM(AB20:AB27)</f>
        <v>49895.5</v>
      </c>
    </row>
    <row r="29" spans="2:28" x14ac:dyDescent="0.25">
      <c r="B29" s="15" t="s">
        <v>31</v>
      </c>
      <c r="C29" s="15"/>
      <c r="D29" s="15"/>
      <c r="E29" s="15"/>
      <c r="F29" s="15"/>
      <c r="G29" s="15"/>
      <c r="H29" s="15"/>
      <c r="I29" s="15"/>
      <c r="J29" s="15"/>
    </row>
    <row r="34" spans="2:28" x14ac:dyDescent="0.25">
      <c r="B34" s="15" t="s">
        <v>32</v>
      </c>
      <c r="C34" s="15"/>
      <c r="D34" s="15"/>
      <c r="E34" s="15"/>
      <c r="F34" s="15"/>
      <c r="G34" s="15"/>
      <c r="H34" s="15"/>
      <c r="I34" s="15"/>
      <c r="J34" s="15"/>
    </row>
    <row r="35" spans="2:28" ht="30" x14ac:dyDescent="0.25">
      <c r="B35" s="14" t="s">
        <v>5</v>
      </c>
      <c r="C35" s="14" t="s">
        <v>7</v>
      </c>
      <c r="D35" s="14" t="s">
        <v>23</v>
      </c>
      <c r="E35" s="14" t="s">
        <v>21</v>
      </c>
      <c r="F35" s="20" t="s">
        <v>24</v>
      </c>
      <c r="G35" s="14" t="s">
        <v>25</v>
      </c>
      <c r="H35" s="14" t="s">
        <v>26</v>
      </c>
      <c r="I35" s="14" t="s">
        <v>27</v>
      </c>
      <c r="J35" s="14" t="s">
        <v>28</v>
      </c>
    </row>
    <row r="36" spans="2:28" x14ac:dyDescent="0.25">
      <c r="B36" s="11" t="s">
        <v>6</v>
      </c>
      <c r="C36" s="3" t="s">
        <v>9</v>
      </c>
      <c r="D36" s="3">
        <v>1</v>
      </c>
      <c r="E36" s="3">
        <v>2500</v>
      </c>
      <c r="F36" s="21">
        <f>$E$12/E36</f>
        <v>0.11483253588516745</v>
      </c>
      <c r="G36" s="3">
        <v>0.1</v>
      </c>
      <c r="H36" s="3">
        <v>20</v>
      </c>
      <c r="I36" s="3">
        <v>5</v>
      </c>
      <c r="J36" s="3"/>
      <c r="M36" s="10">
        <f t="shared" si="0"/>
        <v>4.0000000000000002E-4</v>
      </c>
      <c r="N36" s="10">
        <v>50</v>
      </c>
      <c r="O36" s="10">
        <f>2*N36</f>
        <v>100</v>
      </c>
      <c r="R36">
        <f t="shared" si="8"/>
        <v>10.799999999999999</v>
      </c>
      <c r="S36">
        <f t="shared" si="9"/>
        <v>21.599999999999998</v>
      </c>
      <c r="T36">
        <v>14</v>
      </c>
      <c r="U36">
        <v>28</v>
      </c>
      <c r="Y36">
        <f t="shared" si="10"/>
        <v>43.8</v>
      </c>
      <c r="Z36">
        <f t="shared" si="11"/>
        <v>87.6</v>
      </c>
      <c r="AA36">
        <f t="shared" si="12"/>
        <v>876</v>
      </c>
      <c r="AB36">
        <f t="shared" si="13"/>
        <v>1752</v>
      </c>
    </row>
    <row r="37" spans="2:28" x14ac:dyDescent="0.25">
      <c r="B37" s="12"/>
      <c r="C37" s="1" t="s">
        <v>10</v>
      </c>
      <c r="D37" s="1">
        <v>1</v>
      </c>
      <c r="E37" s="1">
        <v>2500</v>
      </c>
      <c r="F37" s="21">
        <f>$E$12/E37</f>
        <v>0.11483253588516745</v>
      </c>
      <c r="G37" s="1">
        <v>0.1</v>
      </c>
      <c r="H37" s="1">
        <v>10</v>
      </c>
      <c r="I37" s="1">
        <v>1</v>
      </c>
      <c r="J37" s="1"/>
      <c r="M37" s="10">
        <f t="shared" si="0"/>
        <v>4.0000000000000002E-4</v>
      </c>
      <c r="N37" s="10">
        <v>50</v>
      </c>
      <c r="O37" s="10">
        <f t="shared" ref="O37:O43" si="15">2*N37</f>
        <v>100</v>
      </c>
      <c r="R37">
        <f t="shared" si="8"/>
        <v>10.799999999999999</v>
      </c>
      <c r="S37">
        <f t="shared" si="9"/>
        <v>21.599999999999998</v>
      </c>
      <c r="T37">
        <v>14</v>
      </c>
      <c r="U37">
        <v>28</v>
      </c>
      <c r="Y37">
        <f t="shared" si="10"/>
        <v>43.8</v>
      </c>
      <c r="Z37">
        <f t="shared" si="11"/>
        <v>87.6</v>
      </c>
      <c r="AA37">
        <f t="shared" si="12"/>
        <v>438</v>
      </c>
      <c r="AB37">
        <f t="shared" si="13"/>
        <v>876</v>
      </c>
    </row>
    <row r="38" spans="2:28" x14ac:dyDescent="0.25">
      <c r="B38" s="11" t="s">
        <v>8</v>
      </c>
      <c r="C38" s="3" t="s">
        <v>11</v>
      </c>
      <c r="D38" s="3">
        <v>3</v>
      </c>
      <c r="E38" s="3">
        <v>2000</v>
      </c>
      <c r="F38" s="21">
        <f>$E$12/E38</f>
        <v>0.14354066985645933</v>
      </c>
      <c r="G38" s="3">
        <v>1</v>
      </c>
      <c r="H38" s="3">
        <v>150</v>
      </c>
      <c r="I38" s="3">
        <v>140</v>
      </c>
      <c r="J38" s="3">
        <v>65</v>
      </c>
      <c r="M38" s="10">
        <f t="shared" si="0"/>
        <v>5.0000000000000001E-4</v>
      </c>
      <c r="N38" s="10">
        <v>150</v>
      </c>
      <c r="O38" s="10">
        <f t="shared" si="15"/>
        <v>300</v>
      </c>
      <c r="R38">
        <f t="shared" si="8"/>
        <v>40.499999999999993</v>
      </c>
      <c r="S38">
        <f t="shared" si="9"/>
        <v>80.999999999999986</v>
      </c>
      <c r="T38">
        <v>50</v>
      </c>
      <c r="U38">
        <v>80</v>
      </c>
      <c r="Y38">
        <f t="shared" si="10"/>
        <v>164.25</v>
      </c>
      <c r="Z38">
        <f t="shared" si="11"/>
        <v>328.5</v>
      </c>
      <c r="AA38">
        <f t="shared" si="12"/>
        <v>24637.5</v>
      </c>
      <c r="AB38">
        <f t="shared" si="13"/>
        <v>49275</v>
      </c>
    </row>
    <row r="39" spans="2:28" x14ac:dyDescent="0.25">
      <c r="B39" s="13"/>
      <c r="C39" s="4" t="s">
        <v>12</v>
      </c>
      <c r="D39" s="19">
        <v>1</v>
      </c>
      <c r="E39" s="4">
        <v>10000</v>
      </c>
      <c r="F39" s="21">
        <f>$E$12/E39</f>
        <v>2.8708133971291863E-2</v>
      </c>
      <c r="G39" s="19">
        <v>2</v>
      </c>
      <c r="H39" s="19">
        <v>100</v>
      </c>
      <c r="I39" s="4" t="s">
        <v>34</v>
      </c>
      <c r="J39" s="4"/>
      <c r="M39" s="10">
        <f t="shared" si="0"/>
        <v>1E-4</v>
      </c>
      <c r="N39" s="10">
        <v>50</v>
      </c>
      <c r="O39" s="10">
        <f t="shared" si="15"/>
        <v>100</v>
      </c>
      <c r="R39">
        <f t="shared" si="8"/>
        <v>2.6999999999999997</v>
      </c>
      <c r="S39">
        <f t="shared" si="9"/>
        <v>5.3999999999999995</v>
      </c>
      <c r="T39">
        <v>5</v>
      </c>
      <c r="U39">
        <v>8</v>
      </c>
      <c r="Y39">
        <f t="shared" si="10"/>
        <v>10.95</v>
      </c>
      <c r="Z39">
        <f t="shared" si="11"/>
        <v>21.9</v>
      </c>
      <c r="AA39">
        <f t="shared" si="12"/>
        <v>1095</v>
      </c>
      <c r="AB39">
        <f t="shared" si="13"/>
        <v>2190</v>
      </c>
    </row>
    <row r="40" spans="2:28" x14ac:dyDescent="0.25">
      <c r="B40" s="13"/>
      <c r="C40" s="4" t="s">
        <v>13</v>
      </c>
      <c r="D40" s="19">
        <v>1</v>
      </c>
      <c r="E40" s="4">
        <v>1000</v>
      </c>
      <c r="F40" s="21">
        <f>$E$12/E40</f>
        <v>0.28708133971291866</v>
      </c>
      <c r="G40" s="19">
        <v>0.5</v>
      </c>
      <c r="H40" s="19">
        <v>20</v>
      </c>
      <c r="I40" s="4"/>
      <c r="J40" s="19">
        <v>60</v>
      </c>
      <c r="M40" s="10">
        <f t="shared" si="0"/>
        <v>1E-3</v>
      </c>
      <c r="N40" s="10">
        <v>50</v>
      </c>
      <c r="O40" s="10">
        <f t="shared" si="15"/>
        <v>100</v>
      </c>
      <c r="R40">
        <f t="shared" si="8"/>
        <v>27.000000000000004</v>
      </c>
      <c r="S40">
        <f t="shared" si="9"/>
        <v>54.000000000000007</v>
      </c>
      <c r="T40">
        <v>35</v>
      </c>
      <c r="U40">
        <v>55</v>
      </c>
      <c r="Y40">
        <f t="shared" si="10"/>
        <v>109.5</v>
      </c>
      <c r="Z40">
        <f t="shared" si="11"/>
        <v>219</v>
      </c>
      <c r="AA40">
        <f t="shared" si="12"/>
        <v>2190</v>
      </c>
      <c r="AB40">
        <f t="shared" si="13"/>
        <v>4380</v>
      </c>
    </row>
    <row r="41" spans="2:28" x14ac:dyDescent="0.25">
      <c r="B41" s="12"/>
      <c r="C41" s="1" t="s">
        <v>14</v>
      </c>
      <c r="D41" s="1">
        <v>1</v>
      </c>
      <c r="E41" s="1">
        <v>3000</v>
      </c>
      <c r="F41" s="21">
        <f>$E$12/E41</f>
        <v>9.5693779904306206E-2</v>
      </c>
      <c r="G41" s="1">
        <v>0.5</v>
      </c>
      <c r="H41" s="1">
        <v>25</v>
      </c>
      <c r="I41" s="1">
        <v>5</v>
      </c>
      <c r="J41" s="1">
        <v>40</v>
      </c>
      <c r="M41" s="10">
        <f t="shared" si="0"/>
        <v>3.3333333333333332E-4</v>
      </c>
      <c r="N41" s="10">
        <v>50</v>
      </c>
      <c r="O41" s="10">
        <f t="shared" si="15"/>
        <v>100</v>
      </c>
      <c r="R41">
        <f t="shared" si="8"/>
        <v>9</v>
      </c>
      <c r="S41">
        <f t="shared" si="9"/>
        <v>18</v>
      </c>
      <c r="T41">
        <v>12</v>
      </c>
      <c r="U41">
        <v>24</v>
      </c>
      <c r="Y41">
        <f t="shared" si="10"/>
        <v>36.5</v>
      </c>
      <c r="Z41">
        <f t="shared" si="11"/>
        <v>73</v>
      </c>
      <c r="AA41">
        <f t="shared" si="12"/>
        <v>912.5</v>
      </c>
      <c r="AB41">
        <f t="shared" si="13"/>
        <v>1825</v>
      </c>
    </row>
    <row r="42" spans="2:28" x14ac:dyDescent="0.25">
      <c r="B42" s="11" t="s">
        <v>15</v>
      </c>
      <c r="C42" s="3" t="s">
        <v>16</v>
      </c>
      <c r="D42" s="3">
        <v>1</v>
      </c>
      <c r="E42" s="3">
        <v>2000</v>
      </c>
      <c r="F42" s="21">
        <f>$E$12/E42</f>
        <v>0.14354066985645933</v>
      </c>
      <c r="G42" s="3">
        <v>0.1</v>
      </c>
      <c r="H42" s="3">
        <v>5</v>
      </c>
      <c r="I42" s="3">
        <v>1</v>
      </c>
      <c r="J42" s="3"/>
      <c r="M42" s="10">
        <f t="shared" si="0"/>
        <v>5.0000000000000001E-4</v>
      </c>
      <c r="N42" s="10">
        <v>50</v>
      </c>
      <c r="O42" s="10">
        <f t="shared" si="15"/>
        <v>100</v>
      </c>
      <c r="R42">
        <f t="shared" si="8"/>
        <v>13.500000000000002</v>
      </c>
      <c r="S42">
        <f t="shared" si="9"/>
        <v>27.000000000000004</v>
      </c>
      <c r="T42">
        <v>17</v>
      </c>
      <c r="U42">
        <v>35</v>
      </c>
      <c r="Y42">
        <f t="shared" si="10"/>
        <v>54.75</v>
      </c>
      <c r="Z42">
        <f t="shared" si="11"/>
        <v>109.5</v>
      </c>
      <c r="AA42">
        <f t="shared" si="12"/>
        <v>273.75</v>
      </c>
      <c r="AB42">
        <f t="shared" si="13"/>
        <v>547.5</v>
      </c>
    </row>
    <row r="43" spans="2:28" x14ac:dyDescent="0.25">
      <c r="B43" s="12"/>
      <c r="C43" s="1" t="s">
        <v>17</v>
      </c>
      <c r="D43" s="1">
        <v>1</v>
      </c>
      <c r="E43" s="1">
        <v>2000</v>
      </c>
      <c r="F43" s="21">
        <f>$E$12/E43</f>
        <v>0.14354066985645933</v>
      </c>
      <c r="G43" s="1">
        <v>0.1</v>
      </c>
      <c r="H43" s="1">
        <v>5</v>
      </c>
      <c r="I43" s="1">
        <v>1</v>
      </c>
      <c r="J43" s="1"/>
      <c r="M43" s="10">
        <f t="shared" si="0"/>
        <v>5.0000000000000001E-4</v>
      </c>
      <c r="N43" s="10">
        <v>50</v>
      </c>
      <c r="O43" s="10">
        <f t="shared" si="15"/>
        <v>100</v>
      </c>
      <c r="R43">
        <f t="shared" si="8"/>
        <v>13.500000000000002</v>
      </c>
      <c r="S43">
        <f t="shared" si="9"/>
        <v>27.000000000000004</v>
      </c>
      <c r="T43">
        <v>17</v>
      </c>
      <c r="U43">
        <v>35</v>
      </c>
      <c r="Y43">
        <f t="shared" si="10"/>
        <v>54.75</v>
      </c>
      <c r="Z43">
        <f t="shared" si="11"/>
        <v>109.5</v>
      </c>
      <c r="AA43">
        <f t="shared" si="12"/>
        <v>273.75</v>
      </c>
      <c r="AB43">
        <f t="shared" si="13"/>
        <v>547.5</v>
      </c>
    </row>
    <row r="44" spans="2:28" x14ac:dyDescent="0.25">
      <c r="B44" s="2"/>
      <c r="C44" s="2" t="s">
        <v>19</v>
      </c>
      <c r="D44" s="2"/>
      <c r="E44" s="2">
        <f>1/(1/E36 + 1/E37+3/E38+1/E39+1/E40+1/E41+1/E42+1/E43)</f>
        <v>211.26760563380279</v>
      </c>
      <c r="F44" s="22">
        <v>1</v>
      </c>
      <c r="G44" s="2">
        <f>F36*G36+F37*G37+F38*G38+F39*G39+F40*G40+F41*G41+F42*G42+F43*G43</f>
        <v>0.44401913875598087</v>
      </c>
      <c r="H44" s="2">
        <f>SUM(H36:H43)</f>
        <v>335</v>
      </c>
      <c r="I44" s="2">
        <f>SUM(I36:I43)</f>
        <v>153</v>
      </c>
      <c r="J44" s="2">
        <f>MAX(J36:J43)</f>
        <v>65</v>
      </c>
      <c r="Z44" t="s">
        <v>108</v>
      </c>
      <c r="AA44">
        <f>SUM(AA36:AA43)</f>
        <v>30696.5</v>
      </c>
      <c r="AB44">
        <f>SUM(AB36:AB43)</f>
        <v>61393</v>
      </c>
    </row>
    <row r="45" spans="2:28" x14ac:dyDescent="0.25">
      <c r="B45" s="15" t="s">
        <v>33</v>
      </c>
      <c r="C45" s="15"/>
      <c r="D45" s="15"/>
      <c r="E45" s="15"/>
      <c r="F45" s="15"/>
      <c r="G45" s="15"/>
      <c r="H45" s="15"/>
      <c r="I45" s="15"/>
      <c r="J45" s="15"/>
    </row>
  </sheetData>
  <mergeCells count="17">
    <mergeCell ref="X1:AD1"/>
    <mergeCell ref="B34:J34"/>
    <mergeCell ref="B36:B37"/>
    <mergeCell ref="B38:B41"/>
    <mergeCell ref="B42:B43"/>
    <mergeCell ref="B45:J45"/>
    <mergeCell ref="B18:J18"/>
    <mergeCell ref="B20:B21"/>
    <mergeCell ref="B22:B25"/>
    <mergeCell ref="B26:B27"/>
    <mergeCell ref="B29:J29"/>
    <mergeCell ref="B10:B11"/>
    <mergeCell ref="B15:B16"/>
    <mergeCell ref="B4:B5"/>
    <mergeCell ref="B2:J2"/>
    <mergeCell ref="B13:J13"/>
    <mergeCell ref="B6:B9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BA71-5C15-49EE-8CDC-5581672A0C0B}">
  <dimension ref="A1:AA65"/>
  <sheetViews>
    <sheetView topLeftCell="A43" workbookViewId="0">
      <selection activeCell="D73" sqref="D73"/>
    </sheetView>
  </sheetViews>
  <sheetFormatPr defaultRowHeight="15" x14ac:dyDescent="0.25"/>
  <cols>
    <col min="1" max="1" width="41.140625" customWidth="1"/>
    <col min="3" max="3" width="14.85546875" customWidth="1"/>
    <col min="4" max="4" width="62.85546875" customWidth="1"/>
    <col min="5" max="5" width="17.85546875" customWidth="1"/>
    <col min="7" max="7" width="18.85546875" customWidth="1"/>
    <col min="8" max="8" width="18.42578125" customWidth="1"/>
    <col min="10" max="10" width="31.42578125" customWidth="1"/>
    <col min="11" max="11" width="13" customWidth="1"/>
    <col min="12" max="12" width="14.140625" customWidth="1"/>
    <col min="13" max="13" width="47.140625" customWidth="1"/>
    <col min="20" max="20" width="25" customWidth="1"/>
    <col min="21" max="21" width="16" customWidth="1"/>
    <col min="22" max="22" width="19.7109375" customWidth="1"/>
    <col min="23" max="23" width="49.28515625" customWidth="1"/>
  </cols>
  <sheetData>
    <row r="1" spans="1:9" x14ac:dyDescent="0.25">
      <c r="A1" s="23" t="s">
        <v>51</v>
      </c>
      <c r="B1" s="23"/>
      <c r="C1" s="23"/>
      <c r="D1" s="23"/>
      <c r="E1" s="10"/>
    </row>
    <row r="2" spans="1:9" x14ac:dyDescent="0.25">
      <c r="A2" s="24" t="s">
        <v>35</v>
      </c>
      <c r="B2" s="24" t="s">
        <v>36</v>
      </c>
      <c r="C2" s="24" t="s">
        <v>42</v>
      </c>
      <c r="D2" s="24" t="s">
        <v>38</v>
      </c>
      <c r="E2" s="10"/>
    </row>
    <row r="3" spans="1:9" ht="55.5" customHeight="1" x14ac:dyDescent="0.25">
      <c r="A3" s="25" t="s">
        <v>40</v>
      </c>
      <c r="B3" s="25" t="s">
        <v>22</v>
      </c>
      <c r="C3" s="24">
        <v>20</v>
      </c>
      <c r="D3" s="26" t="s">
        <v>39</v>
      </c>
      <c r="E3" s="10"/>
    </row>
    <row r="4" spans="1:9" ht="89.25" customHeight="1" x14ac:dyDescent="0.25">
      <c r="A4" s="24" t="s">
        <v>41</v>
      </c>
      <c r="B4" s="24">
        <v>54</v>
      </c>
      <c r="C4" s="24">
        <v>19</v>
      </c>
      <c r="D4" s="26" t="s">
        <v>43</v>
      </c>
      <c r="E4" s="10"/>
      <c r="G4" s="4"/>
      <c r="H4" s="4"/>
      <c r="I4" s="4"/>
    </row>
    <row r="5" spans="1:9" x14ac:dyDescent="0.25">
      <c r="A5" s="25" t="s">
        <v>19</v>
      </c>
      <c r="B5" s="28">
        <f>SUM(B3:B4)</f>
        <v>54</v>
      </c>
      <c r="C5" s="28">
        <f>SUM(C3:C4)</f>
        <v>39</v>
      </c>
      <c r="D5" s="28"/>
      <c r="G5" s="4"/>
      <c r="H5" s="4"/>
      <c r="I5" s="4"/>
    </row>
    <row r="6" spans="1:9" x14ac:dyDescent="0.25">
      <c r="A6" s="27" t="s">
        <v>44</v>
      </c>
      <c r="B6" t="s">
        <v>18</v>
      </c>
      <c r="C6" t="s">
        <v>45</v>
      </c>
      <c r="D6" t="s">
        <v>46</v>
      </c>
      <c r="E6" t="s">
        <v>47</v>
      </c>
      <c r="F6" t="s">
        <v>48</v>
      </c>
      <c r="G6" s="4" t="s">
        <v>49</v>
      </c>
      <c r="H6" s="19" t="s">
        <v>50</v>
      </c>
      <c r="I6" s="4"/>
    </row>
    <row r="7" spans="1:9" x14ac:dyDescent="0.25">
      <c r="B7">
        <v>2500</v>
      </c>
      <c r="C7">
        <v>0.3</v>
      </c>
      <c r="D7">
        <v>3</v>
      </c>
      <c r="E7">
        <v>6</v>
      </c>
      <c r="F7">
        <v>365</v>
      </c>
      <c r="G7">
        <f>(E7*F7/B7*C7+1)*15</f>
        <v>18.942</v>
      </c>
      <c r="H7">
        <f>(E7*F7/B7*D7+1)*15</f>
        <v>54.42</v>
      </c>
    </row>
    <row r="9" spans="1:9" x14ac:dyDescent="0.25">
      <c r="A9" s="23" t="s">
        <v>52</v>
      </c>
      <c r="B9" s="23"/>
      <c r="C9" s="23"/>
      <c r="D9" s="23"/>
      <c r="E9" s="10"/>
    </row>
    <row r="10" spans="1:9" x14ac:dyDescent="0.25">
      <c r="A10" s="24" t="s">
        <v>35</v>
      </c>
      <c r="B10" s="24" t="s">
        <v>36</v>
      </c>
      <c r="C10" s="24" t="s">
        <v>42</v>
      </c>
      <c r="D10" s="24" t="s">
        <v>38</v>
      </c>
      <c r="E10" s="10"/>
    </row>
    <row r="11" spans="1:9" ht="45" x14ac:dyDescent="0.25">
      <c r="A11" s="25" t="s">
        <v>40</v>
      </c>
      <c r="B11" s="25" t="s">
        <v>22</v>
      </c>
      <c r="C11" s="24">
        <v>10</v>
      </c>
      <c r="D11" s="26" t="s">
        <v>39</v>
      </c>
      <c r="E11" s="10"/>
    </row>
    <row r="12" spans="1:9" ht="90" x14ac:dyDescent="0.25">
      <c r="A12" s="24" t="s">
        <v>41</v>
      </c>
      <c r="B12" s="24">
        <v>54</v>
      </c>
      <c r="C12" s="24">
        <v>19</v>
      </c>
      <c r="D12" s="26" t="s">
        <v>43</v>
      </c>
      <c r="E12" s="10"/>
      <c r="G12" s="4"/>
      <c r="H12" s="4"/>
    </row>
    <row r="13" spans="1:9" x14ac:dyDescent="0.25">
      <c r="A13" s="24" t="s">
        <v>55</v>
      </c>
      <c r="B13" s="24">
        <v>5</v>
      </c>
      <c r="C13" s="24" t="s">
        <v>22</v>
      </c>
      <c r="D13" s="26"/>
      <c r="E13" s="10"/>
      <c r="G13" s="4"/>
      <c r="H13" s="4"/>
    </row>
    <row r="14" spans="1:9" x14ac:dyDescent="0.25">
      <c r="A14" s="25" t="s">
        <v>19</v>
      </c>
      <c r="B14" s="29">
        <f>SUM(B11:B13)</f>
        <v>59</v>
      </c>
      <c r="C14" s="29">
        <f>SUM(C11:C13)</f>
        <v>29</v>
      </c>
      <c r="D14" s="29"/>
      <c r="G14" s="4"/>
      <c r="H14" s="4"/>
    </row>
    <row r="15" spans="1:9" x14ac:dyDescent="0.25">
      <c r="A15" s="27" t="s">
        <v>44</v>
      </c>
      <c r="B15" t="s">
        <v>18</v>
      </c>
      <c r="C15" t="s">
        <v>45</v>
      </c>
      <c r="D15" t="s">
        <v>46</v>
      </c>
      <c r="E15" t="s">
        <v>47</v>
      </c>
      <c r="F15" t="s">
        <v>48</v>
      </c>
      <c r="G15" s="4" t="s">
        <v>49</v>
      </c>
      <c r="H15" s="19" t="s">
        <v>50</v>
      </c>
    </row>
    <row r="16" spans="1:9" x14ac:dyDescent="0.25">
      <c r="B16">
        <v>2500</v>
      </c>
      <c r="C16">
        <v>0.3</v>
      </c>
      <c r="D16">
        <v>3</v>
      </c>
      <c r="E16">
        <v>6</v>
      </c>
      <c r="F16">
        <v>365</v>
      </c>
      <c r="G16">
        <f>(E16*F16/B16*C16+1)*15</f>
        <v>18.942</v>
      </c>
      <c r="H16">
        <f>(E16*F16/B16*D16+1)*15</f>
        <v>54.42</v>
      </c>
    </row>
    <row r="18" spans="1:27" x14ac:dyDescent="0.25">
      <c r="A18" s="23" t="s">
        <v>57</v>
      </c>
      <c r="B18" s="23"/>
      <c r="C18" s="23"/>
      <c r="D18" s="23"/>
      <c r="E18" s="10"/>
      <c r="J18" s="23" t="s">
        <v>58</v>
      </c>
      <c r="K18" s="23"/>
      <c r="L18" s="23"/>
      <c r="M18" s="23"/>
      <c r="N18" s="10"/>
      <c r="T18" s="23" t="s">
        <v>59</v>
      </c>
      <c r="U18" s="23"/>
      <c r="V18" s="23"/>
      <c r="W18" s="23"/>
      <c r="X18" s="10"/>
    </row>
    <row r="19" spans="1:27" x14ac:dyDescent="0.25">
      <c r="A19" s="24" t="s">
        <v>35</v>
      </c>
      <c r="B19" s="24" t="s">
        <v>36</v>
      </c>
      <c r="C19" s="24" t="s">
        <v>42</v>
      </c>
      <c r="D19" s="24" t="s">
        <v>38</v>
      </c>
      <c r="E19" s="10"/>
      <c r="J19" s="24" t="s">
        <v>35</v>
      </c>
      <c r="K19" s="24" t="s">
        <v>36</v>
      </c>
      <c r="L19" s="24" t="s">
        <v>42</v>
      </c>
      <c r="M19" s="24" t="s">
        <v>38</v>
      </c>
      <c r="N19" s="10"/>
      <c r="T19" s="24" t="s">
        <v>35</v>
      </c>
      <c r="U19" s="24" t="s">
        <v>36</v>
      </c>
      <c r="V19" s="24" t="s">
        <v>42</v>
      </c>
      <c r="W19" s="24" t="s">
        <v>38</v>
      </c>
      <c r="X19" s="10"/>
    </row>
    <row r="20" spans="1:27" ht="90" x14ac:dyDescent="0.25">
      <c r="A20" s="25" t="s">
        <v>40</v>
      </c>
      <c r="B20" s="25" t="s">
        <v>22</v>
      </c>
      <c r="C20" s="24">
        <v>250</v>
      </c>
      <c r="D20" s="26" t="s">
        <v>39</v>
      </c>
      <c r="E20" s="10"/>
      <c r="J20" s="25" t="s">
        <v>40</v>
      </c>
      <c r="K20" s="25" t="s">
        <v>22</v>
      </c>
      <c r="L20" s="24">
        <v>250</v>
      </c>
      <c r="M20" s="26" t="s">
        <v>39</v>
      </c>
      <c r="N20" s="10"/>
      <c r="T20" s="25" t="s">
        <v>40</v>
      </c>
      <c r="U20" s="25" t="s">
        <v>22</v>
      </c>
      <c r="V20" s="24">
        <v>250</v>
      </c>
      <c r="W20" s="26" t="s">
        <v>39</v>
      </c>
      <c r="X20" s="10"/>
    </row>
    <row r="21" spans="1:27" ht="99.75" customHeight="1" x14ac:dyDescent="0.25">
      <c r="A21" s="24" t="s">
        <v>41</v>
      </c>
      <c r="B21" s="24">
        <v>48</v>
      </c>
      <c r="C21" s="24">
        <v>32</v>
      </c>
      <c r="D21" s="26" t="s">
        <v>54</v>
      </c>
      <c r="E21" s="10"/>
      <c r="G21" s="4"/>
      <c r="H21" s="4"/>
      <c r="J21" s="24" t="s">
        <v>41</v>
      </c>
      <c r="K21" s="24">
        <v>40</v>
      </c>
      <c r="L21" s="24">
        <v>23</v>
      </c>
      <c r="M21" s="26" t="s">
        <v>53</v>
      </c>
      <c r="N21" s="10"/>
      <c r="P21" s="4"/>
      <c r="Q21" s="4"/>
      <c r="T21" s="24" t="s">
        <v>41</v>
      </c>
      <c r="U21" s="24">
        <v>65</v>
      </c>
      <c r="V21" s="24">
        <v>32</v>
      </c>
      <c r="W21" s="26" t="s">
        <v>53</v>
      </c>
      <c r="X21" s="10"/>
      <c r="Z21" s="4"/>
      <c r="AA21" s="4"/>
    </row>
    <row r="22" spans="1:27" x14ac:dyDescent="0.25">
      <c r="A22" s="24" t="s">
        <v>56</v>
      </c>
      <c r="B22" s="24">
        <v>50</v>
      </c>
      <c r="C22" s="24" t="s">
        <v>22</v>
      </c>
      <c r="D22" s="26"/>
      <c r="E22" s="10"/>
      <c r="G22" s="4"/>
      <c r="H22" s="4"/>
      <c r="J22" s="24" t="s">
        <v>56</v>
      </c>
      <c r="K22" s="24">
        <v>50</v>
      </c>
      <c r="L22" s="24" t="s">
        <v>22</v>
      </c>
      <c r="M22" s="26"/>
      <c r="N22" s="10"/>
      <c r="P22" s="4"/>
      <c r="Q22" s="4"/>
      <c r="T22" s="24" t="s">
        <v>56</v>
      </c>
      <c r="U22" s="24">
        <v>50</v>
      </c>
      <c r="V22" s="24" t="s">
        <v>22</v>
      </c>
      <c r="W22" s="26"/>
      <c r="X22" s="10"/>
      <c r="Z22" s="4"/>
      <c r="AA22" s="4"/>
    </row>
    <row r="23" spans="1:27" x14ac:dyDescent="0.25">
      <c r="A23" s="25" t="s">
        <v>19</v>
      </c>
      <c r="B23" s="29">
        <f>SUM(B20:B20:B22)</f>
        <v>98</v>
      </c>
      <c r="C23" s="29">
        <f>SUM(C20:C22)</f>
        <v>282</v>
      </c>
      <c r="D23" s="29"/>
      <c r="E23" s="7"/>
      <c r="G23" s="4"/>
      <c r="H23" s="4"/>
      <c r="J23" s="25" t="s">
        <v>19</v>
      </c>
      <c r="K23" s="29">
        <f>SUM(K20:K20:K22)</f>
        <v>90</v>
      </c>
      <c r="L23" s="29">
        <f>SUM(L20:L22)</f>
        <v>273</v>
      </c>
      <c r="M23" s="29"/>
      <c r="N23" s="7"/>
      <c r="P23" s="4"/>
      <c r="Q23" s="4"/>
      <c r="T23" s="25" t="s">
        <v>19</v>
      </c>
      <c r="U23" s="29">
        <f>SUM(U20:U20:U22)</f>
        <v>115</v>
      </c>
      <c r="V23" s="29">
        <f>SUM(V20:V22)</f>
        <v>282</v>
      </c>
      <c r="W23" s="29"/>
      <c r="X23" s="7"/>
      <c r="Z23" s="4"/>
      <c r="AA23" s="4"/>
    </row>
    <row r="24" spans="1:27" x14ac:dyDescent="0.25">
      <c r="A24" s="27" t="s">
        <v>44</v>
      </c>
      <c r="B24" t="s">
        <v>18</v>
      </c>
      <c r="C24" t="s">
        <v>45</v>
      </c>
      <c r="D24" t="s">
        <v>46</v>
      </c>
      <c r="E24" t="s">
        <v>47</v>
      </c>
      <c r="F24" t="s">
        <v>48</v>
      </c>
      <c r="G24" s="4" t="s">
        <v>50</v>
      </c>
      <c r="H24" s="19" t="s">
        <v>49</v>
      </c>
      <c r="J24" s="27" t="s">
        <v>44</v>
      </c>
      <c r="K24" t="s">
        <v>18</v>
      </c>
      <c r="L24" t="s">
        <v>45</v>
      </c>
      <c r="M24" t="s">
        <v>46</v>
      </c>
      <c r="N24" t="s">
        <v>47</v>
      </c>
      <c r="O24" t="s">
        <v>48</v>
      </c>
      <c r="P24" s="4" t="s">
        <v>49</v>
      </c>
      <c r="Q24" s="19" t="s">
        <v>50</v>
      </c>
      <c r="T24" s="27" t="s">
        <v>44</v>
      </c>
      <c r="U24" t="s">
        <v>18</v>
      </c>
      <c r="V24" t="s">
        <v>45</v>
      </c>
      <c r="W24" t="s">
        <v>46</v>
      </c>
      <c r="X24" t="s">
        <v>47</v>
      </c>
      <c r="Y24" t="s">
        <v>48</v>
      </c>
      <c r="Z24" s="4" t="s">
        <v>49</v>
      </c>
      <c r="AA24" s="19" t="s">
        <v>50</v>
      </c>
    </row>
    <row r="25" spans="1:27" x14ac:dyDescent="0.25">
      <c r="B25">
        <v>4000</v>
      </c>
      <c r="C25">
        <v>2</v>
      </c>
      <c r="D25">
        <v>4</v>
      </c>
      <c r="E25">
        <v>6</v>
      </c>
      <c r="F25">
        <v>365</v>
      </c>
      <c r="G25">
        <f>(E25*F25/B25*C25+1)*15</f>
        <v>31.424999999999997</v>
      </c>
      <c r="H25">
        <f>(E25*F25/B25*D25+1)*15</f>
        <v>47.85</v>
      </c>
      <c r="K25">
        <v>4000</v>
      </c>
      <c r="L25">
        <v>1</v>
      </c>
      <c r="M25">
        <v>3</v>
      </c>
      <c r="N25">
        <v>6</v>
      </c>
      <c r="O25">
        <v>365</v>
      </c>
      <c r="P25">
        <f>(N25*O25/K25*L25+1)*15</f>
        <v>23.212499999999999</v>
      </c>
      <c r="Q25">
        <f>(N25*O25/K25*M25+1)*15</f>
        <v>39.637500000000003</v>
      </c>
      <c r="U25">
        <v>2000</v>
      </c>
      <c r="V25">
        <v>1</v>
      </c>
      <c r="W25">
        <v>3</v>
      </c>
      <c r="X25">
        <v>6</v>
      </c>
      <c r="Y25">
        <v>365</v>
      </c>
      <c r="Z25">
        <f>(X25*Y25/U25*V25+1)*15</f>
        <v>31.424999999999997</v>
      </c>
      <c r="AA25">
        <f>(X25*Y25/U25*W25+1)*15</f>
        <v>64.275000000000006</v>
      </c>
    </row>
    <row r="28" spans="1:27" x14ac:dyDescent="0.25">
      <c r="A28" s="23" t="s">
        <v>60</v>
      </c>
      <c r="B28" s="23"/>
      <c r="C28" s="23"/>
      <c r="D28" s="23"/>
      <c r="E28" s="10"/>
      <c r="J28" s="23" t="s">
        <v>61</v>
      </c>
      <c r="K28" s="23"/>
      <c r="L28" s="23"/>
      <c r="M28" s="23"/>
      <c r="N28" s="10"/>
    </row>
    <row r="29" spans="1:27" x14ac:dyDescent="0.25">
      <c r="A29" s="24" t="s">
        <v>35</v>
      </c>
      <c r="B29" s="24" t="s">
        <v>36</v>
      </c>
      <c r="C29" s="24" t="s">
        <v>42</v>
      </c>
      <c r="D29" s="24" t="s">
        <v>38</v>
      </c>
      <c r="E29" s="10"/>
      <c r="J29" s="24" t="s">
        <v>35</v>
      </c>
      <c r="K29" s="24" t="s">
        <v>36</v>
      </c>
      <c r="L29" s="24" t="s">
        <v>42</v>
      </c>
      <c r="M29" s="24" t="s">
        <v>38</v>
      </c>
      <c r="N29" s="10"/>
    </row>
    <row r="30" spans="1:27" ht="45" x14ac:dyDescent="0.25">
      <c r="A30" s="25" t="s">
        <v>40</v>
      </c>
      <c r="B30" s="25" t="s">
        <v>22</v>
      </c>
      <c r="C30" s="24">
        <v>100</v>
      </c>
      <c r="D30" s="26" t="s">
        <v>39</v>
      </c>
      <c r="E30" s="10"/>
      <c r="J30" s="25" t="s">
        <v>40</v>
      </c>
      <c r="K30" s="25" t="s">
        <v>22</v>
      </c>
      <c r="L30" s="24">
        <v>50</v>
      </c>
      <c r="M30" s="26" t="s">
        <v>39</v>
      </c>
      <c r="N30" s="10"/>
    </row>
    <row r="31" spans="1:27" ht="75" x14ac:dyDescent="0.25">
      <c r="A31" s="24" t="s">
        <v>41</v>
      </c>
      <c r="B31" s="24">
        <v>22</v>
      </c>
      <c r="C31" s="24">
        <v>22</v>
      </c>
      <c r="D31" s="26" t="s">
        <v>63</v>
      </c>
      <c r="E31" s="10"/>
      <c r="G31" s="4"/>
      <c r="H31" s="4"/>
      <c r="J31" s="24" t="s">
        <v>41</v>
      </c>
      <c r="K31" s="24">
        <v>22</v>
      </c>
      <c r="L31" s="24">
        <v>22</v>
      </c>
      <c r="M31" s="26" t="s">
        <v>64</v>
      </c>
      <c r="N31" s="10"/>
      <c r="P31" s="4"/>
      <c r="Q31" s="4"/>
    </row>
    <row r="32" spans="1:27" x14ac:dyDescent="0.25">
      <c r="A32" s="24" t="s">
        <v>56</v>
      </c>
      <c r="B32" s="24">
        <v>50</v>
      </c>
      <c r="C32" s="24" t="s">
        <v>22</v>
      </c>
      <c r="D32" s="26"/>
      <c r="E32" s="10"/>
      <c r="G32" s="4"/>
      <c r="H32" s="4"/>
      <c r="J32" s="24" t="s">
        <v>56</v>
      </c>
      <c r="K32" s="24">
        <v>20</v>
      </c>
      <c r="L32" s="24" t="s">
        <v>22</v>
      </c>
      <c r="M32" s="26"/>
      <c r="N32" s="10"/>
      <c r="P32" s="4"/>
      <c r="Q32" s="4"/>
    </row>
    <row r="33" spans="1:27" x14ac:dyDescent="0.25">
      <c r="A33" s="25" t="s">
        <v>19</v>
      </c>
      <c r="B33" s="29">
        <f>SUM(B30:B30:B32)</f>
        <v>72</v>
      </c>
      <c r="C33" s="29">
        <f>SUM(C30:C32)</f>
        <v>122</v>
      </c>
      <c r="D33" s="29"/>
      <c r="E33" s="7"/>
      <c r="G33" s="4"/>
      <c r="H33" s="4"/>
      <c r="J33" s="25" t="s">
        <v>19</v>
      </c>
      <c r="K33" s="29">
        <f>SUM(K30:K30:K32)</f>
        <v>42</v>
      </c>
      <c r="L33" s="29">
        <f>SUM(L30:L32)</f>
        <v>72</v>
      </c>
      <c r="M33" s="29"/>
      <c r="N33" s="7"/>
      <c r="P33" s="4"/>
      <c r="Q33" s="4"/>
    </row>
    <row r="34" spans="1:27" x14ac:dyDescent="0.25">
      <c r="A34" s="27" t="s">
        <v>44</v>
      </c>
      <c r="B34" t="s">
        <v>18</v>
      </c>
      <c r="C34" t="s">
        <v>45</v>
      </c>
      <c r="D34" t="s">
        <v>46</v>
      </c>
      <c r="E34" t="s">
        <v>47</v>
      </c>
      <c r="F34" t="s">
        <v>48</v>
      </c>
      <c r="G34" s="4" t="s">
        <v>50</v>
      </c>
      <c r="H34" s="19" t="s">
        <v>49</v>
      </c>
      <c r="J34" s="27" t="s">
        <v>44</v>
      </c>
      <c r="K34" t="s">
        <v>18</v>
      </c>
      <c r="L34" t="s">
        <v>45</v>
      </c>
      <c r="M34" t="s">
        <v>46</v>
      </c>
      <c r="N34" t="s">
        <v>47</v>
      </c>
      <c r="O34" t="s">
        <v>48</v>
      </c>
      <c r="P34" s="4" t="s">
        <v>50</v>
      </c>
      <c r="Q34" s="19" t="s">
        <v>49</v>
      </c>
    </row>
    <row r="35" spans="1:27" x14ac:dyDescent="0.25">
      <c r="B35">
        <v>10000</v>
      </c>
      <c r="C35">
        <v>2</v>
      </c>
      <c r="D35">
        <v>2</v>
      </c>
      <c r="E35">
        <v>6</v>
      </c>
      <c r="F35">
        <v>365</v>
      </c>
      <c r="G35">
        <f>(E35*F35/B35*C35+1)*15</f>
        <v>21.57</v>
      </c>
      <c r="H35">
        <f>(E35*F35/B35*D35+1)*15</f>
        <v>21.57</v>
      </c>
      <c r="K35">
        <v>10000</v>
      </c>
      <c r="L35">
        <v>2</v>
      </c>
      <c r="M35">
        <v>2</v>
      </c>
      <c r="N35">
        <v>6</v>
      </c>
      <c r="O35">
        <v>365</v>
      </c>
      <c r="P35">
        <f>(N35*O35/K35*L35+1)*15</f>
        <v>21.57</v>
      </c>
      <c r="Q35">
        <f>(N35*O35/K35*M35+1)*15</f>
        <v>21.57</v>
      </c>
    </row>
    <row r="38" spans="1:27" x14ac:dyDescent="0.25">
      <c r="A38" s="23" t="s">
        <v>62</v>
      </c>
      <c r="B38" s="23"/>
      <c r="C38" s="23"/>
      <c r="D38" s="23"/>
      <c r="E38" s="10"/>
      <c r="J38" s="23" t="s">
        <v>62</v>
      </c>
      <c r="K38" s="23"/>
      <c r="L38" s="23"/>
      <c r="M38" s="23"/>
      <c r="N38" s="10"/>
      <c r="T38" s="23" t="s">
        <v>62</v>
      </c>
      <c r="U38" s="23"/>
      <c r="V38" s="23"/>
      <c r="W38" s="23"/>
      <c r="X38" s="10"/>
    </row>
    <row r="39" spans="1:27" x14ac:dyDescent="0.25">
      <c r="A39" s="24" t="s">
        <v>35</v>
      </c>
      <c r="B39" s="24" t="s">
        <v>36</v>
      </c>
      <c r="C39" s="24" t="s">
        <v>42</v>
      </c>
      <c r="D39" s="24" t="s">
        <v>38</v>
      </c>
      <c r="E39" s="10"/>
      <c r="J39" s="24" t="s">
        <v>35</v>
      </c>
      <c r="K39" s="24" t="s">
        <v>36</v>
      </c>
      <c r="L39" s="24" t="s">
        <v>42</v>
      </c>
      <c r="M39" s="24" t="s">
        <v>38</v>
      </c>
      <c r="N39" s="10"/>
      <c r="T39" s="24" t="s">
        <v>35</v>
      </c>
      <c r="U39" s="24" t="s">
        <v>36</v>
      </c>
      <c r="V39" s="24" t="s">
        <v>42</v>
      </c>
      <c r="W39" s="24" t="s">
        <v>38</v>
      </c>
      <c r="X39" s="10"/>
    </row>
    <row r="40" spans="1:27" ht="45" x14ac:dyDescent="0.25">
      <c r="A40" s="25" t="s">
        <v>40</v>
      </c>
      <c r="B40" s="25" t="s">
        <v>22</v>
      </c>
      <c r="C40" s="24">
        <v>20</v>
      </c>
      <c r="D40" s="26" t="s">
        <v>39</v>
      </c>
      <c r="E40" s="10"/>
      <c r="J40" s="25" t="s">
        <v>40</v>
      </c>
      <c r="K40" s="25" t="s">
        <v>22</v>
      </c>
      <c r="L40" s="24">
        <v>20</v>
      </c>
      <c r="M40" s="26" t="s">
        <v>39</v>
      </c>
      <c r="N40" s="10"/>
      <c r="T40" s="25" t="s">
        <v>40</v>
      </c>
      <c r="U40" s="25" t="s">
        <v>22</v>
      </c>
      <c r="V40" s="24">
        <v>20</v>
      </c>
      <c r="W40" s="26" t="s">
        <v>39</v>
      </c>
      <c r="X40" s="10"/>
    </row>
    <row r="41" spans="1:27" ht="97.5" customHeight="1" x14ac:dyDescent="0.25">
      <c r="A41" s="24" t="s">
        <v>41</v>
      </c>
      <c r="B41" s="24">
        <v>48</v>
      </c>
      <c r="C41" s="24">
        <v>26</v>
      </c>
      <c r="D41" s="26" t="s">
        <v>53</v>
      </c>
      <c r="E41" s="10"/>
      <c r="G41" s="4"/>
      <c r="H41" s="4"/>
      <c r="J41" s="24" t="s">
        <v>41</v>
      </c>
      <c r="K41" s="24">
        <v>48</v>
      </c>
      <c r="L41" s="24">
        <v>23</v>
      </c>
      <c r="M41" s="26" t="s">
        <v>53</v>
      </c>
      <c r="N41" s="10"/>
      <c r="P41" s="4"/>
      <c r="Q41" s="4"/>
      <c r="T41" s="24" t="s">
        <v>41</v>
      </c>
      <c r="U41" s="24">
        <v>80</v>
      </c>
      <c r="V41" s="24">
        <v>31</v>
      </c>
      <c r="W41" s="26" t="s">
        <v>53</v>
      </c>
      <c r="X41" s="10"/>
      <c r="Z41" s="4"/>
      <c r="AA41" s="4"/>
    </row>
    <row r="42" spans="1:27" x14ac:dyDescent="0.25">
      <c r="A42" s="24" t="s">
        <v>56</v>
      </c>
      <c r="B42" s="24">
        <v>10</v>
      </c>
      <c r="C42" s="24" t="s">
        <v>22</v>
      </c>
      <c r="D42" s="26"/>
      <c r="E42" s="10"/>
      <c r="G42" s="4"/>
      <c r="H42" s="4"/>
      <c r="J42" s="24" t="s">
        <v>56</v>
      </c>
      <c r="K42" s="24">
        <v>10</v>
      </c>
      <c r="L42" s="24" t="s">
        <v>22</v>
      </c>
      <c r="M42" s="26"/>
      <c r="N42" s="10"/>
      <c r="P42" s="4"/>
      <c r="Q42" s="4"/>
      <c r="T42" s="24" t="s">
        <v>56</v>
      </c>
      <c r="U42" s="24">
        <v>10</v>
      </c>
      <c r="V42" s="24" t="s">
        <v>22</v>
      </c>
      <c r="W42" s="26"/>
      <c r="X42" s="10"/>
      <c r="Z42" s="4"/>
      <c r="AA42" s="4"/>
    </row>
    <row r="43" spans="1:27" x14ac:dyDescent="0.25">
      <c r="A43" s="25" t="s">
        <v>19</v>
      </c>
      <c r="B43" s="29">
        <f>SUM(B40:B40:B42)</f>
        <v>58</v>
      </c>
      <c r="C43" s="29">
        <f>SUM(C40:C42)</f>
        <v>46</v>
      </c>
      <c r="D43" s="29"/>
      <c r="E43" s="7"/>
      <c r="G43" s="4"/>
      <c r="H43" s="4"/>
      <c r="J43" s="25" t="s">
        <v>19</v>
      </c>
      <c r="K43" s="29">
        <f>SUM(K40:K40:K42)</f>
        <v>58</v>
      </c>
      <c r="L43" s="29">
        <f>SUM(L40:L42)</f>
        <v>43</v>
      </c>
      <c r="M43" s="29"/>
      <c r="N43" s="7"/>
      <c r="P43" s="4"/>
      <c r="Q43" s="4"/>
      <c r="T43" s="25" t="s">
        <v>19</v>
      </c>
      <c r="U43" s="29">
        <f>SUM(U40:U40:U42)</f>
        <v>90</v>
      </c>
      <c r="V43" s="29">
        <f>SUM(V40:V42)</f>
        <v>51</v>
      </c>
      <c r="W43" s="29"/>
      <c r="X43" s="7"/>
      <c r="Z43" s="4"/>
      <c r="AA43" s="4"/>
    </row>
    <row r="44" spans="1:27" x14ac:dyDescent="0.25">
      <c r="A44" s="27" t="s">
        <v>44</v>
      </c>
      <c r="B44" t="s">
        <v>18</v>
      </c>
      <c r="C44" t="s">
        <v>45</v>
      </c>
      <c r="D44" t="s">
        <v>46</v>
      </c>
      <c r="E44" t="s">
        <v>47</v>
      </c>
      <c r="F44" t="s">
        <v>48</v>
      </c>
      <c r="G44" s="4" t="s">
        <v>50</v>
      </c>
      <c r="H44" s="19" t="s">
        <v>49</v>
      </c>
      <c r="J44" s="27" t="s">
        <v>44</v>
      </c>
      <c r="K44" t="s">
        <v>18</v>
      </c>
      <c r="L44" t="s">
        <v>45</v>
      </c>
      <c r="M44" t="s">
        <v>46</v>
      </c>
      <c r="N44" t="s">
        <v>47</v>
      </c>
      <c r="O44" t="s">
        <v>48</v>
      </c>
      <c r="P44" s="4" t="s">
        <v>50</v>
      </c>
      <c r="Q44" s="19" t="s">
        <v>49</v>
      </c>
      <c r="T44" s="27" t="s">
        <v>44</v>
      </c>
      <c r="U44" t="s">
        <v>18</v>
      </c>
      <c r="V44" t="s">
        <v>45</v>
      </c>
      <c r="W44" t="s">
        <v>46</v>
      </c>
      <c r="X44" t="s">
        <v>47</v>
      </c>
      <c r="Y44" t="s">
        <v>48</v>
      </c>
      <c r="Z44" s="4" t="s">
        <v>50</v>
      </c>
      <c r="AA44" s="19" t="s">
        <v>49</v>
      </c>
    </row>
    <row r="45" spans="1:27" x14ac:dyDescent="0.25">
      <c r="B45">
        <v>2000</v>
      </c>
      <c r="C45">
        <v>0.7</v>
      </c>
      <c r="D45">
        <v>2</v>
      </c>
      <c r="E45">
        <v>6</v>
      </c>
      <c r="F45">
        <v>365</v>
      </c>
      <c r="G45">
        <f>(E45*F45/B45*C45+1)*15</f>
        <v>26.497499999999999</v>
      </c>
      <c r="H45">
        <f>(E45*F45/B45*D45+1)*15</f>
        <v>47.85</v>
      </c>
      <c r="K45">
        <v>2000</v>
      </c>
      <c r="L45">
        <v>0.5</v>
      </c>
      <c r="M45">
        <v>2</v>
      </c>
      <c r="N45">
        <v>6</v>
      </c>
      <c r="O45">
        <v>365</v>
      </c>
      <c r="P45">
        <f>(N45*O45/K45*L45+1)*15</f>
        <v>23.212499999999999</v>
      </c>
      <c r="Q45">
        <f>(N45*O45/K45*M45+1)*15</f>
        <v>47.85</v>
      </c>
      <c r="U45">
        <v>1000</v>
      </c>
      <c r="V45">
        <v>0.5</v>
      </c>
      <c r="W45">
        <v>2</v>
      </c>
      <c r="X45">
        <v>6</v>
      </c>
      <c r="Y45">
        <v>365</v>
      </c>
      <c r="Z45">
        <f>(X45*Y45/U45*V45+1)*15</f>
        <v>31.424999999999997</v>
      </c>
      <c r="AA45">
        <f>(X45*Y45/U45*W45+1)*15</f>
        <v>80.7</v>
      </c>
    </row>
    <row r="48" spans="1:27" x14ac:dyDescent="0.25">
      <c r="A48" s="23" t="s">
        <v>65</v>
      </c>
      <c r="B48" s="23"/>
      <c r="C48" s="23"/>
      <c r="D48" s="23"/>
      <c r="E48" s="10"/>
    </row>
    <row r="49" spans="1:17" x14ac:dyDescent="0.25">
      <c r="A49" s="24" t="s">
        <v>35</v>
      </c>
      <c r="B49" s="24" t="s">
        <v>36</v>
      </c>
      <c r="C49" s="24" t="s">
        <v>42</v>
      </c>
      <c r="D49" s="24" t="s">
        <v>38</v>
      </c>
      <c r="E49" s="10"/>
    </row>
    <row r="50" spans="1:17" ht="45" x14ac:dyDescent="0.25">
      <c r="A50" s="25" t="s">
        <v>40</v>
      </c>
      <c r="B50" s="25" t="s">
        <v>22</v>
      </c>
      <c r="C50" s="24">
        <v>25</v>
      </c>
      <c r="D50" s="26" t="s">
        <v>39</v>
      </c>
      <c r="E50" s="10"/>
    </row>
    <row r="51" spans="1:17" ht="75" x14ac:dyDescent="0.25">
      <c r="A51" s="24" t="s">
        <v>41</v>
      </c>
      <c r="B51" s="24">
        <v>31</v>
      </c>
      <c r="C51" s="24">
        <v>20</v>
      </c>
      <c r="D51" s="26" t="s">
        <v>53</v>
      </c>
      <c r="E51" s="10"/>
      <c r="G51" s="4"/>
      <c r="H51" s="4"/>
    </row>
    <row r="52" spans="1:17" x14ac:dyDescent="0.25">
      <c r="A52" s="24" t="s">
        <v>56</v>
      </c>
      <c r="B52" s="24">
        <v>15</v>
      </c>
      <c r="C52" s="24" t="s">
        <v>22</v>
      </c>
      <c r="D52" s="26"/>
      <c r="E52" s="10"/>
      <c r="G52" s="4"/>
      <c r="H52" s="4"/>
    </row>
    <row r="53" spans="1:17" x14ac:dyDescent="0.25">
      <c r="A53" s="25" t="s">
        <v>19</v>
      </c>
      <c r="B53" s="29">
        <f>SUM(B50:B50:B52)</f>
        <v>46</v>
      </c>
      <c r="C53" s="29">
        <f>SUM(C50:C52)</f>
        <v>45</v>
      </c>
      <c r="D53" s="29"/>
      <c r="E53" s="7"/>
      <c r="G53" s="4"/>
      <c r="H53" s="4"/>
    </row>
    <row r="54" spans="1:17" x14ac:dyDescent="0.25">
      <c r="A54" s="27" t="s">
        <v>44</v>
      </c>
      <c r="B54" t="s">
        <v>18</v>
      </c>
      <c r="C54" t="s">
        <v>45</v>
      </c>
      <c r="D54" t="s">
        <v>46</v>
      </c>
      <c r="E54" t="s">
        <v>47</v>
      </c>
      <c r="F54" t="s">
        <v>48</v>
      </c>
      <c r="G54" s="4" t="s">
        <v>50</v>
      </c>
      <c r="H54" s="19" t="s">
        <v>49</v>
      </c>
    </row>
    <row r="55" spans="1:17" x14ac:dyDescent="0.25">
      <c r="B55">
        <v>3000</v>
      </c>
      <c r="C55">
        <v>0.5</v>
      </c>
      <c r="D55">
        <v>1.5</v>
      </c>
      <c r="E55">
        <v>6</v>
      </c>
      <c r="F55">
        <v>365</v>
      </c>
      <c r="G55">
        <f>(E55*F55/B55*C55+1)*15</f>
        <v>20.475000000000001</v>
      </c>
      <c r="H55">
        <f>(E55*F55/B55*D55+1)*15</f>
        <v>31.424999999999997</v>
      </c>
    </row>
    <row r="58" spans="1:17" x14ac:dyDescent="0.25">
      <c r="A58" s="23" t="s">
        <v>71</v>
      </c>
      <c r="B58" s="23"/>
      <c r="C58" s="23"/>
      <c r="D58" s="23"/>
      <c r="E58" s="10"/>
      <c r="J58" s="23" t="s">
        <v>72</v>
      </c>
      <c r="K58" s="23"/>
      <c r="L58" s="23"/>
      <c r="M58" s="23"/>
      <c r="N58" s="10"/>
    </row>
    <row r="59" spans="1:17" x14ac:dyDescent="0.25">
      <c r="A59" s="24" t="s">
        <v>35</v>
      </c>
      <c r="B59" s="24" t="s">
        <v>36</v>
      </c>
      <c r="C59" s="24" t="s">
        <v>42</v>
      </c>
      <c r="D59" s="24" t="s">
        <v>38</v>
      </c>
      <c r="E59" s="10"/>
      <c r="J59" s="24" t="s">
        <v>35</v>
      </c>
      <c r="K59" s="24" t="s">
        <v>36</v>
      </c>
      <c r="L59" s="24" t="s">
        <v>42</v>
      </c>
      <c r="M59" s="24" t="s">
        <v>38</v>
      </c>
      <c r="N59" s="10"/>
    </row>
    <row r="60" spans="1:17" ht="45" x14ac:dyDescent="0.25">
      <c r="A60" s="25" t="s">
        <v>40</v>
      </c>
      <c r="B60" s="25" t="s">
        <v>22</v>
      </c>
      <c r="C60" s="24">
        <v>5</v>
      </c>
      <c r="D60" s="26" t="s">
        <v>39</v>
      </c>
      <c r="E60" s="10"/>
      <c r="J60" s="25" t="s">
        <v>40</v>
      </c>
      <c r="K60" s="25" t="s">
        <v>22</v>
      </c>
      <c r="L60" s="24">
        <v>5</v>
      </c>
      <c r="M60" s="26" t="s">
        <v>39</v>
      </c>
      <c r="N60" s="10"/>
    </row>
    <row r="61" spans="1:17" ht="90" x14ac:dyDescent="0.25">
      <c r="A61" s="24" t="s">
        <v>41</v>
      </c>
      <c r="B61" s="24">
        <v>31</v>
      </c>
      <c r="C61" s="24">
        <v>20</v>
      </c>
      <c r="D61" s="26" t="s">
        <v>43</v>
      </c>
      <c r="E61" s="10"/>
      <c r="G61" s="4"/>
      <c r="H61" s="4"/>
      <c r="J61" s="24" t="s">
        <v>41</v>
      </c>
      <c r="K61" s="24">
        <v>31</v>
      </c>
      <c r="L61" s="24">
        <v>17</v>
      </c>
      <c r="M61" s="26" t="s">
        <v>43</v>
      </c>
      <c r="N61" s="10"/>
      <c r="P61" s="4"/>
      <c r="Q61" s="4"/>
    </row>
    <row r="62" spans="1:17" x14ac:dyDescent="0.25">
      <c r="A62" s="24" t="s">
        <v>56</v>
      </c>
      <c r="B62" s="24">
        <v>15</v>
      </c>
      <c r="C62" s="24" t="s">
        <v>22</v>
      </c>
      <c r="D62" s="26"/>
      <c r="E62" s="10"/>
      <c r="G62" s="4"/>
      <c r="H62" s="4"/>
      <c r="J62" s="24" t="s">
        <v>56</v>
      </c>
      <c r="K62" s="24">
        <v>15</v>
      </c>
      <c r="L62" s="24" t="s">
        <v>22</v>
      </c>
      <c r="M62" s="26"/>
      <c r="N62" s="10"/>
      <c r="P62" s="4"/>
      <c r="Q62" s="4"/>
    </row>
    <row r="63" spans="1:17" x14ac:dyDescent="0.25">
      <c r="A63" s="25" t="s">
        <v>19</v>
      </c>
      <c r="B63" s="29">
        <f>SUM(B60:B60:B62)</f>
        <v>46</v>
      </c>
      <c r="C63" s="29">
        <f>SUM(C60:C62)</f>
        <v>25</v>
      </c>
      <c r="D63" s="29"/>
      <c r="E63" s="7"/>
      <c r="G63" s="4"/>
      <c r="H63" s="4"/>
      <c r="J63" s="25" t="s">
        <v>19</v>
      </c>
      <c r="K63" s="29">
        <f>SUM(K60:K60:K62)</f>
        <v>46</v>
      </c>
      <c r="L63" s="29">
        <f>SUM(L60:L62)</f>
        <v>22</v>
      </c>
      <c r="M63" s="29"/>
      <c r="N63" s="7"/>
      <c r="P63" s="4"/>
      <c r="Q63" s="4"/>
    </row>
    <row r="64" spans="1:17" x14ac:dyDescent="0.25">
      <c r="A64" s="27" t="s">
        <v>44</v>
      </c>
      <c r="B64" t="s">
        <v>18</v>
      </c>
      <c r="C64" t="s">
        <v>45</v>
      </c>
      <c r="D64" t="s">
        <v>46</v>
      </c>
      <c r="E64" t="s">
        <v>47</v>
      </c>
      <c r="F64" t="s">
        <v>48</v>
      </c>
      <c r="G64" s="4" t="s">
        <v>50</v>
      </c>
      <c r="H64" s="19" t="s">
        <v>49</v>
      </c>
      <c r="J64" s="27" t="s">
        <v>44</v>
      </c>
      <c r="K64" t="s">
        <v>18</v>
      </c>
      <c r="L64" t="s">
        <v>45</v>
      </c>
      <c r="M64" t="s">
        <v>46</v>
      </c>
      <c r="N64" t="s">
        <v>47</v>
      </c>
      <c r="O64" t="s">
        <v>48</v>
      </c>
      <c r="P64" s="4" t="s">
        <v>50</v>
      </c>
      <c r="Q64" s="19" t="s">
        <v>49</v>
      </c>
    </row>
    <row r="65" spans="2:17" x14ac:dyDescent="0.25">
      <c r="B65">
        <v>2000</v>
      </c>
      <c r="C65">
        <v>0.3</v>
      </c>
      <c r="D65">
        <v>1</v>
      </c>
      <c r="E65">
        <v>6</v>
      </c>
      <c r="F65">
        <v>365</v>
      </c>
      <c r="G65">
        <f>(E65*F65/B65*C65+1)*15</f>
        <v>19.927500000000002</v>
      </c>
      <c r="H65">
        <f>(E65*F65/B65*D65+1)*15</f>
        <v>31.424999999999997</v>
      </c>
      <c r="K65">
        <v>2000</v>
      </c>
      <c r="L65">
        <v>0.1</v>
      </c>
      <c r="M65">
        <v>1</v>
      </c>
      <c r="N65">
        <v>6</v>
      </c>
      <c r="O65">
        <v>365</v>
      </c>
      <c r="P65">
        <f>(N65*O65/K65*L65+1)*15</f>
        <v>16.642499999999998</v>
      </c>
      <c r="Q65">
        <f>(N65*O65/K65*M65+1)*15</f>
        <v>31.424999999999997</v>
      </c>
    </row>
  </sheetData>
  <mergeCells count="13">
    <mergeCell ref="A58:D58"/>
    <mergeCell ref="J58:M58"/>
    <mergeCell ref="A28:D28"/>
    <mergeCell ref="J28:M28"/>
    <mergeCell ref="A38:D38"/>
    <mergeCell ref="J38:M38"/>
    <mergeCell ref="T38:W38"/>
    <mergeCell ref="A48:D48"/>
    <mergeCell ref="A1:D1"/>
    <mergeCell ref="A9:D9"/>
    <mergeCell ref="A18:D18"/>
    <mergeCell ref="J18:M18"/>
    <mergeCell ref="T18:W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BD7D-BB52-4612-8839-3C3E8EDD3696}">
  <dimension ref="B1:K20"/>
  <sheetViews>
    <sheetView workbookViewId="0">
      <selection activeCell="E26" sqref="E26"/>
    </sheetView>
  </sheetViews>
  <sheetFormatPr defaultRowHeight="15" x14ac:dyDescent="0.25"/>
  <cols>
    <col min="2" max="2" width="28.7109375" customWidth="1"/>
    <col min="3" max="3" width="15.28515625" customWidth="1"/>
    <col min="4" max="4" width="15.5703125" customWidth="1"/>
    <col min="6" max="6" width="15.7109375" customWidth="1"/>
    <col min="7" max="7" width="14.42578125" customWidth="1"/>
    <col min="9" max="9" width="14.42578125" customWidth="1"/>
    <col min="10" max="10" width="15.42578125" customWidth="1"/>
  </cols>
  <sheetData>
    <row r="1" spans="2:11" x14ac:dyDescent="0.25">
      <c r="B1" s="11" t="s">
        <v>66</v>
      </c>
      <c r="C1" s="31" t="s">
        <v>67</v>
      </c>
      <c r="D1" s="31"/>
      <c r="E1" s="31"/>
      <c r="F1" s="31" t="s">
        <v>73</v>
      </c>
      <c r="G1" s="31"/>
      <c r="H1" s="31"/>
      <c r="I1" s="31" t="s">
        <v>75</v>
      </c>
      <c r="J1" s="31"/>
      <c r="K1" s="31"/>
    </row>
    <row r="2" spans="2:11" x14ac:dyDescent="0.25">
      <c r="B2" s="13"/>
      <c r="C2" s="12" t="s">
        <v>68</v>
      </c>
      <c r="D2" s="12"/>
      <c r="E2" s="11" t="s">
        <v>69</v>
      </c>
      <c r="F2" s="12" t="s">
        <v>68</v>
      </c>
      <c r="G2" s="12"/>
      <c r="H2" s="11" t="s">
        <v>69</v>
      </c>
      <c r="I2" s="12" t="s">
        <v>68</v>
      </c>
      <c r="J2" s="12"/>
      <c r="K2" s="11" t="s">
        <v>69</v>
      </c>
    </row>
    <row r="3" spans="2:11" x14ac:dyDescent="0.25">
      <c r="B3" s="12"/>
      <c r="C3" s="30" t="s">
        <v>70</v>
      </c>
      <c r="D3" s="30" t="s">
        <v>42</v>
      </c>
      <c r="E3" s="12"/>
      <c r="F3" s="30" t="s">
        <v>70</v>
      </c>
      <c r="G3" s="30" t="s">
        <v>42</v>
      </c>
      <c r="H3" s="12"/>
      <c r="I3" s="30" t="s">
        <v>70</v>
      </c>
      <c r="J3" s="30" t="s">
        <v>42</v>
      </c>
      <c r="K3" s="12"/>
    </row>
    <row r="4" spans="2:11" x14ac:dyDescent="0.25">
      <c r="B4" s="3" t="s">
        <v>9</v>
      </c>
      <c r="C4" s="16">
        <v>54</v>
      </c>
      <c r="D4" s="16">
        <v>39</v>
      </c>
      <c r="E4" s="16" t="s">
        <v>37</v>
      </c>
      <c r="F4" s="16">
        <v>54</v>
      </c>
      <c r="G4" s="16">
        <v>39</v>
      </c>
      <c r="H4" s="16" t="s">
        <v>37</v>
      </c>
      <c r="I4" s="16">
        <v>54</v>
      </c>
      <c r="J4" s="16">
        <v>39</v>
      </c>
      <c r="K4" s="16" t="s">
        <v>37</v>
      </c>
    </row>
    <row r="5" spans="2:11" x14ac:dyDescent="0.25">
      <c r="B5" s="1" t="s">
        <v>10</v>
      </c>
      <c r="C5" s="17">
        <v>59</v>
      </c>
      <c r="D5" s="17">
        <v>29</v>
      </c>
      <c r="E5" s="17" t="s">
        <v>37</v>
      </c>
      <c r="F5" s="17">
        <v>59</v>
      </c>
      <c r="G5" s="17">
        <v>29</v>
      </c>
      <c r="H5" s="17" t="s">
        <v>37</v>
      </c>
      <c r="I5" s="17">
        <v>59</v>
      </c>
      <c r="J5" s="17">
        <v>29</v>
      </c>
      <c r="K5" s="17" t="s">
        <v>37</v>
      </c>
    </row>
    <row r="6" spans="2:11" x14ac:dyDescent="0.25">
      <c r="B6" s="3" t="s">
        <v>11</v>
      </c>
      <c r="C6" s="16">
        <v>98</v>
      </c>
      <c r="D6" s="16">
        <v>282</v>
      </c>
      <c r="E6" s="16" t="s">
        <v>36</v>
      </c>
      <c r="F6" s="16">
        <v>90</v>
      </c>
      <c r="G6" s="16">
        <v>273</v>
      </c>
      <c r="H6" s="16" t="s">
        <v>36</v>
      </c>
      <c r="I6" s="16">
        <v>115</v>
      </c>
      <c r="J6" s="16">
        <v>282</v>
      </c>
      <c r="K6" s="16" t="s">
        <v>36</v>
      </c>
    </row>
    <row r="7" spans="2:11" x14ac:dyDescent="0.25">
      <c r="B7" s="4" t="s">
        <v>12</v>
      </c>
      <c r="C7" s="18">
        <v>72</v>
      </c>
      <c r="D7" s="18">
        <v>122</v>
      </c>
      <c r="E7" s="18" t="s">
        <v>36</v>
      </c>
      <c r="F7" s="18">
        <v>42</v>
      </c>
      <c r="G7" s="18">
        <v>72</v>
      </c>
      <c r="H7" s="18" t="s">
        <v>36</v>
      </c>
      <c r="I7" s="18">
        <v>42</v>
      </c>
      <c r="J7" s="18">
        <v>72</v>
      </c>
      <c r="K7" s="18" t="s">
        <v>36</v>
      </c>
    </row>
    <row r="8" spans="2:11" x14ac:dyDescent="0.25">
      <c r="B8" s="4" t="s">
        <v>13</v>
      </c>
      <c r="C8" s="18">
        <v>58</v>
      </c>
      <c r="D8" s="18">
        <v>46</v>
      </c>
      <c r="E8" s="18" t="s">
        <v>37</v>
      </c>
      <c r="F8" s="18">
        <v>58</v>
      </c>
      <c r="G8" s="18">
        <v>43</v>
      </c>
      <c r="H8" s="18" t="s">
        <v>37</v>
      </c>
      <c r="I8" s="18">
        <v>90</v>
      </c>
      <c r="J8" s="18">
        <v>51</v>
      </c>
      <c r="K8" s="18" t="s">
        <v>37</v>
      </c>
    </row>
    <row r="9" spans="2:11" x14ac:dyDescent="0.25">
      <c r="B9" s="1" t="s">
        <v>14</v>
      </c>
      <c r="C9" s="17">
        <v>46</v>
      </c>
      <c r="D9" s="17">
        <v>45</v>
      </c>
      <c r="E9" s="17" t="s">
        <v>37</v>
      </c>
      <c r="F9" s="17">
        <v>46</v>
      </c>
      <c r="G9" s="17">
        <v>45</v>
      </c>
      <c r="H9" s="17" t="s">
        <v>37</v>
      </c>
      <c r="I9" s="17">
        <v>46</v>
      </c>
      <c r="J9" s="17">
        <v>45</v>
      </c>
      <c r="K9" s="17" t="s">
        <v>37</v>
      </c>
    </row>
    <row r="10" spans="2:11" x14ac:dyDescent="0.25">
      <c r="B10" s="3" t="s">
        <v>16</v>
      </c>
      <c r="C10" s="16">
        <v>46</v>
      </c>
      <c r="D10" s="16">
        <v>25</v>
      </c>
      <c r="E10" s="16" t="s">
        <v>37</v>
      </c>
      <c r="F10" s="16">
        <v>46</v>
      </c>
      <c r="G10" s="16">
        <v>22</v>
      </c>
      <c r="H10" s="16" t="s">
        <v>37</v>
      </c>
      <c r="I10" s="16">
        <v>46</v>
      </c>
      <c r="J10" s="16">
        <v>22</v>
      </c>
      <c r="K10" s="16" t="s">
        <v>37</v>
      </c>
    </row>
    <row r="11" spans="2:11" x14ac:dyDescent="0.25">
      <c r="B11" s="1" t="s">
        <v>17</v>
      </c>
      <c r="C11" s="17">
        <v>46</v>
      </c>
      <c r="D11" s="17">
        <v>25</v>
      </c>
      <c r="E11" s="17" t="s">
        <v>37</v>
      </c>
      <c r="F11" s="17">
        <v>46</v>
      </c>
      <c r="G11" s="17">
        <v>22</v>
      </c>
      <c r="H11" s="17" t="s">
        <v>37</v>
      </c>
      <c r="I11" s="17">
        <v>46</v>
      </c>
      <c r="J11" s="17">
        <v>22</v>
      </c>
      <c r="K11" s="17" t="s">
        <v>37</v>
      </c>
    </row>
    <row r="12" spans="2:11" x14ac:dyDescent="0.25">
      <c r="B12" s="32" t="s">
        <v>74</v>
      </c>
      <c r="C12" s="31">
        <f>MIN(C4:D4)+MIN(C5:D5)+MIN(C6:D6)+MIN(C7:D7)+MIN(C8:D8)+MIN(C9:D9)+MIN(C10:D10)+MIN(C11:D11)</f>
        <v>379</v>
      </c>
      <c r="D12" s="31"/>
      <c r="E12" s="31"/>
      <c r="F12" s="31">
        <f>MIN(F4:G4)+MIN(F5:G5)+MIN(F6:G6)+MIN(F7:G7)+MIN(F8:G8)+MIN(F9:G9)+MIN(F10:G10)+MIN(F11:G11)</f>
        <v>332</v>
      </c>
      <c r="G12" s="31"/>
      <c r="H12" s="31"/>
      <c r="I12" s="31">
        <f>MIN(I4:J4)+MIN(I5:J5)+MIN(I6:J6)+MIN(I7:J7)+MIN(I8:J8)+MIN(I9:J9)+MIN(I10:J10)+MIN(I11:J11)</f>
        <v>365</v>
      </c>
      <c r="J12" s="31"/>
      <c r="K12" s="31"/>
    </row>
    <row r="13" spans="2:11" x14ac:dyDescent="0.25">
      <c r="B13" s="10"/>
      <c r="C13" s="10"/>
      <c r="D13" s="10"/>
      <c r="E13" s="10"/>
    </row>
    <row r="14" spans="2:11" x14ac:dyDescent="0.25">
      <c r="B14" s="10"/>
      <c r="C14" s="10"/>
      <c r="D14" s="10"/>
      <c r="E14" s="10"/>
    </row>
    <row r="15" spans="2:11" x14ac:dyDescent="0.25">
      <c r="B15" s="10"/>
      <c r="C15" s="10"/>
      <c r="D15" s="10"/>
      <c r="E15" s="10"/>
    </row>
    <row r="16" spans="2:11" x14ac:dyDescent="0.25">
      <c r="B16" s="10"/>
      <c r="C16" s="10"/>
      <c r="D16" s="10"/>
      <c r="E16" s="10"/>
    </row>
    <row r="17" spans="2:5" x14ac:dyDescent="0.25">
      <c r="B17" s="10"/>
      <c r="C17" s="10"/>
      <c r="D17" s="10"/>
      <c r="E17" s="10"/>
    </row>
    <row r="18" spans="2:5" x14ac:dyDescent="0.25">
      <c r="B18" s="10"/>
      <c r="C18" s="10"/>
      <c r="D18" s="10"/>
      <c r="E18" s="10"/>
    </row>
    <row r="19" spans="2:5" x14ac:dyDescent="0.25">
      <c r="B19" s="10"/>
      <c r="C19" s="10"/>
      <c r="D19" s="10"/>
      <c r="E19" s="10"/>
    </row>
    <row r="20" spans="2:5" x14ac:dyDescent="0.25">
      <c r="B20" s="10"/>
      <c r="C20" s="10"/>
      <c r="D20" s="10"/>
      <c r="E20" s="10"/>
    </row>
  </sheetData>
  <mergeCells count="13">
    <mergeCell ref="C12:E12"/>
    <mergeCell ref="F12:H12"/>
    <mergeCell ref="I1:K1"/>
    <mergeCell ref="I2:J2"/>
    <mergeCell ref="K2:K3"/>
    <mergeCell ref="I12:K12"/>
    <mergeCell ref="C2:D2"/>
    <mergeCell ref="B1:B3"/>
    <mergeCell ref="C1:E1"/>
    <mergeCell ref="E2:E3"/>
    <mergeCell ref="F1:H1"/>
    <mergeCell ref="F2:G2"/>
    <mergeCell ref="H2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71AD-782D-4436-B768-A81669B346E4}">
  <dimension ref="A1:K41"/>
  <sheetViews>
    <sheetView topLeftCell="A13" workbookViewId="0">
      <selection activeCell="D41" sqref="D41"/>
    </sheetView>
  </sheetViews>
  <sheetFormatPr defaultRowHeight="15" x14ac:dyDescent="0.25"/>
  <cols>
    <col min="2" max="2" width="22.85546875" customWidth="1"/>
    <col min="3" max="3" width="27.140625" customWidth="1"/>
    <col min="4" max="5" width="36.7109375" customWidth="1"/>
    <col min="6" max="6" width="10.42578125" customWidth="1"/>
  </cols>
  <sheetData>
    <row r="1" spans="1:11" x14ac:dyDescent="0.25">
      <c r="A1" s="8" t="s">
        <v>85</v>
      </c>
      <c r="B1" s="8"/>
      <c r="C1" s="8"/>
      <c r="D1" s="8"/>
      <c r="E1" s="8"/>
      <c r="F1" s="8"/>
      <c r="G1" s="8"/>
      <c r="H1" s="8"/>
      <c r="I1" s="8"/>
      <c r="J1" s="8"/>
      <c r="K1" s="8"/>
    </row>
    <row r="3" spans="1:11" x14ac:dyDescent="0.25">
      <c r="B3" s="6" t="s">
        <v>67</v>
      </c>
      <c r="C3" s="6"/>
      <c r="D3" s="6"/>
      <c r="E3" s="6"/>
      <c r="F3" s="6"/>
    </row>
    <row r="4" spans="1:11" ht="48" customHeight="1" x14ac:dyDescent="0.25">
      <c r="B4" s="30" t="s">
        <v>5</v>
      </c>
      <c r="C4" s="30" t="s">
        <v>7</v>
      </c>
      <c r="D4" s="34" t="s">
        <v>86</v>
      </c>
      <c r="E4" s="34" t="s">
        <v>100</v>
      </c>
      <c r="F4" s="30" t="s">
        <v>87</v>
      </c>
    </row>
    <row r="5" spans="1:11" x14ac:dyDescent="0.25">
      <c r="B5" s="11" t="s">
        <v>6</v>
      </c>
      <c r="C5" s="3" t="s">
        <v>9</v>
      </c>
      <c r="D5" s="3">
        <v>14</v>
      </c>
      <c r="E5" s="3">
        <v>28</v>
      </c>
      <c r="F5" s="3">
        <v>20</v>
      </c>
    </row>
    <row r="6" spans="1:11" x14ac:dyDescent="0.25">
      <c r="B6" s="12"/>
      <c r="C6" s="1" t="s">
        <v>10</v>
      </c>
      <c r="D6" s="1">
        <v>14</v>
      </c>
      <c r="E6" s="1">
        <v>28</v>
      </c>
      <c r="F6" s="1">
        <v>10</v>
      </c>
    </row>
    <row r="7" spans="1:11" x14ac:dyDescent="0.25">
      <c r="B7" s="11" t="s">
        <v>8</v>
      </c>
      <c r="C7" s="3" t="s">
        <v>11</v>
      </c>
      <c r="D7" s="3">
        <v>28</v>
      </c>
      <c r="E7" s="3">
        <v>55</v>
      </c>
      <c r="F7" s="3">
        <v>250</v>
      </c>
    </row>
    <row r="8" spans="1:11" x14ac:dyDescent="0.25">
      <c r="B8" s="13"/>
      <c r="C8" s="4" t="s">
        <v>12</v>
      </c>
      <c r="D8" s="4">
        <v>5</v>
      </c>
      <c r="E8" s="4">
        <v>8</v>
      </c>
      <c r="F8" s="19">
        <v>100</v>
      </c>
    </row>
    <row r="9" spans="1:11" x14ac:dyDescent="0.25">
      <c r="B9" s="13"/>
      <c r="C9" s="4" t="s">
        <v>13</v>
      </c>
      <c r="D9" s="4">
        <v>18</v>
      </c>
      <c r="E9" s="4">
        <v>35</v>
      </c>
      <c r="F9" s="19">
        <v>20</v>
      </c>
    </row>
    <row r="10" spans="1:11" x14ac:dyDescent="0.25">
      <c r="B10" s="12"/>
      <c r="C10" s="1" t="s">
        <v>14</v>
      </c>
      <c r="D10" s="1">
        <v>12</v>
      </c>
      <c r="E10" s="1">
        <v>24</v>
      </c>
      <c r="F10" s="1">
        <v>25</v>
      </c>
    </row>
    <row r="11" spans="1:11" x14ac:dyDescent="0.25">
      <c r="B11" s="11" t="s">
        <v>15</v>
      </c>
      <c r="C11" s="3" t="s">
        <v>16</v>
      </c>
      <c r="D11" s="3">
        <v>17</v>
      </c>
      <c r="E11" s="3">
        <v>35</v>
      </c>
      <c r="F11" s="4">
        <v>5</v>
      </c>
    </row>
    <row r="12" spans="1:11" x14ac:dyDescent="0.25">
      <c r="B12" s="12"/>
      <c r="C12" s="1" t="s">
        <v>17</v>
      </c>
      <c r="D12" s="1">
        <v>17</v>
      </c>
      <c r="E12" s="1">
        <v>35</v>
      </c>
      <c r="F12" s="1">
        <v>5</v>
      </c>
    </row>
    <row r="13" spans="1:11" x14ac:dyDescent="0.25">
      <c r="B13" s="15" t="s">
        <v>88</v>
      </c>
      <c r="C13" s="15"/>
      <c r="D13" s="2">
        <f>D5*F5 + D6*F6 + D7*F7 + D8*F8 + D9*F9 + D10*F10 + D11*F11 + D12*F12</f>
        <v>8750</v>
      </c>
      <c r="E13" s="2">
        <f>E5*F5 + E6*F6 + E7*F7 + E8*F8 + E9*F9 + E10*F10 + E11*F11 + E12*F12</f>
        <v>17040</v>
      </c>
      <c r="F13" s="2"/>
    </row>
    <row r="14" spans="1:11" x14ac:dyDescent="0.25">
      <c r="C14" s="19"/>
    </row>
    <row r="17" spans="2:6" x14ac:dyDescent="0.25">
      <c r="B17" s="6" t="s">
        <v>73</v>
      </c>
      <c r="C17" s="6"/>
      <c r="D17" s="6"/>
      <c r="E17" s="6"/>
      <c r="F17" s="6"/>
    </row>
    <row r="18" spans="2:6" ht="45" x14ac:dyDescent="0.25">
      <c r="B18" s="30" t="s">
        <v>5</v>
      </c>
      <c r="C18" s="30" t="s">
        <v>7</v>
      </c>
      <c r="D18" s="34" t="s">
        <v>86</v>
      </c>
      <c r="E18" s="34" t="s">
        <v>100</v>
      </c>
      <c r="F18" s="30" t="s">
        <v>87</v>
      </c>
    </row>
    <row r="19" spans="2:6" x14ac:dyDescent="0.25">
      <c r="B19" s="11" t="s">
        <v>6</v>
      </c>
      <c r="C19" s="3" t="s">
        <v>9</v>
      </c>
      <c r="D19" s="3">
        <v>14</v>
      </c>
      <c r="E19" s="3">
        <v>28</v>
      </c>
      <c r="F19" s="3">
        <v>20</v>
      </c>
    </row>
    <row r="20" spans="2:6" x14ac:dyDescent="0.25">
      <c r="B20" s="12"/>
      <c r="C20" s="1" t="s">
        <v>10</v>
      </c>
      <c r="D20" s="1">
        <v>14</v>
      </c>
      <c r="E20" s="1">
        <v>28</v>
      </c>
      <c r="F20" s="1">
        <v>10</v>
      </c>
    </row>
    <row r="21" spans="2:6" x14ac:dyDescent="0.25">
      <c r="B21" s="11" t="s">
        <v>8</v>
      </c>
      <c r="C21" s="3" t="s">
        <v>11</v>
      </c>
      <c r="D21" s="3">
        <v>28</v>
      </c>
      <c r="E21" s="3">
        <v>55</v>
      </c>
      <c r="F21" s="3">
        <v>250</v>
      </c>
    </row>
    <row r="22" spans="2:6" x14ac:dyDescent="0.25">
      <c r="B22" s="13"/>
      <c r="C22" s="4" t="s">
        <v>12</v>
      </c>
      <c r="D22" s="4">
        <v>5</v>
      </c>
      <c r="E22" s="4">
        <v>8</v>
      </c>
      <c r="F22" s="19">
        <v>50</v>
      </c>
    </row>
    <row r="23" spans="2:6" x14ac:dyDescent="0.25">
      <c r="B23" s="13"/>
      <c r="C23" s="4" t="s">
        <v>13</v>
      </c>
      <c r="D23" s="4">
        <v>18</v>
      </c>
      <c r="E23" s="4">
        <v>35</v>
      </c>
      <c r="F23" s="19">
        <v>20</v>
      </c>
    </row>
    <row r="24" spans="2:6" x14ac:dyDescent="0.25">
      <c r="B24" s="12"/>
      <c r="C24" s="1" t="s">
        <v>14</v>
      </c>
      <c r="D24" s="1">
        <v>12</v>
      </c>
      <c r="E24" s="1">
        <v>24</v>
      </c>
      <c r="F24" s="1">
        <v>25</v>
      </c>
    </row>
    <row r="25" spans="2:6" x14ac:dyDescent="0.25">
      <c r="B25" s="11" t="s">
        <v>15</v>
      </c>
      <c r="C25" s="3" t="s">
        <v>16</v>
      </c>
      <c r="D25" s="3">
        <v>17</v>
      </c>
      <c r="E25" s="3">
        <v>35</v>
      </c>
      <c r="F25" s="3">
        <v>5</v>
      </c>
    </row>
    <row r="26" spans="2:6" x14ac:dyDescent="0.25">
      <c r="B26" s="12"/>
      <c r="C26" s="1" t="s">
        <v>17</v>
      </c>
      <c r="D26" s="1">
        <v>17</v>
      </c>
      <c r="E26" s="1">
        <v>35</v>
      </c>
      <c r="F26" s="1">
        <v>5</v>
      </c>
    </row>
    <row r="27" spans="2:6" x14ac:dyDescent="0.25">
      <c r="B27" s="15" t="s">
        <v>88</v>
      </c>
      <c r="C27" s="15"/>
      <c r="D27" s="2">
        <f>D19*F19 + D20*F20 + D21*F21 + D22*F22 + D23*F23 + D24*F24 + D25*F25 + D26*F26</f>
        <v>8500</v>
      </c>
      <c r="E27" s="2">
        <f>E19*F19 + E20*F20 + E21*F21 + E22*F22 + E23*F23 + E24*F24 + E25*F25 + E26*F26</f>
        <v>16640</v>
      </c>
      <c r="F27" s="2"/>
    </row>
    <row r="28" spans="2:6" x14ac:dyDescent="0.25">
      <c r="D28">
        <f>D27+E27</f>
        <v>25140</v>
      </c>
    </row>
    <row r="30" spans="2:6" x14ac:dyDescent="0.25">
      <c r="B30" s="15" t="s">
        <v>75</v>
      </c>
      <c r="C30" s="15"/>
      <c r="D30" s="15"/>
      <c r="E30" s="15"/>
      <c r="F30" s="15"/>
    </row>
    <row r="31" spans="2:6" ht="45" x14ac:dyDescent="0.25">
      <c r="B31" s="30" t="s">
        <v>5</v>
      </c>
      <c r="C31" s="30" t="s">
        <v>7</v>
      </c>
      <c r="D31" s="34" t="s">
        <v>86</v>
      </c>
      <c r="E31" s="34" t="s">
        <v>100</v>
      </c>
      <c r="F31" s="30" t="s">
        <v>87</v>
      </c>
    </row>
    <row r="32" spans="2:6" x14ac:dyDescent="0.25">
      <c r="B32" s="11" t="s">
        <v>6</v>
      </c>
      <c r="C32" s="3" t="s">
        <v>9</v>
      </c>
      <c r="D32" s="3">
        <v>14</v>
      </c>
      <c r="E32" s="3">
        <v>28</v>
      </c>
      <c r="F32" s="3">
        <v>20</v>
      </c>
    </row>
    <row r="33" spans="2:6" x14ac:dyDescent="0.25">
      <c r="B33" s="12"/>
      <c r="C33" s="1" t="s">
        <v>10</v>
      </c>
      <c r="D33" s="1">
        <v>14</v>
      </c>
      <c r="E33" s="1">
        <v>28</v>
      </c>
      <c r="F33" s="1">
        <v>10</v>
      </c>
    </row>
    <row r="34" spans="2:6" x14ac:dyDescent="0.25">
      <c r="B34" s="11" t="s">
        <v>8</v>
      </c>
      <c r="C34" s="3" t="s">
        <v>11</v>
      </c>
      <c r="D34" s="3">
        <v>50</v>
      </c>
      <c r="E34" s="3">
        <v>80</v>
      </c>
      <c r="F34" s="3">
        <v>150</v>
      </c>
    </row>
    <row r="35" spans="2:6" x14ac:dyDescent="0.25">
      <c r="B35" s="13"/>
      <c r="C35" s="4" t="s">
        <v>12</v>
      </c>
      <c r="D35" s="4">
        <v>5</v>
      </c>
      <c r="E35" s="4">
        <v>8</v>
      </c>
      <c r="F35" s="19">
        <v>100</v>
      </c>
    </row>
    <row r="36" spans="2:6" x14ac:dyDescent="0.25">
      <c r="B36" s="13"/>
      <c r="C36" s="4" t="s">
        <v>13</v>
      </c>
      <c r="D36" s="4">
        <v>35</v>
      </c>
      <c r="E36" s="4">
        <v>55</v>
      </c>
      <c r="F36" s="19">
        <v>20</v>
      </c>
    </row>
    <row r="37" spans="2:6" x14ac:dyDescent="0.25">
      <c r="B37" s="12"/>
      <c r="C37" s="1" t="s">
        <v>14</v>
      </c>
      <c r="D37" s="1">
        <v>12</v>
      </c>
      <c r="E37" s="1">
        <v>24</v>
      </c>
      <c r="F37" s="1">
        <v>25</v>
      </c>
    </row>
    <row r="38" spans="2:6" x14ac:dyDescent="0.25">
      <c r="B38" s="11" t="s">
        <v>15</v>
      </c>
      <c r="C38" s="3" t="s">
        <v>16</v>
      </c>
      <c r="D38">
        <v>17</v>
      </c>
      <c r="E38">
        <v>35</v>
      </c>
      <c r="F38" s="3">
        <v>5</v>
      </c>
    </row>
    <row r="39" spans="2:6" x14ac:dyDescent="0.25">
      <c r="B39" s="12"/>
      <c r="C39" s="1" t="s">
        <v>17</v>
      </c>
      <c r="D39">
        <v>17</v>
      </c>
      <c r="E39">
        <v>35</v>
      </c>
      <c r="F39" s="1">
        <v>5</v>
      </c>
    </row>
    <row r="40" spans="2:6" x14ac:dyDescent="0.25">
      <c r="B40" s="15" t="s">
        <v>88</v>
      </c>
      <c r="C40" s="15"/>
      <c r="D40" s="2">
        <f>D32*F32 + D33*F33 + D34*F34 + D35*F35 + D36*F36 + D37*F37 + D38*F38 + D39*F39</f>
        <v>9590</v>
      </c>
      <c r="E40" s="2">
        <f>E32*F32 + E33*F33 + E34*F34 + E35*F35 + E36*F36 + E37*F37 + E38*F38 + E39*F39</f>
        <v>15690</v>
      </c>
      <c r="F40" s="2"/>
    </row>
    <row r="41" spans="2:6" x14ac:dyDescent="0.25">
      <c r="D41">
        <f>D40+E40</f>
        <v>25280</v>
      </c>
    </row>
  </sheetData>
  <mergeCells count="16">
    <mergeCell ref="B30:F30"/>
    <mergeCell ref="B32:B33"/>
    <mergeCell ref="B34:B37"/>
    <mergeCell ref="B38:B39"/>
    <mergeCell ref="B40:C40"/>
    <mergeCell ref="B19:B20"/>
    <mergeCell ref="B21:B24"/>
    <mergeCell ref="B25:B26"/>
    <mergeCell ref="B27:C27"/>
    <mergeCell ref="B3:F3"/>
    <mergeCell ref="B17:F17"/>
    <mergeCell ref="A1:K1"/>
    <mergeCell ref="B5:B6"/>
    <mergeCell ref="B7:B10"/>
    <mergeCell ref="B11:B12"/>
    <mergeCell ref="B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D238-39C0-468C-9EE9-FD172E5226DF}">
  <dimension ref="B1:X144"/>
  <sheetViews>
    <sheetView topLeftCell="A124" workbookViewId="0">
      <selection activeCell="C144" sqref="C144:K144"/>
    </sheetView>
  </sheetViews>
  <sheetFormatPr defaultRowHeight="15" x14ac:dyDescent="0.25"/>
  <cols>
    <col min="2" max="2" width="30.140625" customWidth="1"/>
  </cols>
  <sheetData>
    <row r="1" spans="2:24" x14ac:dyDescent="0.25">
      <c r="D1">
        <v>50</v>
      </c>
      <c r="F1" s="2">
        <v>435</v>
      </c>
    </row>
    <row r="2" spans="2:24" x14ac:dyDescent="0.25">
      <c r="B2" s="5" t="s">
        <v>0</v>
      </c>
      <c r="C2" s="5" t="s">
        <v>91</v>
      </c>
      <c r="D2" s="5"/>
      <c r="E2" s="5"/>
      <c r="F2" s="5"/>
      <c r="G2" s="5"/>
      <c r="H2" s="5"/>
      <c r="I2" s="5"/>
      <c r="J2" s="5"/>
      <c r="K2" s="5"/>
      <c r="L2" s="5" t="s">
        <v>1</v>
      </c>
      <c r="T2" s="8" t="s">
        <v>89</v>
      </c>
      <c r="U2" s="8"/>
      <c r="V2" s="8"/>
      <c r="W2" s="8"/>
      <c r="X2" s="8"/>
    </row>
    <row r="3" spans="2:24" x14ac:dyDescent="0.25">
      <c r="B3" s="6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6"/>
    </row>
    <row r="4" spans="2:24" x14ac:dyDescent="0.25">
      <c r="B4" s="37" t="s">
        <v>2</v>
      </c>
      <c r="C4" s="3"/>
      <c r="D4" s="3"/>
      <c r="E4" s="3"/>
      <c r="F4" s="3"/>
      <c r="G4" s="3"/>
      <c r="H4" s="3"/>
      <c r="I4" s="3"/>
      <c r="J4" s="3"/>
      <c r="K4" s="3"/>
      <c r="L4" s="4">
        <f t="shared" ref="L4:L7" si="0">SUM(C4:K4)</f>
        <v>0</v>
      </c>
    </row>
    <row r="5" spans="2:24" x14ac:dyDescent="0.25">
      <c r="B5" s="4" t="s">
        <v>92</v>
      </c>
      <c r="C5" s="4">
        <v>500</v>
      </c>
      <c r="D5" s="4">
        <v>500</v>
      </c>
      <c r="E5" s="4"/>
      <c r="F5" s="4"/>
      <c r="G5" s="4"/>
      <c r="H5" s="4"/>
      <c r="I5" s="4"/>
      <c r="J5" s="4"/>
      <c r="K5" s="4"/>
      <c r="L5" s="4">
        <f t="shared" si="0"/>
        <v>1000</v>
      </c>
    </row>
    <row r="6" spans="2:24" x14ac:dyDescent="0.25">
      <c r="B6" s="19" t="s">
        <v>93</v>
      </c>
      <c r="C6" s="4">
        <v>500</v>
      </c>
      <c r="D6" s="4">
        <v>500</v>
      </c>
      <c r="E6" s="4"/>
      <c r="F6" s="4"/>
      <c r="G6" s="4"/>
      <c r="H6" s="4"/>
      <c r="I6" s="4"/>
      <c r="J6" s="4"/>
      <c r="K6" s="4"/>
      <c r="L6" s="4">
        <f t="shared" si="0"/>
        <v>1000</v>
      </c>
    </row>
    <row r="7" spans="2:24" x14ac:dyDescent="0.25">
      <c r="B7" s="36" t="s">
        <v>94</v>
      </c>
      <c r="C7" s="36">
        <v>1000</v>
      </c>
      <c r="D7" s="1"/>
      <c r="E7" s="1"/>
      <c r="F7" s="1"/>
      <c r="G7" s="1"/>
      <c r="H7" s="1"/>
      <c r="I7" s="1"/>
      <c r="J7" s="1"/>
      <c r="K7" s="1"/>
      <c r="L7" s="4">
        <f t="shared" si="0"/>
        <v>1000</v>
      </c>
    </row>
    <row r="8" spans="2:24" x14ac:dyDescent="0.25">
      <c r="B8" s="38" t="s">
        <v>110</v>
      </c>
      <c r="C8" s="2">
        <f>SUM(C5:C7)</f>
        <v>2000</v>
      </c>
      <c r="D8" s="2">
        <f t="shared" ref="D8:K8" si="1">SUM(D5:D7)</f>
        <v>1000</v>
      </c>
      <c r="E8" s="2">
        <f t="shared" si="1"/>
        <v>0</v>
      </c>
      <c r="F8" s="2">
        <f t="shared" si="1"/>
        <v>0</v>
      </c>
      <c r="G8" s="2">
        <f t="shared" si="1"/>
        <v>0</v>
      </c>
      <c r="H8" s="2">
        <f t="shared" si="1"/>
        <v>0</v>
      </c>
      <c r="I8" s="2">
        <f t="shared" si="1"/>
        <v>0</v>
      </c>
      <c r="J8" s="2">
        <f t="shared" si="1"/>
        <v>0</v>
      </c>
      <c r="K8" s="2">
        <f t="shared" si="1"/>
        <v>0</v>
      </c>
      <c r="L8" s="39">
        <f>SUM(C8:K8)</f>
        <v>3000</v>
      </c>
    </row>
    <row r="9" spans="2:24" x14ac:dyDescent="0.25">
      <c r="B9" s="37" t="s">
        <v>3</v>
      </c>
      <c r="C9" s="3"/>
      <c r="D9" s="3"/>
      <c r="E9" s="3"/>
      <c r="F9" s="3"/>
      <c r="G9" s="3"/>
      <c r="H9" s="3"/>
      <c r="I9" s="3"/>
      <c r="J9" s="3"/>
      <c r="K9" s="3"/>
      <c r="L9" s="4">
        <f t="shared" ref="L9:L21" si="2">SUM(C9:K9)</f>
        <v>0</v>
      </c>
    </row>
    <row r="10" spans="2:24" x14ac:dyDescent="0.25">
      <c r="B10" s="19" t="s">
        <v>95</v>
      </c>
      <c r="C10" s="4">
        <f>500*12</f>
        <v>6000</v>
      </c>
      <c r="D10" s="4">
        <f t="shared" ref="D10:K10" si="3">500*12</f>
        <v>6000</v>
      </c>
      <c r="E10" s="4">
        <f t="shared" si="3"/>
        <v>6000</v>
      </c>
      <c r="F10" s="4">
        <f t="shared" si="3"/>
        <v>6000</v>
      </c>
      <c r="G10" s="4">
        <f t="shared" si="3"/>
        <v>6000</v>
      </c>
      <c r="H10" s="4">
        <f t="shared" si="3"/>
        <v>6000</v>
      </c>
      <c r="I10" s="4">
        <f t="shared" si="3"/>
        <v>6000</v>
      </c>
      <c r="J10" s="4">
        <f t="shared" si="3"/>
        <v>6000</v>
      </c>
      <c r="K10" s="4">
        <f t="shared" si="3"/>
        <v>6000</v>
      </c>
      <c r="L10" s="4">
        <f t="shared" si="2"/>
        <v>54000</v>
      </c>
    </row>
    <row r="11" spans="2:24" ht="30" x14ac:dyDescent="0.25">
      <c r="B11" s="35" t="s">
        <v>96</v>
      </c>
      <c r="C11" s="4">
        <f>D1*F1</f>
        <v>21750</v>
      </c>
      <c r="D11" s="4">
        <v>21750</v>
      </c>
      <c r="E11" s="4">
        <v>21750</v>
      </c>
      <c r="F11" s="4">
        <v>21750</v>
      </c>
      <c r="G11" s="4">
        <v>21750</v>
      </c>
      <c r="H11" s="4">
        <v>21750</v>
      </c>
      <c r="I11" s="4">
        <v>21750</v>
      </c>
      <c r="J11" s="4">
        <v>21750</v>
      </c>
      <c r="K11" s="4">
        <v>0</v>
      </c>
      <c r="L11" s="4">
        <f t="shared" si="2"/>
        <v>174000</v>
      </c>
    </row>
    <row r="12" spans="2:24" x14ac:dyDescent="0.25">
      <c r="B12" s="19" t="s">
        <v>97</v>
      </c>
      <c r="C12" s="4">
        <v>500</v>
      </c>
      <c r="D12" s="4">
        <v>250</v>
      </c>
      <c r="E12" s="4"/>
      <c r="F12" s="4"/>
      <c r="G12" s="4"/>
      <c r="H12" s="4"/>
      <c r="I12" s="4"/>
      <c r="J12" s="4"/>
      <c r="K12" s="4"/>
      <c r="L12" s="4">
        <f t="shared" si="2"/>
        <v>750</v>
      </c>
    </row>
    <row r="13" spans="2:24" x14ac:dyDescent="0.25">
      <c r="B13" s="19" t="s">
        <v>101</v>
      </c>
      <c r="C13" s="4">
        <f>50*50</f>
        <v>2500</v>
      </c>
      <c r="D13" s="4">
        <f t="shared" ref="D13:K13" si="4">50*50</f>
        <v>2500</v>
      </c>
      <c r="E13" s="4">
        <f t="shared" si="4"/>
        <v>2500</v>
      </c>
      <c r="F13" s="4">
        <f t="shared" si="4"/>
        <v>2500</v>
      </c>
      <c r="G13" s="4">
        <f t="shared" si="4"/>
        <v>2500</v>
      </c>
      <c r="H13" s="4">
        <f t="shared" si="4"/>
        <v>2500</v>
      </c>
      <c r="I13" s="4">
        <f t="shared" si="4"/>
        <v>2500</v>
      </c>
      <c r="J13" s="4">
        <f t="shared" si="4"/>
        <v>2500</v>
      </c>
      <c r="K13" s="4">
        <v>0</v>
      </c>
      <c r="L13" s="4">
        <f t="shared" si="2"/>
        <v>20000</v>
      </c>
    </row>
    <row r="14" spans="2:24" x14ac:dyDescent="0.25">
      <c r="B14" s="38" t="s">
        <v>111</v>
      </c>
      <c r="C14" s="2">
        <f>SUM(C10:C13)</f>
        <v>30750</v>
      </c>
      <c r="D14" s="2">
        <f t="shared" ref="D14:K14" si="5">SUM(D10:D13)</f>
        <v>30500</v>
      </c>
      <c r="E14" s="2">
        <f t="shared" si="5"/>
        <v>30250</v>
      </c>
      <c r="F14" s="2">
        <f t="shared" si="5"/>
        <v>30250</v>
      </c>
      <c r="G14" s="2">
        <f t="shared" si="5"/>
        <v>30250</v>
      </c>
      <c r="H14" s="2">
        <f t="shared" si="5"/>
        <v>30250</v>
      </c>
      <c r="I14" s="2">
        <f t="shared" si="5"/>
        <v>30250</v>
      </c>
      <c r="J14" s="2">
        <f t="shared" si="5"/>
        <v>30250</v>
      </c>
      <c r="K14" s="2">
        <f t="shared" si="5"/>
        <v>6000</v>
      </c>
      <c r="L14" s="39">
        <f t="shared" si="2"/>
        <v>248750</v>
      </c>
    </row>
    <row r="15" spans="2:24" x14ac:dyDescent="0.25">
      <c r="B15" s="37" t="s">
        <v>4</v>
      </c>
      <c r="L15" s="4">
        <f t="shared" si="2"/>
        <v>0</v>
      </c>
    </row>
    <row r="16" spans="2:24" x14ac:dyDescent="0.25">
      <c r="B16" t="s">
        <v>98</v>
      </c>
      <c r="C16">
        <f>2000*1.7*2*12</f>
        <v>81600</v>
      </c>
      <c r="D16">
        <f t="shared" ref="D16:K16" si="6">2000*1.7*2*12</f>
        <v>81600</v>
      </c>
      <c r="E16">
        <f t="shared" si="6"/>
        <v>81600</v>
      </c>
      <c r="F16">
        <f t="shared" si="6"/>
        <v>81600</v>
      </c>
      <c r="G16">
        <f t="shared" si="6"/>
        <v>81600</v>
      </c>
      <c r="H16">
        <f t="shared" si="6"/>
        <v>81600</v>
      </c>
      <c r="I16">
        <f t="shared" si="6"/>
        <v>81600</v>
      </c>
      <c r="J16">
        <f t="shared" si="6"/>
        <v>81600</v>
      </c>
      <c r="K16">
        <f t="shared" si="6"/>
        <v>81600</v>
      </c>
      <c r="L16" s="4">
        <f t="shared" si="2"/>
        <v>734400</v>
      </c>
    </row>
    <row r="17" spans="2:24" ht="30" x14ac:dyDescent="0.25">
      <c r="B17" s="33" t="s">
        <v>99</v>
      </c>
      <c r="C17">
        <v>8750</v>
      </c>
      <c r="L17" s="4">
        <f t="shared" si="2"/>
        <v>8750</v>
      </c>
    </row>
    <row r="18" spans="2:24" x14ac:dyDescent="0.25">
      <c r="B18" t="s">
        <v>102</v>
      </c>
      <c r="C18">
        <v>25500</v>
      </c>
      <c r="D18">
        <v>25500</v>
      </c>
      <c r="E18">
        <v>25500</v>
      </c>
      <c r="F18">
        <v>25500</v>
      </c>
      <c r="G18">
        <v>25500</v>
      </c>
      <c r="H18">
        <v>25500</v>
      </c>
      <c r="I18">
        <v>25500</v>
      </c>
      <c r="J18">
        <v>25500</v>
      </c>
      <c r="K18">
        <v>25500</v>
      </c>
      <c r="L18" s="4">
        <f t="shared" si="2"/>
        <v>229500</v>
      </c>
    </row>
    <row r="19" spans="2:24" x14ac:dyDescent="0.25">
      <c r="B19" t="s">
        <v>109</v>
      </c>
      <c r="C19">
        <f>200*12</f>
        <v>2400</v>
      </c>
      <c r="D19">
        <f t="shared" ref="D19:K19" si="7">200*12</f>
        <v>2400</v>
      </c>
      <c r="E19">
        <f t="shared" si="7"/>
        <v>2400</v>
      </c>
      <c r="F19">
        <f t="shared" si="7"/>
        <v>2400</v>
      </c>
      <c r="G19">
        <f t="shared" si="7"/>
        <v>2400</v>
      </c>
      <c r="H19">
        <f t="shared" si="7"/>
        <v>2400</v>
      </c>
      <c r="I19">
        <f t="shared" si="7"/>
        <v>2400</v>
      </c>
      <c r="J19">
        <f t="shared" si="7"/>
        <v>2400</v>
      </c>
      <c r="K19">
        <f t="shared" si="7"/>
        <v>2400</v>
      </c>
      <c r="L19" s="4">
        <f t="shared" si="2"/>
        <v>21600</v>
      </c>
    </row>
    <row r="20" spans="2:24" x14ac:dyDescent="0.25">
      <c r="B20" s="39" t="s">
        <v>111</v>
      </c>
      <c r="C20" s="2">
        <f>SUM(C15:C19)</f>
        <v>118250</v>
      </c>
      <c r="D20" s="2">
        <f t="shared" ref="D20:K20" si="8">SUM(D15:D19)</f>
        <v>109500</v>
      </c>
      <c r="E20" s="2">
        <f t="shared" si="8"/>
        <v>109500</v>
      </c>
      <c r="F20" s="2">
        <f t="shared" si="8"/>
        <v>109500</v>
      </c>
      <c r="G20" s="2">
        <f t="shared" si="8"/>
        <v>109500</v>
      </c>
      <c r="H20" s="2">
        <f t="shared" si="8"/>
        <v>109500</v>
      </c>
      <c r="I20" s="2">
        <f t="shared" si="8"/>
        <v>109500</v>
      </c>
      <c r="J20" s="2">
        <f t="shared" si="8"/>
        <v>109500</v>
      </c>
      <c r="K20" s="2">
        <f t="shared" si="8"/>
        <v>109500</v>
      </c>
      <c r="L20" s="39">
        <f t="shared" si="2"/>
        <v>994250</v>
      </c>
    </row>
    <row r="21" spans="2:24" x14ac:dyDescent="0.25">
      <c r="B21" s="39" t="s">
        <v>19</v>
      </c>
      <c r="C21" s="2">
        <f>SUM(C14,C20,C8)</f>
        <v>151000</v>
      </c>
      <c r="D21" s="2">
        <f t="shared" ref="D21:K21" si="9">SUM(D14,D20,D8)</f>
        <v>141000</v>
      </c>
      <c r="E21" s="2">
        <f t="shared" si="9"/>
        <v>139750</v>
      </c>
      <c r="F21" s="2">
        <f t="shared" si="9"/>
        <v>139750</v>
      </c>
      <c r="G21" s="2">
        <f t="shared" si="9"/>
        <v>139750</v>
      </c>
      <c r="H21" s="2">
        <f t="shared" si="9"/>
        <v>139750</v>
      </c>
      <c r="I21" s="2">
        <f t="shared" si="9"/>
        <v>139750</v>
      </c>
      <c r="J21" s="2">
        <f t="shared" si="9"/>
        <v>139750</v>
      </c>
      <c r="K21" s="2">
        <f t="shared" si="9"/>
        <v>115500</v>
      </c>
      <c r="L21" s="39">
        <f t="shared" si="2"/>
        <v>1246000</v>
      </c>
    </row>
    <row r="25" spans="2:24" x14ac:dyDescent="0.25">
      <c r="C25" t="s">
        <v>115</v>
      </c>
      <c r="D25">
        <v>100</v>
      </c>
      <c r="E25" t="s">
        <v>116</v>
      </c>
      <c r="F25" s="2">
        <v>435</v>
      </c>
    </row>
    <row r="26" spans="2:24" x14ac:dyDescent="0.25">
      <c r="B26" s="5" t="s">
        <v>0</v>
      </c>
      <c r="C26" s="5" t="s">
        <v>112</v>
      </c>
      <c r="D26" s="5"/>
      <c r="E26" s="5"/>
      <c r="F26" s="5"/>
      <c r="G26" s="5"/>
      <c r="H26" s="5"/>
      <c r="I26" s="5"/>
      <c r="J26" s="5"/>
      <c r="K26" s="5"/>
      <c r="L26" s="5" t="s">
        <v>1</v>
      </c>
    </row>
    <row r="27" spans="2:24" x14ac:dyDescent="0.25">
      <c r="B27" s="6"/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9</v>
      </c>
      <c r="L27" s="6"/>
      <c r="T27" s="8" t="s">
        <v>90</v>
      </c>
      <c r="U27" s="8"/>
      <c r="V27" s="8"/>
      <c r="W27" s="8"/>
      <c r="X27" s="8"/>
    </row>
    <row r="28" spans="2:24" x14ac:dyDescent="0.25">
      <c r="B28" s="37" t="s">
        <v>2</v>
      </c>
      <c r="C28" s="3"/>
      <c r="D28" s="3"/>
      <c r="E28" s="3"/>
      <c r="F28" s="3"/>
      <c r="G28" s="3"/>
      <c r="H28" s="3"/>
      <c r="I28" s="3"/>
      <c r="J28" s="3"/>
      <c r="K28" s="3"/>
      <c r="L28" s="4">
        <f t="shared" ref="L28:L31" si="10">SUM(C28:K28)</f>
        <v>0</v>
      </c>
    </row>
    <row r="29" spans="2:24" x14ac:dyDescent="0.25">
      <c r="B29" s="4" t="s">
        <v>92</v>
      </c>
      <c r="C29" s="4">
        <v>500</v>
      </c>
      <c r="D29" s="4">
        <v>500</v>
      </c>
      <c r="E29" s="4"/>
      <c r="F29" s="4"/>
      <c r="G29" s="4"/>
      <c r="H29" s="4"/>
      <c r="I29" s="4"/>
      <c r="J29" s="4"/>
      <c r="K29" s="4"/>
      <c r="L29" s="4">
        <f t="shared" si="10"/>
        <v>1000</v>
      </c>
    </row>
    <row r="30" spans="2:24" x14ac:dyDescent="0.25">
      <c r="B30" s="19" t="s">
        <v>93</v>
      </c>
      <c r="C30" s="4">
        <v>500</v>
      </c>
      <c r="D30" s="4">
        <v>500</v>
      </c>
      <c r="E30" s="4"/>
      <c r="F30" s="4"/>
      <c r="G30" s="4"/>
      <c r="H30" s="4"/>
      <c r="I30" s="4"/>
      <c r="J30" s="4"/>
      <c r="K30" s="4"/>
      <c r="L30" s="4">
        <f t="shared" si="10"/>
        <v>1000</v>
      </c>
    </row>
    <row r="31" spans="2:24" x14ac:dyDescent="0.25">
      <c r="B31" s="36" t="s">
        <v>94</v>
      </c>
      <c r="C31" s="36">
        <v>1000</v>
      </c>
      <c r="D31" s="1"/>
      <c r="E31" s="1"/>
      <c r="F31" s="1"/>
      <c r="G31" s="1"/>
      <c r="H31" s="1"/>
      <c r="I31" s="1"/>
      <c r="J31" s="1"/>
      <c r="K31" s="1"/>
      <c r="L31" s="4">
        <f t="shared" si="10"/>
        <v>1000</v>
      </c>
    </row>
    <row r="32" spans="2:24" x14ac:dyDescent="0.25">
      <c r="B32" s="38" t="s">
        <v>110</v>
      </c>
      <c r="C32" s="2">
        <f>SUM(C29:C31)</f>
        <v>2000</v>
      </c>
      <c r="D32" s="2">
        <f t="shared" ref="D32" si="11">SUM(D29:D31)</f>
        <v>1000</v>
      </c>
      <c r="E32" s="2">
        <f t="shared" ref="E32" si="12">SUM(E29:E31)</f>
        <v>0</v>
      </c>
      <c r="F32" s="2">
        <f t="shared" ref="F32" si="13">SUM(F29:F31)</f>
        <v>0</v>
      </c>
      <c r="G32" s="2">
        <f t="shared" ref="G32" si="14">SUM(G29:G31)</f>
        <v>0</v>
      </c>
      <c r="H32" s="2">
        <f t="shared" ref="H32" si="15">SUM(H29:H31)</f>
        <v>0</v>
      </c>
      <c r="I32" s="2">
        <f t="shared" ref="I32" si="16">SUM(I29:I31)</f>
        <v>0</v>
      </c>
      <c r="J32" s="2">
        <f t="shared" ref="J32" si="17">SUM(J29:J31)</f>
        <v>0</v>
      </c>
      <c r="K32" s="2">
        <f t="shared" ref="K32" si="18">SUM(K29:K31)</f>
        <v>0</v>
      </c>
      <c r="L32" s="39">
        <f>SUM(C32:K32)</f>
        <v>3000</v>
      </c>
    </row>
    <row r="33" spans="2:12" x14ac:dyDescent="0.25">
      <c r="B33" s="37" t="s">
        <v>3</v>
      </c>
      <c r="C33" s="3"/>
      <c r="D33" s="3"/>
      <c r="E33" s="3"/>
      <c r="F33" s="3"/>
      <c r="G33" s="3"/>
      <c r="H33" s="3"/>
      <c r="I33" s="3"/>
      <c r="J33" s="3"/>
      <c r="K33" s="3"/>
      <c r="L33" s="3">
        <f t="shared" ref="L33:L45" si="19">SUM(C33:K33)</f>
        <v>0</v>
      </c>
    </row>
    <row r="34" spans="2:12" x14ac:dyDescent="0.25">
      <c r="B34" s="19" t="s">
        <v>95</v>
      </c>
      <c r="C34" s="4">
        <f>500*12</f>
        <v>6000</v>
      </c>
      <c r="D34" s="4">
        <f t="shared" ref="D34:K34" si="20">500*12</f>
        <v>6000</v>
      </c>
      <c r="E34" s="4">
        <f t="shared" si="20"/>
        <v>6000</v>
      </c>
      <c r="F34" s="4">
        <f t="shared" si="20"/>
        <v>6000</v>
      </c>
      <c r="G34" s="4">
        <f t="shared" si="20"/>
        <v>6000</v>
      </c>
      <c r="H34" s="4">
        <f t="shared" si="20"/>
        <v>6000</v>
      </c>
      <c r="I34" s="4">
        <f t="shared" si="20"/>
        <v>6000</v>
      </c>
      <c r="J34" s="4">
        <f t="shared" si="20"/>
        <v>6000</v>
      </c>
      <c r="K34" s="4">
        <f t="shared" si="20"/>
        <v>6000</v>
      </c>
      <c r="L34" s="4">
        <f t="shared" si="19"/>
        <v>54000</v>
      </c>
    </row>
    <row r="35" spans="2:12" ht="30" x14ac:dyDescent="0.25">
      <c r="B35" s="35" t="s">
        <v>96</v>
      </c>
      <c r="C35" s="4">
        <f>D25*F25</f>
        <v>43500</v>
      </c>
      <c r="D35" s="4">
        <v>43500</v>
      </c>
      <c r="E35" s="4">
        <v>43500</v>
      </c>
      <c r="F35" s="4">
        <v>43500</v>
      </c>
      <c r="G35" s="4">
        <v>43500</v>
      </c>
      <c r="H35" s="4">
        <v>43500</v>
      </c>
      <c r="I35" s="4">
        <v>43500</v>
      </c>
      <c r="J35" s="4">
        <v>43500</v>
      </c>
      <c r="K35" s="4">
        <v>0</v>
      </c>
      <c r="L35" s="4">
        <f t="shared" si="19"/>
        <v>348000</v>
      </c>
    </row>
    <row r="36" spans="2:12" x14ac:dyDescent="0.25">
      <c r="B36" s="19" t="s">
        <v>97</v>
      </c>
      <c r="C36" s="4">
        <v>500</v>
      </c>
      <c r="D36" s="4">
        <v>250</v>
      </c>
      <c r="E36" s="4"/>
      <c r="F36" s="4"/>
      <c r="G36" s="4"/>
      <c r="H36" s="4"/>
      <c r="I36" s="4"/>
      <c r="J36" s="4"/>
      <c r="K36" s="4"/>
      <c r="L36" s="4">
        <f t="shared" si="19"/>
        <v>750</v>
      </c>
    </row>
    <row r="37" spans="2:12" x14ac:dyDescent="0.25">
      <c r="B37" s="19" t="s">
        <v>101</v>
      </c>
      <c r="C37" s="4">
        <f>50*100</f>
        <v>5000</v>
      </c>
      <c r="D37" s="4">
        <f t="shared" ref="D37:J37" si="21">50*100</f>
        <v>5000</v>
      </c>
      <c r="E37" s="4">
        <f t="shared" si="21"/>
        <v>5000</v>
      </c>
      <c r="F37" s="4">
        <f t="shared" si="21"/>
        <v>5000</v>
      </c>
      <c r="G37" s="4">
        <f t="shared" si="21"/>
        <v>5000</v>
      </c>
      <c r="H37" s="4">
        <f t="shared" si="21"/>
        <v>5000</v>
      </c>
      <c r="I37" s="4">
        <f t="shared" si="21"/>
        <v>5000</v>
      </c>
      <c r="J37" s="4">
        <f t="shared" si="21"/>
        <v>5000</v>
      </c>
      <c r="K37" s="4">
        <v>0</v>
      </c>
      <c r="L37" s="1">
        <f t="shared" si="19"/>
        <v>40000</v>
      </c>
    </row>
    <row r="38" spans="2:12" x14ac:dyDescent="0.25">
      <c r="B38" s="38" t="s">
        <v>111</v>
      </c>
      <c r="C38" s="2">
        <f>SUM(C34:C37)</f>
        <v>55000</v>
      </c>
      <c r="D38" s="2">
        <f t="shared" ref="D38" si="22">SUM(D34:D37)</f>
        <v>54750</v>
      </c>
      <c r="E38" s="2">
        <f t="shared" ref="E38" si="23">SUM(E34:E37)</f>
        <v>54500</v>
      </c>
      <c r="F38" s="2">
        <f t="shared" ref="F38" si="24">SUM(F34:F37)</f>
        <v>54500</v>
      </c>
      <c r="G38" s="2">
        <f t="shared" ref="G38" si="25">SUM(G34:G37)</f>
        <v>54500</v>
      </c>
      <c r="H38" s="2">
        <f t="shared" ref="H38" si="26">SUM(H34:H37)</f>
        <v>54500</v>
      </c>
      <c r="I38" s="2">
        <f t="shared" ref="I38" si="27">SUM(I34:I37)</f>
        <v>54500</v>
      </c>
      <c r="J38" s="2">
        <f t="shared" ref="J38" si="28">SUM(J34:J37)</f>
        <v>54500</v>
      </c>
      <c r="K38" s="2">
        <f t="shared" ref="K38" si="29">SUM(K34:K37)</f>
        <v>6000</v>
      </c>
      <c r="L38" s="39">
        <f t="shared" si="19"/>
        <v>442750</v>
      </c>
    </row>
    <row r="39" spans="2:12" x14ac:dyDescent="0.25">
      <c r="B39" s="37" t="s">
        <v>4</v>
      </c>
      <c r="L39" s="3">
        <f t="shared" si="19"/>
        <v>0</v>
      </c>
    </row>
    <row r="40" spans="2:12" x14ac:dyDescent="0.25">
      <c r="B40" t="s">
        <v>98</v>
      </c>
      <c r="C40">
        <f>2000*1.7*2*12</f>
        <v>81600</v>
      </c>
      <c r="D40">
        <f t="shared" ref="D40:K40" si="30">2000*1.7*2*12</f>
        <v>81600</v>
      </c>
      <c r="E40">
        <f t="shared" si="30"/>
        <v>81600</v>
      </c>
      <c r="F40">
        <f t="shared" si="30"/>
        <v>81600</v>
      </c>
      <c r="G40">
        <f t="shared" si="30"/>
        <v>81600</v>
      </c>
      <c r="H40">
        <f t="shared" si="30"/>
        <v>81600</v>
      </c>
      <c r="I40">
        <f t="shared" si="30"/>
        <v>81600</v>
      </c>
      <c r="J40">
        <f t="shared" si="30"/>
        <v>81600</v>
      </c>
      <c r="K40">
        <f t="shared" si="30"/>
        <v>81600</v>
      </c>
      <c r="L40" s="4">
        <f t="shared" si="19"/>
        <v>734400</v>
      </c>
    </row>
    <row r="41" spans="2:12" ht="30" x14ac:dyDescent="0.25">
      <c r="B41" s="33" t="s">
        <v>99</v>
      </c>
      <c r="C41">
        <v>17040</v>
      </c>
      <c r="L41" s="4">
        <f t="shared" si="19"/>
        <v>17040</v>
      </c>
    </row>
    <row r="42" spans="2:12" x14ac:dyDescent="0.25">
      <c r="B42" t="s">
        <v>102</v>
      </c>
      <c r="C42">
        <v>51000</v>
      </c>
      <c r="D42">
        <v>51000</v>
      </c>
      <c r="E42">
        <v>51000</v>
      </c>
      <c r="F42">
        <v>51000</v>
      </c>
      <c r="G42">
        <v>51000</v>
      </c>
      <c r="H42">
        <v>51000</v>
      </c>
      <c r="I42">
        <v>51000</v>
      </c>
      <c r="J42">
        <v>51000</v>
      </c>
      <c r="K42">
        <v>51000</v>
      </c>
      <c r="L42" s="4">
        <f t="shared" si="19"/>
        <v>459000</v>
      </c>
    </row>
    <row r="43" spans="2:12" x14ac:dyDescent="0.25">
      <c r="B43" t="s">
        <v>109</v>
      </c>
      <c r="C43">
        <f>200*12</f>
        <v>2400</v>
      </c>
      <c r="D43">
        <f t="shared" ref="D43:K43" si="31">200*12</f>
        <v>2400</v>
      </c>
      <c r="E43">
        <f t="shared" si="31"/>
        <v>2400</v>
      </c>
      <c r="F43">
        <f t="shared" si="31"/>
        <v>2400</v>
      </c>
      <c r="G43">
        <f t="shared" si="31"/>
        <v>2400</v>
      </c>
      <c r="H43">
        <f t="shared" si="31"/>
        <v>2400</v>
      </c>
      <c r="I43">
        <f t="shared" si="31"/>
        <v>2400</v>
      </c>
      <c r="J43">
        <f t="shared" si="31"/>
        <v>2400</v>
      </c>
      <c r="K43">
        <f t="shared" si="31"/>
        <v>2400</v>
      </c>
      <c r="L43" s="1">
        <f t="shared" si="19"/>
        <v>21600</v>
      </c>
    </row>
    <row r="44" spans="2:12" x14ac:dyDescent="0.25">
      <c r="B44" s="39" t="s">
        <v>111</v>
      </c>
      <c r="C44" s="2">
        <f>SUM(C39:C43)</f>
        <v>152040</v>
      </c>
      <c r="D44" s="2">
        <f t="shared" ref="D44" si="32">SUM(D39:D43)</f>
        <v>135000</v>
      </c>
      <c r="E44" s="2">
        <f t="shared" ref="E44" si="33">SUM(E39:E43)</f>
        <v>135000</v>
      </c>
      <c r="F44" s="2">
        <f t="shared" ref="F44" si="34">SUM(F39:F43)</f>
        <v>135000</v>
      </c>
      <c r="G44" s="2">
        <f t="shared" ref="G44" si="35">SUM(G39:G43)</f>
        <v>135000</v>
      </c>
      <c r="H44" s="2">
        <f t="shared" ref="H44" si="36">SUM(H39:H43)</f>
        <v>135000</v>
      </c>
      <c r="I44" s="2">
        <f t="shared" ref="I44" si="37">SUM(I39:I43)</f>
        <v>135000</v>
      </c>
      <c r="J44" s="2">
        <f t="shared" ref="J44" si="38">SUM(J39:J43)</f>
        <v>135000</v>
      </c>
      <c r="K44" s="2">
        <f t="shared" ref="K44" si="39">SUM(K39:K43)</f>
        <v>135000</v>
      </c>
      <c r="L44" s="39">
        <f t="shared" si="19"/>
        <v>1232040</v>
      </c>
    </row>
    <row r="45" spans="2:12" x14ac:dyDescent="0.25">
      <c r="B45" s="39" t="s">
        <v>19</v>
      </c>
      <c r="C45" s="2">
        <f>SUM(C38,C44,C32)</f>
        <v>209040</v>
      </c>
      <c r="D45" s="2">
        <f t="shared" ref="D45" si="40">SUM(D38,D44,D32)</f>
        <v>190750</v>
      </c>
      <c r="E45" s="2">
        <f t="shared" ref="E45" si="41">SUM(E38,E44,E32)</f>
        <v>189500</v>
      </c>
      <c r="F45" s="2">
        <f t="shared" ref="F45" si="42">SUM(F38,F44,F32)</f>
        <v>189500</v>
      </c>
      <c r="G45" s="2">
        <f t="shared" ref="G45" si="43">SUM(G38,G44,G32)</f>
        <v>189500</v>
      </c>
      <c r="H45" s="2">
        <f t="shared" ref="H45" si="44">SUM(H38,H44,H32)</f>
        <v>189500</v>
      </c>
      <c r="I45" s="2">
        <f t="shared" ref="I45" si="45">SUM(I38,I44,I32)</f>
        <v>189500</v>
      </c>
      <c r="J45" s="2">
        <f t="shared" ref="J45" si="46">SUM(J38,J44,J32)</f>
        <v>189500</v>
      </c>
      <c r="K45" s="2">
        <f t="shared" ref="K45" si="47">SUM(K38,K44,K32)</f>
        <v>141000</v>
      </c>
      <c r="L45" s="39">
        <f t="shared" si="19"/>
        <v>1677790</v>
      </c>
    </row>
    <row r="51" spans="2:12" x14ac:dyDescent="0.25">
      <c r="D51">
        <v>50</v>
      </c>
      <c r="F51" s="2">
        <v>385</v>
      </c>
    </row>
    <row r="52" spans="2:12" x14ac:dyDescent="0.25">
      <c r="B52" s="5" t="s">
        <v>0</v>
      </c>
      <c r="C52" s="5" t="s">
        <v>114</v>
      </c>
      <c r="D52" s="5"/>
      <c r="E52" s="5"/>
      <c r="F52" s="5"/>
      <c r="G52" s="5"/>
      <c r="H52" s="5"/>
      <c r="I52" s="5"/>
      <c r="J52" s="5"/>
      <c r="K52" s="5"/>
      <c r="L52" s="5" t="s">
        <v>1</v>
      </c>
    </row>
    <row r="53" spans="2:12" x14ac:dyDescent="0.25">
      <c r="B53" s="6"/>
      <c r="C53" s="2">
        <v>1</v>
      </c>
      <c r="D53" s="2">
        <v>2</v>
      </c>
      <c r="E53" s="2">
        <v>3</v>
      </c>
      <c r="F53" s="2">
        <v>4</v>
      </c>
      <c r="G53" s="2">
        <v>5</v>
      </c>
      <c r="H53" s="2">
        <v>6</v>
      </c>
      <c r="I53" s="2">
        <v>7</v>
      </c>
      <c r="J53" s="2">
        <v>8</v>
      </c>
      <c r="K53" s="2">
        <v>9</v>
      </c>
      <c r="L53" s="6"/>
    </row>
    <row r="54" spans="2:12" x14ac:dyDescent="0.25">
      <c r="B54" s="37" t="s">
        <v>2</v>
      </c>
      <c r="C54" s="3"/>
      <c r="D54" s="3"/>
      <c r="E54" s="3"/>
      <c r="F54" s="3"/>
      <c r="G54" s="3"/>
      <c r="H54" s="3"/>
      <c r="I54" s="3"/>
      <c r="J54" s="3"/>
      <c r="K54" s="3"/>
      <c r="L54" s="4">
        <f t="shared" ref="L54:L57" si="48">SUM(C54:K54)</f>
        <v>0</v>
      </c>
    </row>
    <row r="55" spans="2:12" x14ac:dyDescent="0.25">
      <c r="B55" s="4" t="s">
        <v>92</v>
      </c>
      <c r="C55" s="4">
        <v>500</v>
      </c>
      <c r="D55" s="4">
        <v>500</v>
      </c>
      <c r="E55" s="4"/>
      <c r="F55" s="4"/>
      <c r="G55" s="4"/>
      <c r="H55" s="4"/>
      <c r="I55" s="4"/>
      <c r="J55" s="4"/>
      <c r="K55" s="4"/>
      <c r="L55" s="4">
        <f t="shared" si="48"/>
        <v>1000</v>
      </c>
    </row>
    <row r="56" spans="2:12" x14ac:dyDescent="0.25">
      <c r="B56" s="19" t="s">
        <v>93</v>
      </c>
      <c r="C56" s="4">
        <v>500</v>
      </c>
      <c r="D56" s="4">
        <v>500</v>
      </c>
      <c r="E56" s="4"/>
      <c r="F56" s="4"/>
      <c r="G56" s="4"/>
      <c r="H56" s="4"/>
      <c r="I56" s="4"/>
      <c r="J56" s="4"/>
      <c r="K56" s="4"/>
      <c r="L56" s="4">
        <f t="shared" si="48"/>
        <v>1000</v>
      </c>
    </row>
    <row r="57" spans="2:12" x14ac:dyDescent="0.25">
      <c r="B57" s="36" t="s">
        <v>94</v>
      </c>
      <c r="C57" s="36">
        <v>1000</v>
      </c>
      <c r="D57" s="1"/>
      <c r="E57" s="1"/>
      <c r="F57" s="1"/>
      <c r="G57" s="1"/>
      <c r="H57" s="1"/>
      <c r="I57" s="1"/>
      <c r="J57" s="1"/>
      <c r="K57" s="1"/>
      <c r="L57" s="4">
        <f t="shared" si="48"/>
        <v>1000</v>
      </c>
    </row>
    <row r="58" spans="2:12" x14ac:dyDescent="0.25">
      <c r="B58" s="38" t="s">
        <v>110</v>
      </c>
      <c r="C58" s="2">
        <f>SUM(C55:C57)</f>
        <v>2000</v>
      </c>
      <c r="D58" s="2">
        <f t="shared" ref="D58" si="49">SUM(D55:D57)</f>
        <v>1000</v>
      </c>
      <c r="E58" s="2">
        <f t="shared" ref="E58" si="50">SUM(E55:E57)</f>
        <v>0</v>
      </c>
      <c r="F58" s="2">
        <f t="shared" ref="F58" si="51">SUM(F55:F57)</f>
        <v>0</v>
      </c>
      <c r="G58" s="2">
        <f t="shared" ref="G58" si="52">SUM(G55:G57)</f>
        <v>0</v>
      </c>
      <c r="H58" s="2">
        <f t="shared" ref="H58" si="53">SUM(H55:H57)</f>
        <v>0</v>
      </c>
      <c r="I58" s="2">
        <f t="shared" ref="I58" si="54">SUM(I55:I57)</f>
        <v>0</v>
      </c>
      <c r="J58" s="2">
        <f t="shared" ref="J58" si="55">SUM(J55:J57)</f>
        <v>0</v>
      </c>
      <c r="K58" s="2">
        <f t="shared" ref="K58" si="56">SUM(K55:K57)</f>
        <v>0</v>
      </c>
      <c r="L58" s="39">
        <f>SUM(C58:K58)</f>
        <v>3000</v>
      </c>
    </row>
    <row r="59" spans="2:12" x14ac:dyDescent="0.25">
      <c r="B59" s="37" t="s">
        <v>3</v>
      </c>
      <c r="C59" s="3"/>
      <c r="D59" s="3"/>
      <c r="E59" s="3"/>
      <c r="F59" s="3"/>
      <c r="G59" s="3"/>
      <c r="H59" s="3"/>
      <c r="I59" s="3"/>
      <c r="J59" s="3"/>
      <c r="K59" s="3"/>
      <c r="L59" s="3">
        <f t="shared" ref="L59:L71" si="57">SUM(C59:K59)</f>
        <v>0</v>
      </c>
    </row>
    <row r="60" spans="2:12" x14ac:dyDescent="0.25">
      <c r="B60" s="19" t="s">
        <v>95</v>
      </c>
      <c r="C60" s="4">
        <f>500*12</f>
        <v>6000</v>
      </c>
      <c r="D60" s="4">
        <f t="shared" ref="D60:K60" si="58">500*12</f>
        <v>6000</v>
      </c>
      <c r="E60" s="4">
        <f t="shared" si="58"/>
        <v>6000</v>
      </c>
      <c r="F60" s="4">
        <f t="shared" si="58"/>
        <v>6000</v>
      </c>
      <c r="G60" s="4">
        <f t="shared" si="58"/>
        <v>6000</v>
      </c>
      <c r="H60" s="4">
        <f t="shared" si="58"/>
        <v>6000</v>
      </c>
      <c r="I60" s="4">
        <f t="shared" si="58"/>
        <v>6000</v>
      </c>
      <c r="J60" s="4">
        <f t="shared" si="58"/>
        <v>6000</v>
      </c>
      <c r="K60" s="4">
        <f t="shared" si="58"/>
        <v>6000</v>
      </c>
      <c r="L60" s="4">
        <f t="shared" si="57"/>
        <v>54000</v>
      </c>
    </row>
    <row r="61" spans="2:12" ht="30" x14ac:dyDescent="0.25">
      <c r="B61" s="35" t="s">
        <v>96</v>
      </c>
      <c r="C61" s="4">
        <f>D51*F51</f>
        <v>19250</v>
      </c>
      <c r="D61" s="4">
        <v>19250</v>
      </c>
      <c r="E61" s="4">
        <v>19250</v>
      </c>
      <c r="F61" s="4">
        <v>19250</v>
      </c>
      <c r="G61" s="4">
        <v>19250</v>
      </c>
      <c r="H61" s="4">
        <v>19250</v>
      </c>
      <c r="I61" s="4">
        <v>19250</v>
      </c>
      <c r="J61" s="4">
        <v>19250</v>
      </c>
      <c r="K61" s="4">
        <v>0</v>
      </c>
      <c r="L61" s="4">
        <f t="shared" si="57"/>
        <v>154000</v>
      </c>
    </row>
    <row r="62" spans="2:12" x14ac:dyDescent="0.25">
      <c r="B62" s="19" t="s">
        <v>97</v>
      </c>
      <c r="C62" s="4">
        <v>500</v>
      </c>
      <c r="D62" s="4">
        <v>250</v>
      </c>
      <c r="E62" s="4"/>
      <c r="F62" s="4"/>
      <c r="G62" s="4"/>
      <c r="H62" s="4"/>
      <c r="I62" s="4"/>
      <c r="J62" s="4"/>
      <c r="K62" s="4"/>
      <c r="L62" s="4">
        <f t="shared" si="57"/>
        <v>750</v>
      </c>
    </row>
    <row r="63" spans="2:12" x14ac:dyDescent="0.25">
      <c r="B63" s="19" t="s">
        <v>101</v>
      </c>
      <c r="C63" s="4">
        <f>50*50</f>
        <v>2500</v>
      </c>
      <c r="D63" s="4">
        <f t="shared" ref="D63:J63" si="59">50*50</f>
        <v>2500</v>
      </c>
      <c r="E63" s="4">
        <f t="shared" si="59"/>
        <v>2500</v>
      </c>
      <c r="F63" s="4">
        <f t="shared" si="59"/>
        <v>2500</v>
      </c>
      <c r="G63" s="4">
        <f t="shared" si="59"/>
        <v>2500</v>
      </c>
      <c r="H63" s="4">
        <f t="shared" si="59"/>
        <v>2500</v>
      </c>
      <c r="I63" s="4">
        <f t="shared" si="59"/>
        <v>2500</v>
      </c>
      <c r="J63" s="4">
        <f t="shared" si="59"/>
        <v>2500</v>
      </c>
      <c r="K63" s="4">
        <v>0</v>
      </c>
      <c r="L63" s="1">
        <f t="shared" si="57"/>
        <v>20000</v>
      </c>
    </row>
    <row r="64" spans="2:12" x14ac:dyDescent="0.25">
      <c r="B64" s="38" t="s">
        <v>111</v>
      </c>
      <c r="C64" s="2">
        <f>SUM(C60:C63)</f>
        <v>28250</v>
      </c>
      <c r="D64" s="2">
        <f t="shared" ref="D64" si="60">SUM(D60:D63)</f>
        <v>28000</v>
      </c>
      <c r="E64" s="2">
        <f t="shared" ref="E64" si="61">SUM(E60:E63)</f>
        <v>27750</v>
      </c>
      <c r="F64" s="2">
        <f t="shared" ref="F64" si="62">SUM(F60:F63)</f>
        <v>27750</v>
      </c>
      <c r="G64" s="2">
        <f t="shared" ref="G64" si="63">SUM(G60:G63)</f>
        <v>27750</v>
      </c>
      <c r="H64" s="2">
        <f t="shared" ref="H64" si="64">SUM(H60:H63)</f>
        <v>27750</v>
      </c>
      <c r="I64" s="2">
        <f t="shared" ref="I64" si="65">SUM(I60:I63)</f>
        <v>27750</v>
      </c>
      <c r="J64" s="2">
        <f t="shared" ref="J64" si="66">SUM(J60:J63)</f>
        <v>27750</v>
      </c>
      <c r="K64" s="2">
        <f t="shared" ref="K64" si="67">SUM(K60:K63)</f>
        <v>6000</v>
      </c>
      <c r="L64" s="39">
        <f t="shared" si="57"/>
        <v>228750</v>
      </c>
    </row>
    <row r="65" spans="2:12" x14ac:dyDescent="0.25">
      <c r="B65" s="37" t="s">
        <v>4</v>
      </c>
      <c r="L65" s="3">
        <f t="shared" si="57"/>
        <v>0</v>
      </c>
    </row>
    <row r="66" spans="2:12" x14ac:dyDescent="0.25">
      <c r="B66" t="s">
        <v>98</v>
      </c>
      <c r="C66">
        <f>2000*1.7*2*12</f>
        <v>81600</v>
      </c>
      <c r="D66">
        <f t="shared" ref="D66:K66" si="68">2000*1.7*2*12</f>
        <v>81600</v>
      </c>
      <c r="E66">
        <f t="shared" si="68"/>
        <v>81600</v>
      </c>
      <c r="F66">
        <f t="shared" si="68"/>
        <v>81600</v>
      </c>
      <c r="G66">
        <f t="shared" si="68"/>
        <v>81600</v>
      </c>
      <c r="H66">
        <f t="shared" si="68"/>
        <v>81600</v>
      </c>
      <c r="I66">
        <f t="shared" si="68"/>
        <v>81600</v>
      </c>
      <c r="J66">
        <f t="shared" si="68"/>
        <v>81600</v>
      </c>
      <c r="K66">
        <f t="shared" si="68"/>
        <v>81600</v>
      </c>
      <c r="L66" s="4">
        <f t="shared" si="57"/>
        <v>734400</v>
      </c>
    </row>
    <row r="67" spans="2:12" ht="30" x14ac:dyDescent="0.25">
      <c r="B67" s="33" t="s">
        <v>99</v>
      </c>
      <c r="C67">
        <v>8500</v>
      </c>
      <c r="L67" s="4">
        <f t="shared" si="57"/>
        <v>8500</v>
      </c>
    </row>
    <row r="68" spans="2:12" x14ac:dyDescent="0.25">
      <c r="B68" t="s">
        <v>102</v>
      </c>
      <c r="C68">
        <v>25000</v>
      </c>
      <c r="D68">
        <v>25000</v>
      </c>
      <c r="E68">
        <v>25000</v>
      </c>
      <c r="F68">
        <v>25000</v>
      </c>
      <c r="G68">
        <v>25000</v>
      </c>
      <c r="H68">
        <v>25000</v>
      </c>
      <c r="I68">
        <v>25000</v>
      </c>
      <c r="J68">
        <v>25000</v>
      </c>
      <c r="K68">
        <v>25000</v>
      </c>
      <c r="L68" s="4">
        <f t="shared" si="57"/>
        <v>225000</v>
      </c>
    </row>
    <row r="69" spans="2:12" x14ac:dyDescent="0.25">
      <c r="B69" t="s">
        <v>109</v>
      </c>
      <c r="C69">
        <f>200*12</f>
        <v>2400</v>
      </c>
      <c r="D69">
        <f t="shared" ref="D69:K69" si="69">200*12</f>
        <v>2400</v>
      </c>
      <c r="E69">
        <f t="shared" si="69"/>
        <v>2400</v>
      </c>
      <c r="F69">
        <f t="shared" si="69"/>
        <v>2400</v>
      </c>
      <c r="G69">
        <f t="shared" si="69"/>
        <v>2400</v>
      </c>
      <c r="H69">
        <f t="shared" si="69"/>
        <v>2400</v>
      </c>
      <c r="I69">
        <f t="shared" si="69"/>
        <v>2400</v>
      </c>
      <c r="J69">
        <f t="shared" si="69"/>
        <v>2400</v>
      </c>
      <c r="K69">
        <f t="shared" si="69"/>
        <v>2400</v>
      </c>
      <c r="L69" s="1">
        <f t="shared" si="57"/>
        <v>21600</v>
      </c>
    </row>
    <row r="70" spans="2:12" x14ac:dyDescent="0.25">
      <c r="B70" s="39" t="s">
        <v>111</v>
      </c>
      <c r="C70" s="2">
        <f>SUM(C65:C69)</f>
        <v>117500</v>
      </c>
      <c r="D70" s="2">
        <f t="shared" ref="D70" si="70">SUM(D65:D69)</f>
        <v>109000</v>
      </c>
      <c r="E70" s="2">
        <f t="shared" ref="E70" si="71">SUM(E65:E69)</f>
        <v>109000</v>
      </c>
      <c r="F70" s="2">
        <f t="shared" ref="F70" si="72">SUM(F65:F69)</f>
        <v>109000</v>
      </c>
      <c r="G70" s="2">
        <f t="shared" ref="G70" si="73">SUM(G65:G69)</f>
        <v>109000</v>
      </c>
      <c r="H70" s="2">
        <f t="shared" ref="H70" si="74">SUM(H65:H69)</f>
        <v>109000</v>
      </c>
      <c r="I70" s="2">
        <f t="shared" ref="I70" si="75">SUM(I65:I69)</f>
        <v>109000</v>
      </c>
      <c r="J70" s="2">
        <f t="shared" ref="J70" si="76">SUM(J65:J69)</f>
        <v>109000</v>
      </c>
      <c r="K70" s="2">
        <f t="shared" ref="K70" si="77">SUM(K65:K69)</f>
        <v>109000</v>
      </c>
      <c r="L70" s="39">
        <f t="shared" si="57"/>
        <v>989500</v>
      </c>
    </row>
    <row r="71" spans="2:12" x14ac:dyDescent="0.25">
      <c r="B71" s="39" t="s">
        <v>19</v>
      </c>
      <c r="C71" s="2">
        <f>SUM(C64,C70,C58)</f>
        <v>147750</v>
      </c>
      <c r="D71" s="2">
        <f t="shared" ref="D71" si="78">SUM(D64,D70,D58)</f>
        <v>138000</v>
      </c>
      <c r="E71" s="2">
        <f t="shared" ref="E71" si="79">SUM(E64,E70,E58)</f>
        <v>136750</v>
      </c>
      <c r="F71" s="2">
        <f t="shared" ref="F71" si="80">SUM(F64,F70,F58)</f>
        <v>136750</v>
      </c>
      <c r="G71" s="2">
        <f t="shared" ref="G71" si="81">SUM(G64,G70,G58)</f>
        <v>136750</v>
      </c>
      <c r="H71" s="2">
        <f t="shared" ref="H71" si="82">SUM(H64,H70,H58)</f>
        <v>136750</v>
      </c>
      <c r="I71" s="2">
        <f t="shared" ref="I71" si="83">SUM(I64,I70,I58)</f>
        <v>136750</v>
      </c>
      <c r="J71" s="2">
        <f t="shared" ref="J71" si="84">SUM(J64,J70,J58)</f>
        <v>136750</v>
      </c>
      <c r="K71" s="2">
        <f t="shared" ref="K71" si="85">SUM(K64,K70,K58)</f>
        <v>115000</v>
      </c>
      <c r="L71" s="39">
        <f t="shared" si="57"/>
        <v>1221250</v>
      </c>
    </row>
    <row r="75" spans="2:12" x14ac:dyDescent="0.25">
      <c r="D75">
        <v>100</v>
      </c>
      <c r="F75" s="2">
        <v>385</v>
      </c>
    </row>
    <row r="76" spans="2:12" x14ac:dyDescent="0.25">
      <c r="B76" s="5" t="s">
        <v>0</v>
      </c>
      <c r="C76" s="5" t="s">
        <v>113</v>
      </c>
      <c r="D76" s="5"/>
      <c r="E76" s="5"/>
      <c r="F76" s="5"/>
      <c r="G76" s="5"/>
      <c r="H76" s="5"/>
      <c r="I76" s="5"/>
      <c r="J76" s="5"/>
      <c r="K76" s="5"/>
      <c r="L76" s="5" t="s">
        <v>1</v>
      </c>
    </row>
    <row r="77" spans="2:12" x14ac:dyDescent="0.25">
      <c r="B77" s="6"/>
      <c r="C77" s="2">
        <v>1</v>
      </c>
      <c r="D77" s="2">
        <v>2</v>
      </c>
      <c r="E77" s="2">
        <v>3</v>
      </c>
      <c r="F77" s="2">
        <v>4</v>
      </c>
      <c r="G77" s="2">
        <v>5</v>
      </c>
      <c r="H77" s="2">
        <v>6</v>
      </c>
      <c r="I77" s="2">
        <v>7</v>
      </c>
      <c r="J77" s="2">
        <v>8</v>
      </c>
      <c r="K77" s="2">
        <v>9</v>
      </c>
      <c r="L77" s="6"/>
    </row>
    <row r="78" spans="2:12" x14ac:dyDescent="0.25">
      <c r="B78" s="37" t="s">
        <v>2</v>
      </c>
      <c r="C78" s="3"/>
      <c r="D78" s="3"/>
      <c r="E78" s="3"/>
      <c r="F78" s="3"/>
      <c r="G78" s="3"/>
      <c r="H78" s="3"/>
      <c r="I78" s="3"/>
      <c r="J78" s="3"/>
      <c r="K78" s="3"/>
      <c r="L78" s="4">
        <f t="shared" ref="L78:L81" si="86">SUM(C78:K78)</f>
        <v>0</v>
      </c>
    </row>
    <row r="79" spans="2:12" x14ac:dyDescent="0.25">
      <c r="B79" s="4" t="s">
        <v>92</v>
      </c>
      <c r="C79" s="4">
        <v>500</v>
      </c>
      <c r="D79" s="4">
        <v>500</v>
      </c>
      <c r="E79" s="4"/>
      <c r="F79" s="4"/>
      <c r="G79" s="4"/>
      <c r="H79" s="4"/>
      <c r="I79" s="4"/>
      <c r="J79" s="4"/>
      <c r="K79" s="4"/>
      <c r="L79" s="4">
        <f t="shared" si="86"/>
        <v>1000</v>
      </c>
    </row>
    <row r="80" spans="2:12" x14ac:dyDescent="0.25">
      <c r="B80" s="19" t="s">
        <v>93</v>
      </c>
      <c r="C80" s="4">
        <v>500</v>
      </c>
      <c r="D80" s="4">
        <v>500</v>
      </c>
      <c r="E80" s="4"/>
      <c r="F80" s="4"/>
      <c r="G80" s="4"/>
      <c r="H80" s="4"/>
      <c r="I80" s="4"/>
      <c r="J80" s="4"/>
      <c r="K80" s="4"/>
      <c r="L80" s="4">
        <f t="shared" si="86"/>
        <v>1000</v>
      </c>
    </row>
    <row r="81" spans="2:12" x14ac:dyDescent="0.25">
      <c r="B81" s="36" t="s">
        <v>94</v>
      </c>
      <c r="C81" s="36">
        <v>1000</v>
      </c>
      <c r="D81" s="1"/>
      <c r="E81" s="1"/>
      <c r="F81" s="1"/>
      <c r="G81" s="1"/>
      <c r="H81" s="1"/>
      <c r="I81" s="1"/>
      <c r="J81" s="1"/>
      <c r="K81" s="1"/>
      <c r="L81" s="4">
        <f t="shared" si="86"/>
        <v>1000</v>
      </c>
    </row>
    <row r="82" spans="2:12" x14ac:dyDescent="0.25">
      <c r="B82" s="38" t="s">
        <v>110</v>
      </c>
      <c r="C82" s="2">
        <f>SUM(C79:C81)</f>
        <v>2000</v>
      </c>
      <c r="D82" s="2">
        <f t="shared" ref="D82" si="87">SUM(D79:D81)</f>
        <v>1000</v>
      </c>
      <c r="E82" s="2">
        <f t="shared" ref="E82" si="88">SUM(E79:E81)</f>
        <v>0</v>
      </c>
      <c r="F82" s="2">
        <f t="shared" ref="F82" si="89">SUM(F79:F81)</f>
        <v>0</v>
      </c>
      <c r="G82" s="2">
        <f t="shared" ref="G82" si="90">SUM(G79:G81)</f>
        <v>0</v>
      </c>
      <c r="H82" s="2">
        <f t="shared" ref="H82" si="91">SUM(H79:H81)</f>
        <v>0</v>
      </c>
      <c r="I82" s="2">
        <f t="shared" ref="I82" si="92">SUM(I79:I81)</f>
        <v>0</v>
      </c>
      <c r="J82" s="2">
        <f t="shared" ref="J82" si="93">SUM(J79:J81)</f>
        <v>0</v>
      </c>
      <c r="K82" s="2">
        <f t="shared" ref="K82" si="94">SUM(K79:K81)</f>
        <v>0</v>
      </c>
      <c r="L82" s="39">
        <f>SUM(C82:K82)</f>
        <v>3000</v>
      </c>
    </row>
    <row r="83" spans="2:12" x14ac:dyDescent="0.25">
      <c r="B83" s="37" t="s">
        <v>3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ref="L83:L95" si="95">SUM(C83:K83)</f>
        <v>0</v>
      </c>
    </row>
    <row r="84" spans="2:12" x14ac:dyDescent="0.25">
      <c r="B84" s="19" t="s">
        <v>95</v>
      </c>
      <c r="C84" s="4">
        <f>500*12</f>
        <v>6000</v>
      </c>
      <c r="D84" s="4">
        <f t="shared" ref="D84:K84" si="96">500*12</f>
        <v>6000</v>
      </c>
      <c r="E84" s="4">
        <f t="shared" si="96"/>
        <v>6000</v>
      </c>
      <c r="F84" s="4">
        <f t="shared" si="96"/>
        <v>6000</v>
      </c>
      <c r="G84" s="4">
        <f t="shared" si="96"/>
        <v>6000</v>
      </c>
      <c r="H84" s="4">
        <f t="shared" si="96"/>
        <v>6000</v>
      </c>
      <c r="I84" s="4">
        <f t="shared" si="96"/>
        <v>6000</v>
      </c>
      <c r="J84" s="4">
        <f t="shared" si="96"/>
        <v>6000</v>
      </c>
      <c r="K84" s="4">
        <f t="shared" si="96"/>
        <v>6000</v>
      </c>
      <c r="L84" s="4">
        <f t="shared" si="95"/>
        <v>54000</v>
      </c>
    </row>
    <row r="85" spans="2:12" ht="30" x14ac:dyDescent="0.25">
      <c r="B85" s="35" t="s">
        <v>96</v>
      </c>
      <c r="C85" s="4">
        <f>D75*F75</f>
        <v>38500</v>
      </c>
      <c r="D85" s="4">
        <v>19250</v>
      </c>
      <c r="E85" s="4">
        <v>19250</v>
      </c>
      <c r="F85" s="4">
        <v>19250</v>
      </c>
      <c r="G85" s="4">
        <v>19250</v>
      </c>
      <c r="H85" s="4">
        <v>19250</v>
      </c>
      <c r="I85" s="4">
        <v>19250</v>
      </c>
      <c r="J85" s="4">
        <v>19250</v>
      </c>
      <c r="K85" s="4">
        <v>0</v>
      </c>
      <c r="L85" s="4">
        <f t="shared" si="95"/>
        <v>173250</v>
      </c>
    </row>
    <row r="86" spans="2:12" x14ac:dyDescent="0.25">
      <c r="B86" s="19" t="s">
        <v>97</v>
      </c>
      <c r="C86" s="4">
        <v>500</v>
      </c>
      <c r="D86" s="4">
        <v>250</v>
      </c>
      <c r="E86" s="4"/>
      <c r="F86" s="4"/>
      <c r="G86" s="4"/>
      <c r="H86" s="4"/>
      <c r="I86" s="4"/>
      <c r="J86" s="4"/>
      <c r="K86" s="4"/>
      <c r="L86" s="4">
        <f t="shared" si="95"/>
        <v>750</v>
      </c>
    </row>
    <row r="87" spans="2:12" x14ac:dyDescent="0.25">
      <c r="B87" s="19" t="s">
        <v>101</v>
      </c>
      <c r="C87" s="4">
        <f>50*D75</f>
        <v>5000</v>
      </c>
      <c r="D87" s="4">
        <v>5000</v>
      </c>
      <c r="E87" s="4">
        <v>5000</v>
      </c>
      <c r="F87" s="4">
        <v>5000</v>
      </c>
      <c r="G87" s="4">
        <v>5000</v>
      </c>
      <c r="H87" s="4">
        <v>5000</v>
      </c>
      <c r="I87" s="4">
        <v>5000</v>
      </c>
      <c r="J87" s="4">
        <v>5000</v>
      </c>
      <c r="K87" s="4">
        <v>5000</v>
      </c>
      <c r="L87" s="1">
        <f t="shared" si="95"/>
        <v>45000</v>
      </c>
    </row>
    <row r="88" spans="2:12" x14ac:dyDescent="0.25">
      <c r="B88" s="38" t="s">
        <v>111</v>
      </c>
      <c r="C88" s="2">
        <f>SUM(C84:C87)</f>
        <v>50000</v>
      </c>
      <c r="D88" s="2">
        <f t="shared" ref="D88" si="97">SUM(D84:D87)</f>
        <v>30500</v>
      </c>
      <c r="E88" s="2">
        <f t="shared" ref="E88" si="98">SUM(E84:E87)</f>
        <v>30250</v>
      </c>
      <c r="F88" s="2">
        <f t="shared" ref="F88" si="99">SUM(F84:F87)</f>
        <v>30250</v>
      </c>
      <c r="G88" s="2">
        <f t="shared" ref="G88" si="100">SUM(G84:G87)</f>
        <v>30250</v>
      </c>
      <c r="H88" s="2">
        <f t="shared" ref="H88" si="101">SUM(H84:H87)</f>
        <v>30250</v>
      </c>
      <c r="I88" s="2">
        <f t="shared" ref="I88" si="102">SUM(I84:I87)</f>
        <v>30250</v>
      </c>
      <c r="J88" s="2">
        <f t="shared" ref="J88" si="103">SUM(J84:J87)</f>
        <v>30250</v>
      </c>
      <c r="K88" s="2">
        <f t="shared" ref="K88" si="104">SUM(K84:K87)</f>
        <v>11000</v>
      </c>
      <c r="L88" s="39">
        <f t="shared" si="95"/>
        <v>273000</v>
      </c>
    </row>
    <row r="89" spans="2:12" x14ac:dyDescent="0.25">
      <c r="B89" s="37" t="s">
        <v>4</v>
      </c>
      <c r="L89" s="3">
        <f t="shared" si="95"/>
        <v>0</v>
      </c>
    </row>
    <row r="90" spans="2:12" x14ac:dyDescent="0.25">
      <c r="B90" t="s">
        <v>98</v>
      </c>
      <c r="C90">
        <f>2000*1.7*2*12</f>
        <v>81600</v>
      </c>
      <c r="D90">
        <f t="shared" ref="D90:K90" si="105">2000*1.7*2*12</f>
        <v>81600</v>
      </c>
      <c r="E90">
        <f t="shared" si="105"/>
        <v>81600</v>
      </c>
      <c r="F90">
        <f t="shared" si="105"/>
        <v>81600</v>
      </c>
      <c r="G90">
        <f t="shared" si="105"/>
        <v>81600</v>
      </c>
      <c r="H90">
        <f t="shared" si="105"/>
        <v>81600</v>
      </c>
      <c r="I90">
        <f t="shared" si="105"/>
        <v>81600</v>
      </c>
      <c r="J90">
        <f t="shared" si="105"/>
        <v>81600</v>
      </c>
      <c r="K90">
        <f t="shared" si="105"/>
        <v>81600</v>
      </c>
      <c r="L90" s="4">
        <f t="shared" si="95"/>
        <v>734400</v>
      </c>
    </row>
    <row r="91" spans="2:12" ht="30" x14ac:dyDescent="0.25">
      <c r="B91" s="33" t="s">
        <v>99</v>
      </c>
      <c r="C91">
        <v>16640</v>
      </c>
      <c r="L91" s="4">
        <f t="shared" si="95"/>
        <v>16640</v>
      </c>
    </row>
    <row r="92" spans="2:12" x14ac:dyDescent="0.25">
      <c r="B92" t="s">
        <v>102</v>
      </c>
      <c r="C92">
        <v>50000</v>
      </c>
      <c r="D92">
        <v>50000</v>
      </c>
      <c r="E92">
        <v>50000</v>
      </c>
      <c r="F92">
        <v>50000</v>
      </c>
      <c r="G92">
        <v>50000</v>
      </c>
      <c r="H92">
        <v>50000</v>
      </c>
      <c r="I92">
        <v>50000</v>
      </c>
      <c r="J92">
        <v>50000</v>
      </c>
      <c r="K92">
        <v>50000</v>
      </c>
      <c r="L92" s="4">
        <f t="shared" si="95"/>
        <v>450000</v>
      </c>
    </row>
    <row r="93" spans="2:12" x14ac:dyDescent="0.25">
      <c r="B93" t="s">
        <v>109</v>
      </c>
      <c r="C93">
        <f>200*12</f>
        <v>2400</v>
      </c>
      <c r="D93">
        <f t="shared" ref="D93:K93" si="106">200*12</f>
        <v>2400</v>
      </c>
      <c r="E93">
        <f t="shared" si="106"/>
        <v>2400</v>
      </c>
      <c r="F93">
        <f t="shared" si="106"/>
        <v>2400</v>
      </c>
      <c r="G93">
        <f t="shared" si="106"/>
        <v>2400</v>
      </c>
      <c r="H93">
        <f t="shared" si="106"/>
        <v>2400</v>
      </c>
      <c r="I93">
        <f t="shared" si="106"/>
        <v>2400</v>
      </c>
      <c r="J93">
        <f t="shared" si="106"/>
        <v>2400</v>
      </c>
      <c r="K93">
        <f t="shared" si="106"/>
        <v>2400</v>
      </c>
      <c r="L93" s="1">
        <f t="shared" si="95"/>
        <v>21600</v>
      </c>
    </row>
    <row r="94" spans="2:12" x14ac:dyDescent="0.25">
      <c r="B94" s="39" t="s">
        <v>111</v>
      </c>
      <c r="C94" s="2">
        <f>SUM(C89:C93)</f>
        <v>150640</v>
      </c>
      <c r="D94" s="2">
        <f t="shared" ref="D94" si="107">SUM(D89:D93)</f>
        <v>134000</v>
      </c>
      <c r="E94" s="2">
        <f t="shared" ref="E94" si="108">SUM(E89:E93)</f>
        <v>134000</v>
      </c>
      <c r="F94" s="2">
        <f t="shared" ref="F94" si="109">SUM(F89:F93)</f>
        <v>134000</v>
      </c>
      <c r="G94" s="2">
        <f t="shared" ref="G94" si="110">SUM(G89:G93)</f>
        <v>134000</v>
      </c>
      <c r="H94" s="2">
        <f t="shared" ref="H94" si="111">SUM(H89:H93)</f>
        <v>134000</v>
      </c>
      <c r="I94" s="2">
        <f t="shared" ref="I94" si="112">SUM(I89:I93)</f>
        <v>134000</v>
      </c>
      <c r="J94" s="2">
        <f t="shared" ref="J94" si="113">SUM(J89:J93)</f>
        <v>134000</v>
      </c>
      <c r="K94" s="2">
        <f t="shared" ref="K94" si="114">SUM(K89:K93)</f>
        <v>134000</v>
      </c>
      <c r="L94" s="39">
        <f t="shared" si="95"/>
        <v>1222640</v>
      </c>
    </row>
    <row r="95" spans="2:12" x14ac:dyDescent="0.25">
      <c r="B95" s="39" t="s">
        <v>19</v>
      </c>
      <c r="C95" s="2">
        <f>SUM(C88,C94,C82)</f>
        <v>202640</v>
      </c>
      <c r="D95" s="2">
        <f t="shared" ref="D95" si="115">SUM(D88,D94,D82)</f>
        <v>165500</v>
      </c>
      <c r="E95" s="2">
        <f t="shared" ref="E95" si="116">SUM(E88,E94,E82)</f>
        <v>164250</v>
      </c>
      <c r="F95" s="2">
        <f t="shared" ref="F95" si="117">SUM(F88,F94,F82)</f>
        <v>164250</v>
      </c>
      <c r="G95" s="2">
        <f t="shared" ref="G95" si="118">SUM(G88,G94,G82)</f>
        <v>164250</v>
      </c>
      <c r="H95" s="2">
        <f t="shared" ref="H95" si="119">SUM(H88,H94,H82)</f>
        <v>164250</v>
      </c>
      <c r="I95" s="2">
        <f t="shared" ref="I95" si="120">SUM(I88,I94,I82)</f>
        <v>164250</v>
      </c>
      <c r="J95" s="2">
        <f t="shared" ref="J95" si="121">SUM(J88,J94,J82)</f>
        <v>164250</v>
      </c>
      <c r="K95" s="2">
        <f t="shared" ref="K95" si="122">SUM(K88,K94,K82)</f>
        <v>145000</v>
      </c>
      <c r="L95" s="39">
        <f t="shared" si="95"/>
        <v>1498640</v>
      </c>
    </row>
    <row r="99" spans="2:12" x14ac:dyDescent="0.25">
      <c r="B99" s="40"/>
    </row>
    <row r="100" spans="2:12" x14ac:dyDescent="0.25">
      <c r="D100">
        <v>50</v>
      </c>
      <c r="F100" s="2">
        <v>335</v>
      </c>
    </row>
    <row r="101" spans="2:12" x14ac:dyDescent="0.25">
      <c r="B101" s="5" t="s">
        <v>0</v>
      </c>
      <c r="C101" s="5" t="s">
        <v>117</v>
      </c>
      <c r="D101" s="5"/>
      <c r="E101" s="5"/>
      <c r="F101" s="5"/>
      <c r="G101" s="5"/>
      <c r="H101" s="5"/>
      <c r="I101" s="5"/>
      <c r="J101" s="5"/>
      <c r="K101" s="5"/>
      <c r="L101" s="5" t="s">
        <v>1</v>
      </c>
    </row>
    <row r="102" spans="2:12" x14ac:dyDescent="0.25">
      <c r="B102" s="6"/>
      <c r="C102" s="2">
        <v>1</v>
      </c>
      <c r="D102" s="2">
        <v>2</v>
      </c>
      <c r="E102" s="2">
        <v>3</v>
      </c>
      <c r="F102" s="2">
        <v>4</v>
      </c>
      <c r="G102" s="2">
        <v>5</v>
      </c>
      <c r="H102" s="2">
        <v>6</v>
      </c>
      <c r="I102" s="2">
        <v>7</v>
      </c>
      <c r="J102" s="2">
        <v>8</v>
      </c>
      <c r="K102" s="2">
        <v>9</v>
      </c>
      <c r="L102" s="6"/>
    </row>
    <row r="103" spans="2:12" x14ac:dyDescent="0.25">
      <c r="B103" s="37" t="s">
        <v>2</v>
      </c>
      <c r="C103" s="3"/>
      <c r="D103" s="3"/>
      <c r="E103" s="3"/>
      <c r="F103" s="3"/>
      <c r="G103" s="3"/>
      <c r="H103" s="3"/>
      <c r="I103" s="3"/>
      <c r="J103" s="3"/>
      <c r="K103" s="3"/>
      <c r="L103" s="4">
        <f t="shared" ref="L103:L106" si="123">SUM(C103:K103)</f>
        <v>0</v>
      </c>
    </row>
    <row r="104" spans="2:12" x14ac:dyDescent="0.25">
      <c r="B104" s="4" t="s">
        <v>92</v>
      </c>
      <c r="C104" s="4">
        <v>500</v>
      </c>
      <c r="D104" s="4">
        <v>500</v>
      </c>
      <c r="E104" s="4"/>
      <c r="F104" s="4"/>
      <c r="G104" s="4"/>
      <c r="H104" s="4"/>
      <c r="I104" s="4"/>
      <c r="J104" s="4"/>
      <c r="K104" s="4"/>
      <c r="L104" s="4">
        <f t="shared" si="123"/>
        <v>1000</v>
      </c>
    </row>
    <row r="105" spans="2:12" x14ac:dyDescent="0.25">
      <c r="B105" s="19" t="s">
        <v>93</v>
      </c>
      <c r="C105" s="4">
        <v>500</v>
      </c>
      <c r="D105" s="4">
        <v>500</v>
      </c>
      <c r="E105" s="4"/>
      <c r="F105" s="4"/>
      <c r="G105" s="4"/>
      <c r="H105" s="4"/>
      <c r="I105" s="4"/>
      <c r="J105" s="4"/>
      <c r="K105" s="4"/>
      <c r="L105" s="4">
        <f t="shared" si="123"/>
        <v>1000</v>
      </c>
    </row>
    <row r="106" spans="2:12" x14ac:dyDescent="0.25">
      <c r="B106" s="36" t="s">
        <v>94</v>
      </c>
      <c r="C106" s="36">
        <v>1000</v>
      </c>
      <c r="D106" s="1"/>
      <c r="E106" s="1"/>
      <c r="F106" s="1"/>
      <c r="G106" s="1"/>
      <c r="H106" s="1"/>
      <c r="I106" s="1"/>
      <c r="J106" s="1"/>
      <c r="K106" s="1"/>
      <c r="L106" s="4">
        <f t="shared" si="123"/>
        <v>1000</v>
      </c>
    </row>
    <row r="107" spans="2:12" x14ac:dyDescent="0.25">
      <c r="B107" s="38" t="s">
        <v>110</v>
      </c>
      <c r="C107" s="2">
        <f>SUM(C104:C106)</f>
        <v>2000</v>
      </c>
      <c r="D107" s="2">
        <f t="shared" ref="D107" si="124">SUM(D104:D106)</f>
        <v>1000</v>
      </c>
      <c r="E107" s="2">
        <f t="shared" ref="E107" si="125">SUM(E104:E106)</f>
        <v>0</v>
      </c>
      <c r="F107" s="2">
        <f t="shared" ref="F107" si="126">SUM(F104:F106)</f>
        <v>0</v>
      </c>
      <c r="G107" s="2">
        <f t="shared" ref="G107" si="127">SUM(G104:G106)</f>
        <v>0</v>
      </c>
      <c r="H107" s="2">
        <f t="shared" ref="H107" si="128">SUM(H104:H106)</f>
        <v>0</v>
      </c>
      <c r="I107" s="2">
        <f t="shared" ref="I107" si="129">SUM(I104:I106)</f>
        <v>0</v>
      </c>
      <c r="J107" s="2">
        <f t="shared" ref="J107" si="130">SUM(J104:J106)</f>
        <v>0</v>
      </c>
      <c r="K107" s="2">
        <f t="shared" ref="K107" si="131">SUM(K104:K106)</f>
        <v>0</v>
      </c>
      <c r="L107" s="39">
        <f>SUM(C107:K107)</f>
        <v>3000</v>
      </c>
    </row>
    <row r="108" spans="2:12" x14ac:dyDescent="0.25">
      <c r="B108" s="37" t="s">
        <v>3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ref="L108:L120" si="132">SUM(C108:K108)</f>
        <v>0</v>
      </c>
    </row>
    <row r="109" spans="2:12" x14ac:dyDescent="0.25">
      <c r="B109" s="19" t="s">
        <v>95</v>
      </c>
      <c r="C109" s="4">
        <f>500*12</f>
        <v>6000</v>
      </c>
      <c r="D109" s="4">
        <f t="shared" ref="D109:K109" si="133">500*12</f>
        <v>6000</v>
      </c>
      <c r="E109" s="4">
        <f t="shared" si="133"/>
        <v>6000</v>
      </c>
      <c r="F109" s="4">
        <f t="shared" si="133"/>
        <v>6000</v>
      </c>
      <c r="G109" s="4">
        <f t="shared" si="133"/>
        <v>6000</v>
      </c>
      <c r="H109" s="4">
        <f t="shared" si="133"/>
        <v>6000</v>
      </c>
      <c r="I109" s="4">
        <f t="shared" si="133"/>
        <v>6000</v>
      </c>
      <c r="J109" s="4">
        <f t="shared" si="133"/>
        <v>6000</v>
      </c>
      <c r="K109" s="4">
        <f t="shared" si="133"/>
        <v>6000</v>
      </c>
      <c r="L109" s="4">
        <f t="shared" si="132"/>
        <v>54000</v>
      </c>
    </row>
    <row r="110" spans="2:12" ht="30" x14ac:dyDescent="0.25">
      <c r="B110" s="35" t="s">
        <v>96</v>
      </c>
      <c r="C110" s="4">
        <f>D100*F100</f>
        <v>16750</v>
      </c>
      <c r="D110" s="4">
        <v>16750</v>
      </c>
      <c r="E110" s="4">
        <v>16750</v>
      </c>
      <c r="F110" s="4">
        <v>16750</v>
      </c>
      <c r="G110" s="4">
        <v>16750</v>
      </c>
      <c r="H110" s="4">
        <v>16750</v>
      </c>
      <c r="I110" s="4">
        <v>16750</v>
      </c>
      <c r="J110" s="4">
        <v>16750</v>
      </c>
      <c r="K110" s="4">
        <v>0</v>
      </c>
      <c r="L110" s="4">
        <f t="shared" si="132"/>
        <v>134000</v>
      </c>
    </row>
    <row r="111" spans="2:12" x14ac:dyDescent="0.25">
      <c r="B111" s="19" t="s">
        <v>97</v>
      </c>
      <c r="C111" s="4">
        <v>500</v>
      </c>
      <c r="D111" s="4">
        <v>250</v>
      </c>
      <c r="E111" s="4"/>
      <c r="F111" s="4"/>
      <c r="G111" s="4"/>
      <c r="H111" s="4"/>
      <c r="I111" s="4"/>
      <c r="J111" s="4"/>
      <c r="K111" s="4"/>
      <c r="L111" s="4">
        <f t="shared" si="132"/>
        <v>750</v>
      </c>
    </row>
    <row r="112" spans="2:12" x14ac:dyDescent="0.25">
      <c r="B112" s="19" t="s">
        <v>101</v>
      </c>
      <c r="C112" s="4">
        <f>50*50</f>
        <v>2500</v>
      </c>
      <c r="D112" s="4">
        <f t="shared" ref="D112:J112" si="134">50*50</f>
        <v>2500</v>
      </c>
      <c r="E112" s="4">
        <f t="shared" si="134"/>
        <v>2500</v>
      </c>
      <c r="F112" s="4">
        <f t="shared" si="134"/>
        <v>2500</v>
      </c>
      <c r="G112" s="4">
        <f t="shared" si="134"/>
        <v>2500</v>
      </c>
      <c r="H112" s="4">
        <f t="shared" si="134"/>
        <v>2500</v>
      </c>
      <c r="I112" s="4">
        <f t="shared" si="134"/>
        <v>2500</v>
      </c>
      <c r="J112" s="4">
        <f t="shared" si="134"/>
        <v>2500</v>
      </c>
      <c r="K112" s="4">
        <v>0</v>
      </c>
      <c r="L112" s="1">
        <f t="shared" si="132"/>
        <v>20000</v>
      </c>
    </row>
    <row r="113" spans="2:12" x14ac:dyDescent="0.25">
      <c r="B113" s="38" t="s">
        <v>111</v>
      </c>
      <c r="C113" s="2">
        <f>SUM(C109:C112)</f>
        <v>25750</v>
      </c>
      <c r="D113" s="2">
        <f t="shared" ref="D113" si="135">SUM(D109:D112)</f>
        <v>25500</v>
      </c>
      <c r="E113" s="2">
        <f t="shared" ref="E113" si="136">SUM(E109:E112)</f>
        <v>25250</v>
      </c>
      <c r="F113" s="2">
        <f t="shared" ref="F113" si="137">SUM(F109:F112)</f>
        <v>25250</v>
      </c>
      <c r="G113" s="2">
        <f t="shared" ref="G113" si="138">SUM(G109:G112)</f>
        <v>25250</v>
      </c>
      <c r="H113" s="2">
        <f t="shared" ref="H113" si="139">SUM(H109:H112)</f>
        <v>25250</v>
      </c>
      <c r="I113" s="2">
        <f t="shared" ref="I113" si="140">SUM(I109:I112)</f>
        <v>25250</v>
      </c>
      <c r="J113" s="2">
        <f t="shared" ref="J113" si="141">SUM(J109:J112)</f>
        <v>25250</v>
      </c>
      <c r="K113" s="2">
        <f t="shared" ref="K113" si="142">SUM(K109:K112)</f>
        <v>6000</v>
      </c>
      <c r="L113" s="39">
        <f t="shared" si="132"/>
        <v>208750</v>
      </c>
    </row>
    <row r="114" spans="2:12" x14ac:dyDescent="0.25">
      <c r="B114" s="37" t="s">
        <v>4</v>
      </c>
      <c r="L114" s="3">
        <f t="shared" si="132"/>
        <v>0</v>
      </c>
    </row>
    <row r="115" spans="2:12" x14ac:dyDescent="0.25">
      <c r="B115" t="s">
        <v>98</v>
      </c>
      <c r="C115">
        <f>2000*1.7*2*12</f>
        <v>81600</v>
      </c>
      <c r="D115">
        <f t="shared" ref="D115:K115" si="143">2000*1.7*2*12</f>
        <v>81600</v>
      </c>
      <c r="E115">
        <f t="shared" si="143"/>
        <v>81600</v>
      </c>
      <c r="F115">
        <f t="shared" si="143"/>
        <v>81600</v>
      </c>
      <c r="G115">
        <f t="shared" si="143"/>
        <v>81600</v>
      </c>
      <c r="H115">
        <f t="shared" si="143"/>
        <v>81600</v>
      </c>
      <c r="I115">
        <f t="shared" si="143"/>
        <v>81600</v>
      </c>
      <c r="J115">
        <f t="shared" si="143"/>
        <v>81600</v>
      </c>
      <c r="K115">
        <f t="shared" si="143"/>
        <v>81600</v>
      </c>
      <c r="L115" s="4">
        <f t="shared" si="132"/>
        <v>734400</v>
      </c>
    </row>
    <row r="116" spans="2:12" ht="30" x14ac:dyDescent="0.25">
      <c r="B116" s="33" t="s">
        <v>99</v>
      </c>
      <c r="C116">
        <v>9590</v>
      </c>
      <c r="L116" s="4">
        <f t="shared" si="132"/>
        <v>9590</v>
      </c>
    </row>
    <row r="117" spans="2:12" x14ac:dyDescent="0.25">
      <c r="B117" t="s">
        <v>102</v>
      </c>
      <c r="C117">
        <v>30700</v>
      </c>
      <c r="D117">
        <v>30700</v>
      </c>
      <c r="E117">
        <v>30700</v>
      </c>
      <c r="F117">
        <v>30700</v>
      </c>
      <c r="G117">
        <v>30700</v>
      </c>
      <c r="H117">
        <v>30700</v>
      </c>
      <c r="I117">
        <v>30700</v>
      </c>
      <c r="J117">
        <v>30700</v>
      </c>
      <c r="K117">
        <v>30700</v>
      </c>
      <c r="L117" s="4">
        <f t="shared" si="132"/>
        <v>276300</v>
      </c>
    </row>
    <row r="118" spans="2:12" x14ac:dyDescent="0.25">
      <c r="B118" t="s">
        <v>109</v>
      </c>
      <c r="C118">
        <f>200*12</f>
        <v>2400</v>
      </c>
      <c r="D118">
        <f t="shared" ref="D118:K118" si="144">200*12</f>
        <v>2400</v>
      </c>
      <c r="E118">
        <f t="shared" si="144"/>
        <v>2400</v>
      </c>
      <c r="F118">
        <f t="shared" si="144"/>
        <v>2400</v>
      </c>
      <c r="G118">
        <f t="shared" si="144"/>
        <v>2400</v>
      </c>
      <c r="H118">
        <f t="shared" si="144"/>
        <v>2400</v>
      </c>
      <c r="I118">
        <f t="shared" si="144"/>
        <v>2400</v>
      </c>
      <c r="J118">
        <f t="shared" si="144"/>
        <v>2400</v>
      </c>
      <c r="K118">
        <f t="shared" si="144"/>
        <v>2400</v>
      </c>
      <c r="L118" s="1">
        <f t="shared" si="132"/>
        <v>21600</v>
      </c>
    </row>
    <row r="119" spans="2:12" x14ac:dyDescent="0.25">
      <c r="B119" s="39" t="s">
        <v>111</v>
      </c>
      <c r="C119" s="2">
        <f>SUM(C114:C118)</f>
        <v>124290</v>
      </c>
      <c r="D119" s="2">
        <f t="shared" ref="D119" si="145">SUM(D114:D118)</f>
        <v>114700</v>
      </c>
      <c r="E119" s="2">
        <f t="shared" ref="E119" si="146">SUM(E114:E118)</f>
        <v>114700</v>
      </c>
      <c r="F119" s="2">
        <f t="shared" ref="F119" si="147">SUM(F114:F118)</f>
        <v>114700</v>
      </c>
      <c r="G119" s="2">
        <f t="shared" ref="G119" si="148">SUM(G114:G118)</f>
        <v>114700</v>
      </c>
      <c r="H119" s="2">
        <f t="shared" ref="H119" si="149">SUM(H114:H118)</f>
        <v>114700</v>
      </c>
      <c r="I119" s="2">
        <f t="shared" ref="I119" si="150">SUM(I114:I118)</f>
        <v>114700</v>
      </c>
      <c r="J119" s="2">
        <f t="shared" ref="J119" si="151">SUM(J114:J118)</f>
        <v>114700</v>
      </c>
      <c r="K119" s="2">
        <f t="shared" ref="K119" si="152">SUM(K114:K118)</f>
        <v>114700</v>
      </c>
      <c r="L119" s="39">
        <f t="shared" si="132"/>
        <v>1041890</v>
      </c>
    </row>
    <row r="120" spans="2:12" x14ac:dyDescent="0.25">
      <c r="B120" s="39" t="s">
        <v>19</v>
      </c>
      <c r="C120" s="2">
        <f>SUM(C113,C119,C107)</f>
        <v>152040</v>
      </c>
      <c r="D120" s="2">
        <f t="shared" ref="D120" si="153">SUM(D113,D119,D107)</f>
        <v>141200</v>
      </c>
      <c r="E120" s="2">
        <f t="shared" ref="E120" si="154">SUM(E113,E119,E107)</f>
        <v>139950</v>
      </c>
      <c r="F120" s="2">
        <f t="shared" ref="F120" si="155">SUM(F113,F119,F107)</f>
        <v>139950</v>
      </c>
      <c r="G120" s="2">
        <f t="shared" ref="G120" si="156">SUM(G113,G119,G107)</f>
        <v>139950</v>
      </c>
      <c r="H120" s="2">
        <f t="shared" ref="H120" si="157">SUM(H113,H119,H107)</f>
        <v>139950</v>
      </c>
      <c r="I120" s="2">
        <f t="shared" ref="I120" si="158">SUM(I113,I119,I107)</f>
        <v>139950</v>
      </c>
      <c r="J120" s="2">
        <f t="shared" ref="J120" si="159">SUM(J113,J119,J107)</f>
        <v>139950</v>
      </c>
      <c r="K120" s="2">
        <f t="shared" ref="K120" si="160">SUM(K113,K119,K107)</f>
        <v>120700</v>
      </c>
      <c r="L120" s="39">
        <f t="shared" si="132"/>
        <v>1253640</v>
      </c>
    </row>
    <row r="124" spans="2:12" x14ac:dyDescent="0.25">
      <c r="D124">
        <v>100</v>
      </c>
      <c r="F124" s="2">
        <v>335</v>
      </c>
    </row>
    <row r="125" spans="2:12" x14ac:dyDescent="0.25">
      <c r="B125" s="5" t="s">
        <v>0</v>
      </c>
      <c r="C125" s="5" t="s">
        <v>118</v>
      </c>
      <c r="D125" s="5"/>
      <c r="E125" s="5"/>
      <c r="F125" s="5"/>
      <c r="G125" s="5"/>
      <c r="H125" s="5"/>
      <c r="I125" s="5"/>
      <c r="J125" s="5"/>
      <c r="K125" s="5"/>
      <c r="L125" s="5" t="s">
        <v>1</v>
      </c>
    </row>
    <row r="126" spans="2:12" x14ac:dyDescent="0.25">
      <c r="B126" s="6"/>
      <c r="C126" s="2">
        <v>1</v>
      </c>
      <c r="D126" s="2">
        <v>2</v>
      </c>
      <c r="E126" s="2">
        <v>3</v>
      </c>
      <c r="F126" s="2">
        <v>4</v>
      </c>
      <c r="G126" s="2">
        <v>5</v>
      </c>
      <c r="H126" s="2">
        <v>6</v>
      </c>
      <c r="I126" s="2">
        <v>7</v>
      </c>
      <c r="J126" s="2">
        <v>8</v>
      </c>
      <c r="K126" s="2">
        <v>9</v>
      </c>
      <c r="L126" s="6"/>
    </row>
    <row r="127" spans="2:12" x14ac:dyDescent="0.25">
      <c r="B127" s="37" t="s">
        <v>2</v>
      </c>
      <c r="C127" s="3"/>
      <c r="D127" s="3"/>
      <c r="E127" s="3"/>
      <c r="F127" s="3"/>
      <c r="G127" s="3"/>
      <c r="H127" s="3"/>
      <c r="I127" s="3"/>
      <c r="J127" s="3"/>
      <c r="K127" s="3"/>
      <c r="L127" s="4">
        <f t="shared" ref="L127:L130" si="161">SUM(C127:K127)</f>
        <v>0</v>
      </c>
    </row>
    <row r="128" spans="2:12" x14ac:dyDescent="0.25">
      <c r="B128" s="4" t="s">
        <v>92</v>
      </c>
      <c r="C128" s="4">
        <v>500</v>
      </c>
      <c r="D128" s="4">
        <v>500</v>
      </c>
      <c r="E128" s="4"/>
      <c r="F128" s="4"/>
      <c r="G128" s="4"/>
      <c r="H128" s="4"/>
      <c r="I128" s="4"/>
      <c r="J128" s="4"/>
      <c r="K128" s="4"/>
      <c r="L128" s="4">
        <f t="shared" si="161"/>
        <v>1000</v>
      </c>
    </row>
    <row r="129" spans="2:12" x14ac:dyDescent="0.25">
      <c r="B129" s="19" t="s">
        <v>93</v>
      </c>
      <c r="C129" s="4">
        <v>500</v>
      </c>
      <c r="D129" s="4">
        <v>500</v>
      </c>
      <c r="E129" s="4"/>
      <c r="F129" s="4"/>
      <c r="G129" s="4"/>
      <c r="H129" s="4"/>
      <c r="I129" s="4"/>
      <c r="J129" s="4"/>
      <c r="K129" s="4"/>
      <c r="L129" s="4">
        <f t="shared" si="161"/>
        <v>1000</v>
      </c>
    </row>
    <row r="130" spans="2:12" x14ac:dyDescent="0.25">
      <c r="B130" s="36" t="s">
        <v>94</v>
      </c>
      <c r="C130" s="36">
        <v>1000</v>
      </c>
      <c r="D130" s="1"/>
      <c r="E130" s="1"/>
      <c r="F130" s="1"/>
      <c r="G130" s="1"/>
      <c r="H130" s="1"/>
      <c r="I130" s="1"/>
      <c r="J130" s="1"/>
      <c r="K130" s="1"/>
      <c r="L130" s="4">
        <f t="shared" si="161"/>
        <v>1000</v>
      </c>
    </row>
    <row r="131" spans="2:12" x14ac:dyDescent="0.25">
      <c r="B131" s="38" t="s">
        <v>110</v>
      </c>
      <c r="C131" s="2">
        <f>SUM(C128:C130)</f>
        <v>2000</v>
      </c>
      <c r="D131" s="2">
        <f t="shared" ref="D131" si="162">SUM(D128:D130)</f>
        <v>1000</v>
      </c>
      <c r="E131" s="2">
        <f t="shared" ref="E131" si="163">SUM(E128:E130)</f>
        <v>0</v>
      </c>
      <c r="F131" s="2">
        <f t="shared" ref="F131" si="164">SUM(F128:F130)</f>
        <v>0</v>
      </c>
      <c r="G131" s="2">
        <f t="shared" ref="G131" si="165">SUM(G128:G130)</f>
        <v>0</v>
      </c>
      <c r="H131" s="2">
        <f t="shared" ref="H131" si="166">SUM(H128:H130)</f>
        <v>0</v>
      </c>
      <c r="I131" s="2">
        <f t="shared" ref="I131" si="167">SUM(I128:I130)</f>
        <v>0</v>
      </c>
      <c r="J131" s="2">
        <f t="shared" ref="J131" si="168">SUM(J128:J130)</f>
        <v>0</v>
      </c>
      <c r="K131" s="2">
        <f t="shared" ref="K131" si="169">SUM(K128:K130)</f>
        <v>0</v>
      </c>
      <c r="L131" s="39">
        <f>SUM(C131:K131)</f>
        <v>3000</v>
      </c>
    </row>
    <row r="132" spans="2:12" x14ac:dyDescent="0.25">
      <c r="B132" s="37" t="s">
        <v>3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ref="L132:L144" si="170">SUM(C132:K132)</f>
        <v>0</v>
      </c>
    </row>
    <row r="133" spans="2:12" x14ac:dyDescent="0.25">
      <c r="B133" s="19" t="s">
        <v>95</v>
      </c>
      <c r="C133" s="4">
        <f>500*12</f>
        <v>6000</v>
      </c>
      <c r="D133" s="4">
        <f t="shared" ref="D133:K133" si="171">500*12</f>
        <v>6000</v>
      </c>
      <c r="E133" s="4">
        <f t="shared" si="171"/>
        <v>6000</v>
      </c>
      <c r="F133" s="4">
        <f t="shared" si="171"/>
        <v>6000</v>
      </c>
      <c r="G133" s="4">
        <f t="shared" si="171"/>
        <v>6000</v>
      </c>
      <c r="H133" s="4">
        <f t="shared" si="171"/>
        <v>6000</v>
      </c>
      <c r="I133" s="4">
        <f t="shared" si="171"/>
        <v>6000</v>
      </c>
      <c r="J133" s="4">
        <f t="shared" si="171"/>
        <v>6000</v>
      </c>
      <c r="K133" s="4">
        <f t="shared" si="171"/>
        <v>6000</v>
      </c>
      <c r="L133" s="4">
        <f t="shared" si="170"/>
        <v>54000</v>
      </c>
    </row>
    <row r="134" spans="2:12" ht="30" x14ac:dyDescent="0.25">
      <c r="B134" s="35" t="s">
        <v>96</v>
      </c>
      <c r="C134" s="4">
        <f>D124*F124</f>
        <v>33500</v>
      </c>
      <c r="D134" s="4">
        <f>C134</f>
        <v>33500</v>
      </c>
      <c r="E134" s="4">
        <f t="shared" ref="E134:J134" si="172">D134</f>
        <v>33500</v>
      </c>
      <c r="F134" s="4">
        <f t="shared" si="172"/>
        <v>33500</v>
      </c>
      <c r="G134" s="4">
        <f t="shared" si="172"/>
        <v>33500</v>
      </c>
      <c r="H134" s="4">
        <f t="shared" si="172"/>
        <v>33500</v>
      </c>
      <c r="I134" s="4">
        <f t="shared" si="172"/>
        <v>33500</v>
      </c>
      <c r="J134" s="4">
        <f t="shared" si="172"/>
        <v>33500</v>
      </c>
      <c r="K134" s="4">
        <v>0</v>
      </c>
      <c r="L134" s="4">
        <f t="shared" si="170"/>
        <v>268000</v>
      </c>
    </row>
    <row r="135" spans="2:12" x14ac:dyDescent="0.25">
      <c r="B135" s="19" t="s">
        <v>97</v>
      </c>
      <c r="C135" s="4">
        <v>500</v>
      </c>
      <c r="D135" s="4">
        <v>250</v>
      </c>
      <c r="E135" s="4"/>
      <c r="F135" s="4"/>
      <c r="G135" s="4"/>
      <c r="H135" s="4"/>
      <c r="I135" s="4"/>
      <c r="J135" s="4"/>
      <c r="K135" s="4"/>
      <c r="L135" s="4">
        <f t="shared" si="170"/>
        <v>750</v>
      </c>
    </row>
    <row r="136" spans="2:12" x14ac:dyDescent="0.25">
      <c r="B136" s="19" t="s">
        <v>101</v>
      </c>
      <c r="C136" s="4">
        <f>50*D124</f>
        <v>5000</v>
      </c>
      <c r="D136" s="4">
        <f>C136</f>
        <v>5000</v>
      </c>
      <c r="E136" s="4">
        <f t="shared" ref="E136:J136" si="173">D136</f>
        <v>5000</v>
      </c>
      <c r="F136" s="4">
        <f t="shared" si="173"/>
        <v>5000</v>
      </c>
      <c r="G136" s="4">
        <f t="shared" si="173"/>
        <v>5000</v>
      </c>
      <c r="H136" s="4">
        <f t="shared" si="173"/>
        <v>5000</v>
      </c>
      <c r="I136" s="4">
        <f t="shared" si="173"/>
        <v>5000</v>
      </c>
      <c r="J136" s="4">
        <f t="shared" si="173"/>
        <v>5000</v>
      </c>
      <c r="K136" s="4">
        <v>0</v>
      </c>
      <c r="L136" s="1">
        <f t="shared" si="170"/>
        <v>40000</v>
      </c>
    </row>
    <row r="137" spans="2:12" x14ac:dyDescent="0.25">
      <c r="B137" s="38" t="s">
        <v>111</v>
      </c>
      <c r="C137" s="2">
        <f>SUM(C133:C136)</f>
        <v>45000</v>
      </c>
      <c r="D137" s="2">
        <f t="shared" ref="D137" si="174">SUM(D133:D136)</f>
        <v>44750</v>
      </c>
      <c r="E137" s="2">
        <f t="shared" ref="E137" si="175">SUM(E133:E136)</f>
        <v>44500</v>
      </c>
      <c r="F137" s="2">
        <f t="shared" ref="F137" si="176">SUM(F133:F136)</f>
        <v>44500</v>
      </c>
      <c r="G137" s="2">
        <f t="shared" ref="G137" si="177">SUM(G133:G136)</f>
        <v>44500</v>
      </c>
      <c r="H137" s="2">
        <f t="shared" ref="H137" si="178">SUM(H133:H136)</f>
        <v>44500</v>
      </c>
      <c r="I137" s="2">
        <f t="shared" ref="I137" si="179">SUM(I133:I136)</f>
        <v>44500</v>
      </c>
      <c r="J137" s="2">
        <f t="shared" ref="J137" si="180">SUM(J133:J136)</f>
        <v>44500</v>
      </c>
      <c r="K137" s="2">
        <f t="shared" ref="K137" si="181">SUM(K133:K136)</f>
        <v>6000</v>
      </c>
      <c r="L137" s="39">
        <f t="shared" si="170"/>
        <v>362750</v>
      </c>
    </row>
    <row r="138" spans="2:12" x14ac:dyDescent="0.25">
      <c r="B138" s="37" t="s">
        <v>4</v>
      </c>
      <c r="L138" s="3">
        <f t="shared" si="170"/>
        <v>0</v>
      </c>
    </row>
    <row r="139" spans="2:12" x14ac:dyDescent="0.25">
      <c r="B139" t="s">
        <v>98</v>
      </c>
      <c r="C139">
        <f>2000*1.7*2*12</f>
        <v>81600</v>
      </c>
      <c r="D139">
        <f t="shared" ref="D139:K139" si="182">2000*1.7*2*12</f>
        <v>81600</v>
      </c>
      <c r="E139">
        <f t="shared" si="182"/>
        <v>81600</v>
      </c>
      <c r="F139">
        <f t="shared" si="182"/>
        <v>81600</v>
      </c>
      <c r="G139">
        <f t="shared" si="182"/>
        <v>81600</v>
      </c>
      <c r="H139">
        <f t="shared" si="182"/>
        <v>81600</v>
      </c>
      <c r="I139">
        <f t="shared" si="182"/>
        <v>81600</v>
      </c>
      <c r="J139">
        <f t="shared" si="182"/>
        <v>81600</v>
      </c>
      <c r="K139">
        <f t="shared" si="182"/>
        <v>81600</v>
      </c>
      <c r="L139" s="4">
        <f t="shared" si="170"/>
        <v>734400</v>
      </c>
    </row>
    <row r="140" spans="2:12" ht="30" x14ac:dyDescent="0.25">
      <c r="B140" s="33" t="s">
        <v>99</v>
      </c>
      <c r="C140">
        <v>15690</v>
      </c>
      <c r="L140" s="4">
        <f t="shared" si="170"/>
        <v>15690</v>
      </c>
    </row>
    <row r="141" spans="2:12" x14ac:dyDescent="0.25">
      <c r="B141" t="s">
        <v>102</v>
      </c>
      <c r="C141">
        <v>61400</v>
      </c>
      <c r="D141">
        <v>61400</v>
      </c>
      <c r="E141">
        <v>61400</v>
      </c>
      <c r="F141">
        <v>61400</v>
      </c>
      <c r="G141">
        <v>61400</v>
      </c>
      <c r="H141">
        <v>61400</v>
      </c>
      <c r="I141">
        <v>61400</v>
      </c>
      <c r="J141">
        <v>61400</v>
      </c>
      <c r="K141">
        <v>61400</v>
      </c>
      <c r="L141" s="4">
        <f t="shared" si="170"/>
        <v>552600</v>
      </c>
    </row>
    <row r="142" spans="2:12" x14ac:dyDescent="0.25">
      <c r="B142" t="s">
        <v>109</v>
      </c>
      <c r="C142">
        <f>200*12</f>
        <v>2400</v>
      </c>
      <c r="D142">
        <f t="shared" ref="D142:K142" si="183">200*12</f>
        <v>2400</v>
      </c>
      <c r="E142">
        <f t="shared" si="183"/>
        <v>2400</v>
      </c>
      <c r="F142">
        <f t="shared" si="183"/>
        <v>2400</v>
      </c>
      <c r="G142">
        <f t="shared" si="183"/>
        <v>2400</v>
      </c>
      <c r="H142">
        <f t="shared" si="183"/>
        <v>2400</v>
      </c>
      <c r="I142">
        <f t="shared" si="183"/>
        <v>2400</v>
      </c>
      <c r="J142">
        <f t="shared" si="183"/>
        <v>2400</v>
      </c>
      <c r="K142">
        <f t="shared" si="183"/>
        <v>2400</v>
      </c>
      <c r="L142" s="1">
        <f t="shared" si="170"/>
        <v>21600</v>
      </c>
    </row>
    <row r="143" spans="2:12" x14ac:dyDescent="0.25">
      <c r="B143" s="39" t="s">
        <v>111</v>
      </c>
      <c r="C143" s="2">
        <f>SUM(C138:C142)</f>
        <v>161090</v>
      </c>
      <c r="D143" s="2">
        <f t="shared" ref="D143" si="184">SUM(D138:D142)</f>
        <v>145400</v>
      </c>
      <c r="E143" s="2">
        <f t="shared" ref="E143" si="185">SUM(E138:E142)</f>
        <v>145400</v>
      </c>
      <c r="F143" s="2">
        <f t="shared" ref="F143" si="186">SUM(F138:F142)</f>
        <v>145400</v>
      </c>
      <c r="G143" s="2">
        <f t="shared" ref="G143" si="187">SUM(G138:G142)</f>
        <v>145400</v>
      </c>
      <c r="H143" s="2">
        <f t="shared" ref="H143" si="188">SUM(H138:H142)</f>
        <v>145400</v>
      </c>
      <c r="I143" s="2">
        <f t="shared" ref="I143" si="189">SUM(I138:I142)</f>
        <v>145400</v>
      </c>
      <c r="J143" s="2">
        <f t="shared" ref="J143" si="190">SUM(J138:J142)</f>
        <v>145400</v>
      </c>
      <c r="K143" s="2">
        <f t="shared" ref="K143" si="191">SUM(K138:K142)</f>
        <v>145400</v>
      </c>
      <c r="L143" s="39">
        <f t="shared" si="170"/>
        <v>1324290</v>
      </c>
    </row>
    <row r="144" spans="2:12" x14ac:dyDescent="0.25">
      <c r="B144" s="39" t="s">
        <v>19</v>
      </c>
      <c r="C144" s="2">
        <f>SUM(C137,C143,C131)</f>
        <v>208090</v>
      </c>
      <c r="D144" s="2">
        <f t="shared" ref="D144" si="192">SUM(D137,D143,D131)</f>
        <v>191150</v>
      </c>
      <c r="E144" s="2">
        <f t="shared" ref="E144" si="193">SUM(E137,E143,E131)</f>
        <v>189900</v>
      </c>
      <c r="F144" s="2">
        <f t="shared" ref="F144" si="194">SUM(F137,F143,F131)</f>
        <v>189900</v>
      </c>
      <c r="G144" s="2">
        <f t="shared" ref="G144" si="195">SUM(G137,G143,G131)</f>
        <v>189900</v>
      </c>
      <c r="H144" s="2">
        <f t="shared" ref="H144" si="196">SUM(H137,H143,H131)</f>
        <v>189900</v>
      </c>
      <c r="I144" s="2">
        <f t="shared" ref="I144" si="197">SUM(I137,I143,I131)</f>
        <v>189900</v>
      </c>
      <c r="J144" s="2">
        <f t="shared" ref="J144" si="198">SUM(J137,J143,J131)</f>
        <v>189900</v>
      </c>
      <c r="K144" s="2">
        <f t="shared" ref="K144" si="199">SUM(K137,K143,K131)</f>
        <v>151400</v>
      </c>
      <c r="L144" s="39">
        <f t="shared" si="170"/>
        <v>1690040</v>
      </c>
    </row>
  </sheetData>
  <mergeCells count="20">
    <mergeCell ref="B101:B102"/>
    <mergeCell ref="C101:K101"/>
    <mergeCell ref="L101:L102"/>
    <mergeCell ref="B125:B126"/>
    <mergeCell ref="C125:K125"/>
    <mergeCell ref="L125:L126"/>
    <mergeCell ref="B52:B53"/>
    <mergeCell ref="C52:K52"/>
    <mergeCell ref="L52:L53"/>
    <mergeCell ref="B76:B77"/>
    <mergeCell ref="C76:K76"/>
    <mergeCell ref="L76:L77"/>
    <mergeCell ref="C2:K2"/>
    <mergeCell ref="L2:L3"/>
    <mergeCell ref="B2:B3"/>
    <mergeCell ref="T2:X2"/>
    <mergeCell ref="T27:X27"/>
    <mergeCell ref="B26:B27"/>
    <mergeCell ref="C26:K26"/>
    <mergeCell ref="L26:L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2F16-96A5-4207-BBD3-4866A1B40497}">
  <dimension ref="B1:T98"/>
  <sheetViews>
    <sheetView tabSelected="1" topLeftCell="A79" workbookViewId="0">
      <selection activeCell="H88" sqref="H88"/>
    </sheetView>
  </sheetViews>
  <sheetFormatPr defaultRowHeight="15" x14ac:dyDescent="0.25"/>
  <cols>
    <col min="3" max="3" width="11.85546875" customWidth="1"/>
    <col min="5" max="5" width="19.140625" customWidth="1"/>
    <col min="6" max="6" width="17" customWidth="1"/>
    <col min="7" max="7" width="28.7109375" customWidth="1"/>
    <col min="9" max="9" width="17.7109375" customWidth="1"/>
  </cols>
  <sheetData>
    <row r="1" spans="2:20" x14ac:dyDescent="0.25">
      <c r="C1" s="8" t="s">
        <v>124</v>
      </c>
      <c r="D1" s="8"/>
      <c r="E1" s="8"/>
      <c r="F1" s="8"/>
      <c r="G1" s="8"/>
    </row>
    <row r="2" spans="2:20" x14ac:dyDescent="0.25">
      <c r="C2" t="s">
        <v>127</v>
      </c>
      <c r="D2">
        <v>100000</v>
      </c>
      <c r="E2" t="s">
        <v>126</v>
      </c>
      <c r="F2">
        <v>50</v>
      </c>
      <c r="G2" t="s">
        <v>128</v>
      </c>
      <c r="H2">
        <v>3000</v>
      </c>
      <c r="I2" t="s">
        <v>130</v>
      </c>
      <c r="J2">
        <v>7.0000000000000007E-2</v>
      </c>
    </row>
    <row r="3" spans="2:20" x14ac:dyDescent="0.25">
      <c r="B3" s="2" t="s">
        <v>119</v>
      </c>
      <c r="C3" s="2" t="s">
        <v>120</v>
      </c>
      <c r="D3" s="2" t="s">
        <v>121</v>
      </c>
      <c r="E3" s="2" t="s">
        <v>122</v>
      </c>
      <c r="F3" s="2" t="s">
        <v>123</v>
      </c>
      <c r="G3" s="2" t="s">
        <v>129</v>
      </c>
      <c r="H3" s="2" t="s">
        <v>125</v>
      </c>
    </row>
    <row r="4" spans="2:20" x14ac:dyDescent="0.25">
      <c r="B4" s="3">
        <v>0</v>
      </c>
      <c r="C4" s="3">
        <v>0</v>
      </c>
      <c r="D4" s="3">
        <f>-D2</f>
        <v>-100000</v>
      </c>
      <c r="E4" s="3">
        <f>SUM(C4:D4)</f>
        <v>-100000</v>
      </c>
      <c r="F4" s="3">
        <f>1/(1+$J$2)^B4</f>
        <v>1</v>
      </c>
      <c r="G4" s="3">
        <f>E4*F4</f>
        <v>-100000</v>
      </c>
      <c r="H4" s="3">
        <f>SUM($G$4:G4)</f>
        <v>-100000</v>
      </c>
    </row>
    <row r="5" spans="2:20" x14ac:dyDescent="0.25">
      <c r="B5" s="4">
        <v>1</v>
      </c>
      <c r="C5" s="4">
        <f>F2*H2</f>
        <v>150000</v>
      </c>
      <c r="D5" s="4">
        <v>-151000</v>
      </c>
      <c r="E5" s="4">
        <f t="shared" ref="E5:E13" si="0">SUM(C5:D5)</f>
        <v>-1000</v>
      </c>
      <c r="F5" s="3">
        <f t="shared" ref="F5:F13" si="1">1/(1+$J$2)^B5</f>
        <v>0.93457943925233644</v>
      </c>
      <c r="G5" s="4">
        <f t="shared" ref="G5:G13" si="2">E5*F5</f>
        <v>-934.57943925233644</v>
      </c>
      <c r="H5" s="4">
        <f>SUM($G$4:G5)</f>
        <v>-100934.57943925234</v>
      </c>
    </row>
    <row r="6" spans="2:20" x14ac:dyDescent="0.25">
      <c r="B6" s="4">
        <v>2</v>
      </c>
      <c r="C6" s="4">
        <f>C5</f>
        <v>150000</v>
      </c>
      <c r="D6" s="4">
        <v>-141000</v>
      </c>
      <c r="E6" s="4">
        <f t="shared" si="0"/>
        <v>9000</v>
      </c>
      <c r="F6" s="3">
        <f t="shared" si="1"/>
        <v>0.87343872827321156</v>
      </c>
      <c r="G6" s="4">
        <f t="shared" si="2"/>
        <v>7860.9485544589043</v>
      </c>
      <c r="H6" s="4">
        <f>SUM($G$4:G6)</f>
        <v>-93073.630884793442</v>
      </c>
    </row>
    <row r="7" spans="2:20" x14ac:dyDescent="0.25">
      <c r="B7" s="4">
        <v>3</v>
      </c>
      <c r="C7" s="4">
        <f t="shared" ref="C7:C12" si="3">C6</f>
        <v>150000</v>
      </c>
      <c r="D7" s="4">
        <v>-139750</v>
      </c>
      <c r="E7" s="4">
        <f t="shared" si="0"/>
        <v>10250</v>
      </c>
      <c r="F7" s="3">
        <f t="shared" si="1"/>
        <v>0.81629787689085187</v>
      </c>
      <c r="G7" s="4">
        <f t="shared" si="2"/>
        <v>8367.0532381312314</v>
      </c>
      <c r="H7" s="4">
        <f>SUM($G$4:G7)</f>
        <v>-84706.577646662205</v>
      </c>
    </row>
    <row r="8" spans="2:20" x14ac:dyDescent="0.25">
      <c r="B8" s="4">
        <v>4</v>
      </c>
      <c r="C8" s="4">
        <f t="shared" si="3"/>
        <v>150000</v>
      </c>
      <c r="D8" s="4">
        <v>-139750</v>
      </c>
      <c r="E8" s="4">
        <f t="shared" si="0"/>
        <v>10250</v>
      </c>
      <c r="F8" s="3">
        <f t="shared" si="1"/>
        <v>0.7628952120475252</v>
      </c>
      <c r="G8" s="4">
        <f t="shared" si="2"/>
        <v>7819.6759234871333</v>
      </c>
      <c r="H8" s="4">
        <f>SUM($G$4:G8)</f>
        <v>-76886.901723175077</v>
      </c>
    </row>
    <row r="9" spans="2:20" x14ac:dyDescent="0.25">
      <c r="B9" s="4">
        <v>5</v>
      </c>
      <c r="C9" s="4">
        <f t="shared" si="3"/>
        <v>150000</v>
      </c>
      <c r="D9" s="4">
        <v>-139750</v>
      </c>
      <c r="E9" s="4">
        <f t="shared" si="0"/>
        <v>10250</v>
      </c>
      <c r="F9" s="3">
        <f t="shared" si="1"/>
        <v>0.71298617948366838</v>
      </c>
      <c r="G9" s="4">
        <f t="shared" si="2"/>
        <v>7308.1083397076009</v>
      </c>
      <c r="H9" s="4">
        <f>SUM($G$4:G9)</f>
        <v>-69578.793383467477</v>
      </c>
    </row>
    <row r="10" spans="2:20" x14ac:dyDescent="0.25">
      <c r="B10" s="4">
        <v>6</v>
      </c>
      <c r="C10" s="4">
        <f t="shared" si="3"/>
        <v>150000</v>
      </c>
      <c r="D10" s="4">
        <v>139750</v>
      </c>
      <c r="E10" s="4">
        <f t="shared" si="0"/>
        <v>289750</v>
      </c>
      <c r="F10" s="3">
        <f t="shared" si="1"/>
        <v>0.66634222381651254</v>
      </c>
      <c r="G10" s="4">
        <f t="shared" si="2"/>
        <v>193072.6593508345</v>
      </c>
      <c r="H10" s="4">
        <f>SUM($G$4:G10)</f>
        <v>123493.86596736702</v>
      </c>
    </row>
    <row r="11" spans="2:20" x14ac:dyDescent="0.25">
      <c r="B11" s="4">
        <v>7</v>
      </c>
      <c r="C11" s="4">
        <f t="shared" si="3"/>
        <v>150000</v>
      </c>
      <c r="D11" s="4">
        <v>-139750</v>
      </c>
      <c r="E11" s="4">
        <f t="shared" si="0"/>
        <v>10250</v>
      </c>
      <c r="F11" s="3">
        <f t="shared" si="1"/>
        <v>0.62274974188459109</v>
      </c>
      <c r="G11" s="4">
        <f t="shared" si="2"/>
        <v>6383.184854317059</v>
      </c>
      <c r="H11" s="4">
        <f>SUM($G$4:G11)</f>
        <v>129877.05082168408</v>
      </c>
    </row>
    <row r="12" spans="2:20" x14ac:dyDescent="0.25">
      <c r="B12" s="4">
        <v>8</v>
      </c>
      <c r="C12" s="4">
        <f t="shared" si="3"/>
        <v>150000</v>
      </c>
      <c r="D12" s="4">
        <v>-139750</v>
      </c>
      <c r="E12" s="4">
        <f t="shared" si="0"/>
        <v>10250</v>
      </c>
      <c r="F12" s="3">
        <f t="shared" si="1"/>
        <v>0.5820091045650384</v>
      </c>
      <c r="G12" s="4">
        <f t="shared" si="2"/>
        <v>5965.5933217916436</v>
      </c>
      <c r="H12" s="4">
        <f>SUM($G$4:G12)</f>
        <v>135842.64414347571</v>
      </c>
    </row>
    <row r="13" spans="2:20" x14ac:dyDescent="0.25">
      <c r="B13" s="1">
        <v>9</v>
      </c>
      <c r="C13" s="1">
        <v>0</v>
      </c>
      <c r="D13" s="1">
        <v>-115500</v>
      </c>
      <c r="E13" s="1">
        <f t="shared" si="0"/>
        <v>-115500</v>
      </c>
      <c r="F13" s="3">
        <f t="shared" si="1"/>
        <v>0.54393374258414806</v>
      </c>
      <c r="G13" s="1">
        <f t="shared" si="2"/>
        <v>-62824.347268469101</v>
      </c>
      <c r="H13" s="1">
        <f>SUM($G$4:G13)</f>
        <v>73018.296875006607</v>
      </c>
    </row>
    <row r="14" spans="2:20" x14ac:dyDescent="0.25">
      <c r="L14">
        <v>209040</v>
      </c>
      <c r="M14">
        <v>190750</v>
      </c>
      <c r="N14">
        <v>189500</v>
      </c>
      <c r="O14">
        <v>189500</v>
      </c>
      <c r="P14">
        <v>189500</v>
      </c>
      <c r="Q14">
        <v>189500</v>
      </c>
      <c r="R14">
        <v>189500</v>
      </c>
      <c r="S14">
        <v>189500</v>
      </c>
      <c r="T14">
        <v>141000</v>
      </c>
    </row>
    <row r="15" spans="2:20" x14ac:dyDescent="0.25">
      <c r="L15">
        <f>-L14</f>
        <v>-209040</v>
      </c>
      <c r="M15">
        <f t="shared" ref="M15:T15" si="4">-M14</f>
        <v>-190750</v>
      </c>
      <c r="N15">
        <f t="shared" si="4"/>
        <v>-189500</v>
      </c>
      <c r="O15">
        <f t="shared" si="4"/>
        <v>-189500</v>
      </c>
      <c r="P15">
        <f t="shared" si="4"/>
        <v>-189500</v>
      </c>
      <c r="Q15">
        <f t="shared" si="4"/>
        <v>-189500</v>
      </c>
      <c r="R15">
        <f t="shared" si="4"/>
        <v>-189500</v>
      </c>
      <c r="S15">
        <f t="shared" si="4"/>
        <v>-189500</v>
      </c>
      <c r="T15">
        <f t="shared" si="4"/>
        <v>-141000</v>
      </c>
    </row>
    <row r="16" spans="2:20" x14ac:dyDescent="0.25">
      <c r="L16">
        <v>-209040</v>
      </c>
      <c r="M16">
        <v>-190750</v>
      </c>
      <c r="N16">
        <v>-189500</v>
      </c>
      <c r="O16">
        <v>-189500</v>
      </c>
      <c r="P16">
        <v>-189500</v>
      </c>
      <c r="Q16">
        <v>-189500</v>
      </c>
      <c r="R16">
        <v>-189500</v>
      </c>
      <c r="S16">
        <v>-189500</v>
      </c>
      <c r="T16">
        <v>-141000</v>
      </c>
    </row>
    <row r="18" spans="2:20" x14ac:dyDescent="0.25">
      <c r="C18" s="8" t="s">
        <v>131</v>
      </c>
      <c r="D18" s="8"/>
      <c r="E18" s="8"/>
      <c r="F18" s="8"/>
      <c r="G18" s="8"/>
    </row>
    <row r="19" spans="2:20" x14ac:dyDescent="0.25">
      <c r="C19" t="s">
        <v>127</v>
      </c>
      <c r="D19">
        <v>100000</v>
      </c>
      <c r="E19" t="s">
        <v>126</v>
      </c>
      <c r="F19">
        <v>100</v>
      </c>
      <c r="G19" t="s">
        <v>128</v>
      </c>
      <c r="H19">
        <v>2500</v>
      </c>
    </row>
    <row r="20" spans="2:20" x14ac:dyDescent="0.25">
      <c r="B20" s="2" t="s">
        <v>119</v>
      </c>
      <c r="C20" s="2" t="s">
        <v>120</v>
      </c>
      <c r="D20" s="2" t="s">
        <v>121</v>
      </c>
      <c r="E20" s="2" t="s">
        <v>122</v>
      </c>
      <c r="F20" s="2" t="s">
        <v>123</v>
      </c>
      <c r="G20" s="2" t="s">
        <v>129</v>
      </c>
      <c r="H20" s="2" t="s">
        <v>125</v>
      </c>
    </row>
    <row r="21" spans="2:20" x14ac:dyDescent="0.25">
      <c r="B21" s="3">
        <v>0</v>
      </c>
      <c r="C21" s="3">
        <v>0</v>
      </c>
      <c r="D21" s="3">
        <f>-D19</f>
        <v>-100000</v>
      </c>
      <c r="E21" s="3">
        <f>SUM(C21:D21)</f>
        <v>-100000</v>
      </c>
      <c r="F21" s="3">
        <f>1/(1+$J$2)^B21</f>
        <v>1</v>
      </c>
      <c r="G21" s="3">
        <f>E21*F21</f>
        <v>-100000</v>
      </c>
      <c r="H21" s="3">
        <f>SUM($G$21:G21)</f>
        <v>-100000</v>
      </c>
    </row>
    <row r="22" spans="2:20" x14ac:dyDescent="0.25">
      <c r="B22" s="4">
        <v>1</v>
      </c>
      <c r="C22" s="4">
        <f>F19*H19</f>
        <v>250000</v>
      </c>
      <c r="D22">
        <v>-209040</v>
      </c>
      <c r="E22" s="4">
        <f t="shared" ref="E22:E30" si="5">SUM(C22:D22)</f>
        <v>40960</v>
      </c>
      <c r="F22" s="3">
        <f t="shared" ref="F22:F30" si="6">1/(1+$J$2)^B22</f>
        <v>0.93457943925233644</v>
      </c>
      <c r="G22" s="4">
        <f t="shared" ref="G22:G30" si="7">E22*F22</f>
        <v>38280.373831775702</v>
      </c>
      <c r="H22" s="3">
        <f>SUM($G$21:G22)</f>
        <v>-61719.626168224298</v>
      </c>
    </row>
    <row r="23" spans="2:20" x14ac:dyDescent="0.25">
      <c r="B23" s="4">
        <v>2</v>
      </c>
      <c r="C23" s="4">
        <f>C22</f>
        <v>250000</v>
      </c>
      <c r="D23">
        <v>-190750</v>
      </c>
      <c r="E23" s="4">
        <f t="shared" si="5"/>
        <v>59250</v>
      </c>
      <c r="F23" s="3">
        <f t="shared" si="6"/>
        <v>0.87343872827321156</v>
      </c>
      <c r="G23" s="4">
        <f t="shared" si="7"/>
        <v>51751.244650187786</v>
      </c>
      <c r="H23" s="3">
        <f>SUM($G$21:G23)</f>
        <v>-9968.3815180365127</v>
      </c>
    </row>
    <row r="24" spans="2:20" x14ac:dyDescent="0.25">
      <c r="B24" s="4">
        <v>3</v>
      </c>
      <c r="C24" s="4">
        <f t="shared" ref="C24:C29" si="8">C23</f>
        <v>250000</v>
      </c>
      <c r="D24">
        <v>-189500</v>
      </c>
      <c r="E24" s="4">
        <f t="shared" si="5"/>
        <v>60500</v>
      </c>
      <c r="F24" s="3">
        <f t="shared" si="6"/>
        <v>0.81629787689085187</v>
      </c>
      <c r="G24" s="4">
        <f t="shared" si="7"/>
        <v>49386.021551896541</v>
      </c>
      <c r="H24" s="3">
        <f>SUM($G$21:G24)</f>
        <v>39417.640033860029</v>
      </c>
    </row>
    <row r="25" spans="2:20" x14ac:dyDescent="0.25">
      <c r="B25" s="4">
        <v>4</v>
      </c>
      <c r="C25" s="4">
        <f t="shared" si="8"/>
        <v>250000</v>
      </c>
      <c r="D25">
        <v>-189500</v>
      </c>
      <c r="E25" s="4">
        <f t="shared" si="5"/>
        <v>60500</v>
      </c>
      <c r="F25" s="3">
        <f t="shared" si="6"/>
        <v>0.7628952120475252</v>
      </c>
      <c r="G25" s="4">
        <f t="shared" si="7"/>
        <v>46155.160328875274</v>
      </c>
      <c r="H25" s="3">
        <f>SUM($G$21:G25)</f>
        <v>85572.800362735303</v>
      </c>
    </row>
    <row r="26" spans="2:20" x14ac:dyDescent="0.25">
      <c r="B26" s="4">
        <v>5</v>
      </c>
      <c r="C26" s="4">
        <f t="shared" si="8"/>
        <v>250000</v>
      </c>
      <c r="D26">
        <v>-189500</v>
      </c>
      <c r="E26" s="4">
        <f t="shared" si="5"/>
        <v>60500</v>
      </c>
      <c r="F26" s="3">
        <f t="shared" si="6"/>
        <v>0.71298617948366838</v>
      </c>
      <c r="G26" s="4">
        <f t="shared" si="7"/>
        <v>43135.663858761938</v>
      </c>
      <c r="H26" s="3">
        <f>SUM($G$21:G26)</f>
        <v>128708.46422149724</v>
      </c>
    </row>
    <row r="27" spans="2:20" x14ac:dyDescent="0.25">
      <c r="B27" s="4">
        <v>6</v>
      </c>
      <c r="C27" s="4">
        <f t="shared" si="8"/>
        <v>250000</v>
      </c>
      <c r="D27">
        <v>-189500</v>
      </c>
      <c r="E27" s="4">
        <f t="shared" si="5"/>
        <v>60500</v>
      </c>
      <c r="F27" s="3">
        <f t="shared" si="6"/>
        <v>0.66634222381651254</v>
      </c>
      <c r="G27" s="4">
        <f t="shared" si="7"/>
        <v>40313.704540899009</v>
      </c>
      <c r="H27" s="3">
        <f>SUM($G$21:G27)</f>
        <v>169022.16876239626</v>
      </c>
    </row>
    <row r="28" spans="2:20" x14ac:dyDescent="0.25">
      <c r="B28" s="4">
        <v>7</v>
      </c>
      <c r="C28" s="4">
        <f t="shared" si="8"/>
        <v>250000</v>
      </c>
      <c r="D28">
        <v>-189500</v>
      </c>
      <c r="E28" s="4">
        <f t="shared" si="5"/>
        <v>60500</v>
      </c>
      <c r="F28" s="3">
        <f t="shared" si="6"/>
        <v>0.62274974188459109</v>
      </c>
      <c r="G28" s="4">
        <f t="shared" si="7"/>
        <v>37676.359384017764</v>
      </c>
      <c r="H28" s="3">
        <f>SUM($G$21:G28)</f>
        <v>206698.52814641403</v>
      </c>
    </row>
    <row r="29" spans="2:20" x14ac:dyDescent="0.25">
      <c r="B29" s="4">
        <v>8</v>
      </c>
      <c r="C29" s="4">
        <f t="shared" si="8"/>
        <v>250000</v>
      </c>
      <c r="D29">
        <v>-189500</v>
      </c>
      <c r="E29" s="4">
        <f t="shared" si="5"/>
        <v>60500</v>
      </c>
      <c r="F29" s="3">
        <f t="shared" si="6"/>
        <v>0.5820091045650384</v>
      </c>
      <c r="G29" s="4">
        <f t="shared" si="7"/>
        <v>35211.550826184823</v>
      </c>
      <c r="H29" s="3">
        <f>SUM($G$21:G29)</f>
        <v>241910.07897259886</v>
      </c>
    </row>
    <row r="30" spans="2:20" x14ac:dyDescent="0.25">
      <c r="B30" s="1">
        <v>9</v>
      </c>
      <c r="C30" s="1">
        <v>0</v>
      </c>
      <c r="D30">
        <v>-141000</v>
      </c>
      <c r="E30" s="1">
        <f t="shared" si="5"/>
        <v>-141000</v>
      </c>
      <c r="F30" s="3">
        <f t="shared" si="6"/>
        <v>0.54393374258414806</v>
      </c>
      <c r="G30" s="1">
        <f t="shared" si="7"/>
        <v>-76694.657704364872</v>
      </c>
      <c r="H30" s="3">
        <f>SUM($G$21:G30)</f>
        <v>165215.42126823397</v>
      </c>
    </row>
    <row r="31" spans="2:20" x14ac:dyDescent="0.25">
      <c r="L31">
        <v>147750</v>
      </c>
      <c r="M31">
        <v>138000</v>
      </c>
      <c r="N31">
        <v>136750</v>
      </c>
      <c r="O31">
        <v>136750</v>
      </c>
      <c r="P31">
        <v>136750</v>
      </c>
      <c r="Q31">
        <v>136750</v>
      </c>
      <c r="R31">
        <v>136750</v>
      </c>
      <c r="S31">
        <v>136750</v>
      </c>
      <c r="T31">
        <v>115000</v>
      </c>
    </row>
    <row r="32" spans="2:20" x14ac:dyDescent="0.25">
      <c r="L32">
        <f>-L31</f>
        <v>-147750</v>
      </c>
      <c r="M32">
        <f t="shared" ref="M32" si="9">-M31</f>
        <v>-138000</v>
      </c>
      <c r="N32">
        <f t="shared" ref="N32" si="10">-N31</f>
        <v>-136750</v>
      </c>
      <c r="O32">
        <f t="shared" ref="O32" si="11">-O31</f>
        <v>-136750</v>
      </c>
      <c r="P32">
        <f t="shared" ref="P32" si="12">-P31</f>
        <v>-136750</v>
      </c>
      <c r="Q32">
        <f t="shared" ref="Q32" si="13">-Q31</f>
        <v>-136750</v>
      </c>
      <c r="R32">
        <f t="shared" ref="R32" si="14">-R31</f>
        <v>-136750</v>
      </c>
      <c r="S32">
        <f t="shared" ref="S32" si="15">-S31</f>
        <v>-136750</v>
      </c>
      <c r="T32">
        <f t="shared" ref="T32" si="16">-T31</f>
        <v>-115000</v>
      </c>
    </row>
    <row r="33" spans="2:20" x14ac:dyDescent="0.25">
      <c r="L33">
        <v>-147750</v>
      </c>
      <c r="M33">
        <v>-138000</v>
      </c>
      <c r="N33">
        <v>-136750</v>
      </c>
      <c r="O33">
        <v>-136750</v>
      </c>
      <c r="P33">
        <v>-136750</v>
      </c>
      <c r="Q33">
        <v>-136750</v>
      </c>
      <c r="R33">
        <v>-136750</v>
      </c>
      <c r="S33">
        <v>-136750</v>
      </c>
      <c r="T33">
        <v>-115000</v>
      </c>
    </row>
    <row r="35" spans="2:20" x14ac:dyDescent="0.25">
      <c r="C35" s="8" t="s">
        <v>132</v>
      </c>
      <c r="D35" s="8"/>
      <c r="E35" s="8"/>
      <c r="F35" s="8"/>
      <c r="G35" s="8"/>
    </row>
    <row r="36" spans="2:20" x14ac:dyDescent="0.25">
      <c r="C36" t="s">
        <v>127</v>
      </c>
      <c r="D36">
        <v>100000</v>
      </c>
      <c r="E36" t="s">
        <v>126</v>
      </c>
      <c r="F36">
        <v>50</v>
      </c>
      <c r="G36" t="s">
        <v>128</v>
      </c>
      <c r="H36">
        <v>3000</v>
      </c>
    </row>
    <row r="37" spans="2:20" x14ac:dyDescent="0.25">
      <c r="B37" s="2" t="s">
        <v>119</v>
      </c>
      <c r="C37" s="2" t="s">
        <v>120</v>
      </c>
      <c r="D37" s="2" t="s">
        <v>121</v>
      </c>
      <c r="E37" s="2" t="s">
        <v>122</v>
      </c>
      <c r="F37" s="2" t="s">
        <v>123</v>
      </c>
      <c r="G37" s="2" t="s">
        <v>129</v>
      </c>
      <c r="H37" s="2" t="s">
        <v>125</v>
      </c>
    </row>
    <row r="38" spans="2:20" x14ac:dyDescent="0.25">
      <c r="B38" s="3">
        <v>0</v>
      </c>
      <c r="C38" s="3">
        <v>0</v>
      </c>
      <c r="D38" s="3">
        <f>-D36</f>
        <v>-100000</v>
      </c>
      <c r="E38" s="3">
        <f>SUM(C38:D38)</f>
        <v>-100000</v>
      </c>
      <c r="F38" s="3">
        <f>1/(1+$J$2)^B38</f>
        <v>1</v>
      </c>
      <c r="G38" s="3">
        <f>E38*F38</f>
        <v>-100000</v>
      </c>
      <c r="H38" s="3">
        <f>SUM($G$21:G38)</f>
        <v>65215.421268233971</v>
      </c>
    </row>
    <row r="39" spans="2:20" x14ac:dyDescent="0.25">
      <c r="B39" s="4">
        <v>1</v>
      </c>
      <c r="C39" s="4">
        <f>F36*H36</f>
        <v>150000</v>
      </c>
      <c r="D39">
        <v>-147750</v>
      </c>
      <c r="E39" s="4">
        <f t="shared" ref="E39:E47" si="17">SUM(C39:D39)</f>
        <v>2250</v>
      </c>
      <c r="F39" s="3">
        <f t="shared" ref="F39:F47" si="18">1/(1+$J$2)^B39</f>
        <v>0.93457943925233644</v>
      </c>
      <c r="G39" s="4">
        <f t="shared" ref="G39:G47" si="19">E39*F39</f>
        <v>2102.8037383177571</v>
      </c>
      <c r="H39" s="3">
        <f>SUM($G$21:G39)</f>
        <v>67318.225006551729</v>
      </c>
    </row>
    <row r="40" spans="2:20" x14ac:dyDescent="0.25">
      <c r="B40" s="4">
        <v>2</v>
      </c>
      <c r="C40" s="4">
        <f>C39</f>
        <v>150000</v>
      </c>
      <c r="D40">
        <v>-138000</v>
      </c>
      <c r="E40" s="4">
        <f t="shared" si="17"/>
        <v>12000</v>
      </c>
      <c r="F40" s="3">
        <f t="shared" si="18"/>
        <v>0.87343872827321156</v>
      </c>
      <c r="G40" s="4">
        <f t="shared" si="19"/>
        <v>10481.264739278538</v>
      </c>
      <c r="H40" s="3">
        <f>SUM($G$21:G40)</f>
        <v>77799.489745830273</v>
      </c>
    </row>
    <row r="41" spans="2:20" x14ac:dyDescent="0.25">
      <c r="B41" s="4">
        <v>3</v>
      </c>
      <c r="C41" s="4">
        <f t="shared" ref="C41:C46" si="20">C40</f>
        <v>150000</v>
      </c>
      <c r="D41">
        <v>-136750</v>
      </c>
      <c r="E41" s="4">
        <f t="shared" si="17"/>
        <v>13250</v>
      </c>
      <c r="F41" s="3">
        <f t="shared" si="18"/>
        <v>0.81629787689085187</v>
      </c>
      <c r="G41" s="4">
        <f t="shared" si="19"/>
        <v>10815.946868803787</v>
      </c>
      <c r="H41" s="3">
        <f>SUM($G$21:G41)</f>
        <v>88615.436614634062</v>
      </c>
    </row>
    <row r="42" spans="2:20" x14ac:dyDescent="0.25">
      <c r="B42" s="4">
        <v>4</v>
      </c>
      <c r="C42" s="4">
        <f t="shared" si="20"/>
        <v>150000</v>
      </c>
      <c r="D42">
        <v>-136750</v>
      </c>
      <c r="E42" s="4">
        <f t="shared" si="17"/>
        <v>13250</v>
      </c>
      <c r="F42" s="3">
        <f t="shared" si="18"/>
        <v>0.7628952120475252</v>
      </c>
      <c r="G42" s="4">
        <f t="shared" si="19"/>
        <v>10108.36155962971</v>
      </c>
      <c r="H42" s="3">
        <f>SUM($G$21:G42)</f>
        <v>98723.798174263764</v>
      </c>
    </row>
    <row r="43" spans="2:20" x14ac:dyDescent="0.25">
      <c r="B43" s="4">
        <v>5</v>
      </c>
      <c r="C43" s="4">
        <f t="shared" si="20"/>
        <v>150000</v>
      </c>
      <c r="D43">
        <v>-136750</v>
      </c>
      <c r="E43" s="4">
        <f t="shared" si="17"/>
        <v>13250</v>
      </c>
      <c r="F43" s="3">
        <f t="shared" si="18"/>
        <v>0.71298617948366838</v>
      </c>
      <c r="G43" s="4">
        <f t="shared" si="19"/>
        <v>9447.0668781586064</v>
      </c>
      <c r="H43" s="3">
        <f>SUM($G$21:G43)</f>
        <v>108170.86505242236</v>
      </c>
    </row>
    <row r="44" spans="2:20" x14ac:dyDescent="0.25">
      <c r="B44" s="4">
        <v>6</v>
      </c>
      <c r="C44" s="4">
        <f t="shared" si="20"/>
        <v>150000</v>
      </c>
      <c r="D44">
        <v>-136750</v>
      </c>
      <c r="E44" s="4">
        <f t="shared" si="17"/>
        <v>13250</v>
      </c>
      <c r="F44" s="3">
        <f t="shared" si="18"/>
        <v>0.66634222381651254</v>
      </c>
      <c r="G44" s="4">
        <f t="shared" si="19"/>
        <v>8829.0344655687913</v>
      </c>
      <c r="H44" s="3">
        <f>SUM($G$21:G44)</f>
        <v>116999.89951799116</v>
      </c>
    </row>
    <row r="45" spans="2:20" x14ac:dyDescent="0.25">
      <c r="B45" s="4">
        <v>7</v>
      </c>
      <c r="C45" s="4">
        <f t="shared" si="20"/>
        <v>150000</v>
      </c>
      <c r="D45">
        <v>-136750</v>
      </c>
      <c r="E45" s="4">
        <f t="shared" si="17"/>
        <v>13250</v>
      </c>
      <c r="F45" s="3">
        <f t="shared" si="18"/>
        <v>0.62274974188459109</v>
      </c>
      <c r="G45" s="4">
        <f t="shared" si="19"/>
        <v>8251.4340799708316</v>
      </c>
      <c r="H45" s="3">
        <f>SUM($G$21:G45)</f>
        <v>125251.33359796199</v>
      </c>
    </row>
    <row r="46" spans="2:20" x14ac:dyDescent="0.25">
      <c r="B46" s="4">
        <v>8</v>
      </c>
      <c r="C46" s="4">
        <f t="shared" si="20"/>
        <v>150000</v>
      </c>
      <c r="D46">
        <v>-136750</v>
      </c>
      <c r="E46" s="4">
        <f t="shared" si="17"/>
        <v>13250</v>
      </c>
      <c r="F46" s="3">
        <f t="shared" si="18"/>
        <v>0.5820091045650384</v>
      </c>
      <c r="G46" s="4">
        <f t="shared" si="19"/>
        <v>7711.6206354867591</v>
      </c>
      <c r="H46" s="3">
        <f>SUM($G$21:G46)</f>
        <v>132962.95423344875</v>
      </c>
    </row>
    <row r="47" spans="2:20" x14ac:dyDescent="0.25">
      <c r="B47" s="1">
        <v>9</v>
      </c>
      <c r="C47" s="1">
        <v>0</v>
      </c>
      <c r="D47">
        <v>-115000</v>
      </c>
      <c r="E47" s="1">
        <f t="shared" si="17"/>
        <v>-115000</v>
      </c>
      <c r="F47" s="3">
        <f t="shared" si="18"/>
        <v>0.54393374258414806</v>
      </c>
      <c r="G47" s="1">
        <f t="shared" si="19"/>
        <v>-62552.380397177025</v>
      </c>
      <c r="H47" s="3">
        <f>SUM($G$21:G47)</f>
        <v>70410.573836271724</v>
      </c>
    </row>
    <row r="48" spans="2:20" x14ac:dyDescent="0.25">
      <c r="L48">
        <v>202640</v>
      </c>
      <c r="M48">
        <v>165500</v>
      </c>
      <c r="N48">
        <v>164250</v>
      </c>
      <c r="O48">
        <v>164250</v>
      </c>
      <c r="P48">
        <v>164250</v>
      </c>
      <c r="Q48">
        <v>164250</v>
      </c>
      <c r="R48">
        <v>164250</v>
      </c>
      <c r="S48">
        <v>164250</v>
      </c>
      <c r="T48">
        <v>145000</v>
      </c>
    </row>
    <row r="49" spans="2:20" x14ac:dyDescent="0.25">
      <c r="L49">
        <f>-L48</f>
        <v>-202640</v>
      </c>
      <c r="M49">
        <f t="shared" ref="M49" si="21">-M48</f>
        <v>-165500</v>
      </c>
      <c r="N49">
        <f t="shared" ref="N49" si="22">-N48</f>
        <v>-164250</v>
      </c>
      <c r="O49">
        <f t="shared" ref="O49" si="23">-O48</f>
        <v>-164250</v>
      </c>
      <c r="P49">
        <f t="shared" ref="P49" si="24">-P48</f>
        <v>-164250</v>
      </c>
      <c r="Q49">
        <f t="shared" ref="Q49" si="25">-Q48</f>
        <v>-164250</v>
      </c>
      <c r="R49">
        <f t="shared" ref="R49" si="26">-R48</f>
        <v>-164250</v>
      </c>
      <c r="S49">
        <f t="shared" ref="S49" si="27">-S48</f>
        <v>-164250</v>
      </c>
      <c r="T49">
        <f t="shared" ref="T49" si="28">-T48</f>
        <v>-145000</v>
      </c>
    </row>
    <row r="50" spans="2:20" x14ac:dyDescent="0.25">
      <c r="L50">
        <v>-202640</v>
      </c>
      <c r="M50">
        <v>-165500</v>
      </c>
      <c r="N50">
        <v>-164250</v>
      </c>
      <c r="O50">
        <v>-164250</v>
      </c>
      <c r="P50">
        <v>-164250</v>
      </c>
      <c r="Q50">
        <v>-164250</v>
      </c>
      <c r="R50">
        <v>-164250</v>
      </c>
      <c r="S50">
        <v>-164250</v>
      </c>
      <c r="T50">
        <v>-145000</v>
      </c>
    </row>
    <row r="52" spans="2:20" x14ac:dyDescent="0.25">
      <c r="C52" s="8" t="s">
        <v>133</v>
      </c>
      <c r="D52" s="8"/>
      <c r="E52" s="8"/>
      <c r="F52" s="8"/>
      <c r="G52" s="8"/>
    </row>
    <row r="53" spans="2:20" x14ac:dyDescent="0.25">
      <c r="C53" t="s">
        <v>127</v>
      </c>
      <c r="D53">
        <v>100000</v>
      </c>
      <c r="E53" t="s">
        <v>126</v>
      </c>
      <c r="F53">
        <v>100</v>
      </c>
      <c r="G53" t="s">
        <v>128</v>
      </c>
      <c r="H53">
        <v>2000</v>
      </c>
    </row>
    <row r="54" spans="2:20" x14ac:dyDescent="0.25">
      <c r="B54" s="2" t="s">
        <v>119</v>
      </c>
      <c r="C54" s="2" t="s">
        <v>120</v>
      </c>
      <c r="D54" s="2" t="s">
        <v>121</v>
      </c>
      <c r="E54" s="2" t="s">
        <v>122</v>
      </c>
      <c r="F54" s="2" t="s">
        <v>123</v>
      </c>
      <c r="G54" s="2" t="s">
        <v>129</v>
      </c>
      <c r="H54" s="2" t="s">
        <v>125</v>
      </c>
    </row>
    <row r="55" spans="2:20" x14ac:dyDescent="0.25">
      <c r="B55" s="3">
        <v>0</v>
      </c>
      <c r="C55" s="3">
        <v>0</v>
      </c>
      <c r="D55" s="3">
        <f>-D53</f>
        <v>-100000</v>
      </c>
      <c r="E55" s="3">
        <f>SUM(C55:D55)</f>
        <v>-100000</v>
      </c>
      <c r="F55" s="3">
        <f>1/(1+$J$2)^B55</f>
        <v>1</v>
      </c>
      <c r="G55" s="3">
        <f>E55*F55</f>
        <v>-100000</v>
      </c>
      <c r="H55" s="3">
        <f>SUM($G$21:G55)</f>
        <v>-29589.426163728276</v>
      </c>
    </row>
    <row r="56" spans="2:20" x14ac:dyDescent="0.25">
      <c r="B56" s="4">
        <v>1</v>
      </c>
      <c r="C56" s="4">
        <f>F53*H53</f>
        <v>200000</v>
      </c>
      <c r="D56">
        <v>-202640</v>
      </c>
      <c r="E56" s="4">
        <f t="shared" ref="E56:E64" si="29">SUM(C56:D56)</f>
        <v>-2640</v>
      </c>
      <c r="F56" s="3">
        <f t="shared" ref="F56:F64" si="30">1/(1+$J$2)^B56</f>
        <v>0.93457943925233644</v>
      </c>
      <c r="G56" s="4">
        <f t="shared" ref="G56:G64" si="31">E56*F56</f>
        <v>-2467.2897196261683</v>
      </c>
      <c r="H56" s="3">
        <f>SUM($G$21:G56)</f>
        <v>-32056.715883354445</v>
      </c>
    </row>
    <row r="57" spans="2:20" x14ac:dyDescent="0.25">
      <c r="B57" s="4">
        <v>2</v>
      </c>
      <c r="C57" s="4">
        <f>C56</f>
        <v>200000</v>
      </c>
      <c r="D57">
        <v>-165500</v>
      </c>
      <c r="E57" s="4">
        <f t="shared" si="29"/>
        <v>34500</v>
      </c>
      <c r="F57" s="3">
        <f t="shared" si="30"/>
        <v>0.87343872827321156</v>
      </c>
      <c r="G57" s="4">
        <f t="shared" si="31"/>
        <v>30133.636125425797</v>
      </c>
      <c r="H57" s="3">
        <f>SUM($G$21:G57)</f>
        <v>-1923.0797579286482</v>
      </c>
    </row>
    <row r="58" spans="2:20" x14ac:dyDescent="0.25">
      <c r="B58" s="4">
        <v>3</v>
      </c>
      <c r="C58" s="4">
        <f t="shared" ref="C58:C63" si="32">C57</f>
        <v>200000</v>
      </c>
      <c r="D58">
        <v>-164250</v>
      </c>
      <c r="E58" s="4">
        <f t="shared" si="29"/>
        <v>35750</v>
      </c>
      <c r="F58" s="3">
        <f t="shared" si="30"/>
        <v>0.81629787689085187</v>
      </c>
      <c r="G58" s="4">
        <f t="shared" si="31"/>
        <v>29182.649098847953</v>
      </c>
      <c r="H58" s="3">
        <f>SUM($G$21:G58)</f>
        <v>27259.569340919305</v>
      </c>
    </row>
    <row r="59" spans="2:20" x14ac:dyDescent="0.25">
      <c r="B59" s="4">
        <v>4</v>
      </c>
      <c r="C59" s="4">
        <f t="shared" si="32"/>
        <v>200000</v>
      </c>
      <c r="D59">
        <v>-164250</v>
      </c>
      <c r="E59" s="4">
        <f t="shared" si="29"/>
        <v>35750</v>
      </c>
      <c r="F59" s="3">
        <f t="shared" si="30"/>
        <v>0.7628952120475252</v>
      </c>
      <c r="G59" s="4">
        <f t="shared" si="31"/>
        <v>27273.503830699025</v>
      </c>
      <c r="H59" s="3">
        <f>SUM($G$21:G59)</f>
        <v>54533.073171618329</v>
      </c>
    </row>
    <row r="60" spans="2:20" x14ac:dyDescent="0.25">
      <c r="B60" s="4">
        <v>5</v>
      </c>
      <c r="C60" s="4">
        <f t="shared" si="32"/>
        <v>200000</v>
      </c>
      <c r="D60">
        <v>-164250</v>
      </c>
      <c r="E60" s="4">
        <f t="shared" si="29"/>
        <v>35750</v>
      </c>
      <c r="F60" s="3">
        <f t="shared" si="30"/>
        <v>0.71298617948366838</v>
      </c>
      <c r="G60" s="4">
        <f t="shared" si="31"/>
        <v>25489.255916541144</v>
      </c>
      <c r="H60" s="3">
        <f>SUM($G$21:G60)</f>
        <v>80022.329088159473</v>
      </c>
    </row>
    <row r="61" spans="2:20" x14ac:dyDescent="0.25">
      <c r="B61" s="4">
        <v>6</v>
      </c>
      <c r="C61" s="4">
        <f t="shared" si="32"/>
        <v>200000</v>
      </c>
      <c r="D61">
        <v>-164250</v>
      </c>
      <c r="E61" s="4">
        <f t="shared" si="29"/>
        <v>35750</v>
      </c>
      <c r="F61" s="3">
        <f t="shared" si="30"/>
        <v>0.66634222381651254</v>
      </c>
      <c r="G61" s="4">
        <f t="shared" si="31"/>
        <v>23821.734501440322</v>
      </c>
      <c r="H61" s="3">
        <f>SUM($G$21:G61)</f>
        <v>103844.0635895998</v>
      </c>
    </row>
    <row r="62" spans="2:20" x14ac:dyDescent="0.25">
      <c r="B62" s="4">
        <v>7</v>
      </c>
      <c r="C62" s="4">
        <f t="shared" si="32"/>
        <v>200000</v>
      </c>
      <c r="D62">
        <v>-164250</v>
      </c>
      <c r="E62" s="4">
        <f t="shared" si="29"/>
        <v>35750</v>
      </c>
      <c r="F62" s="3">
        <f t="shared" si="30"/>
        <v>0.62274974188459109</v>
      </c>
      <c r="G62" s="4">
        <f t="shared" si="31"/>
        <v>22263.303272374131</v>
      </c>
      <c r="H62" s="3">
        <f>SUM($G$21:G62)</f>
        <v>126107.36686197393</v>
      </c>
    </row>
    <row r="63" spans="2:20" x14ac:dyDescent="0.25">
      <c r="B63" s="4">
        <v>8</v>
      </c>
      <c r="C63" s="4">
        <f t="shared" si="32"/>
        <v>200000</v>
      </c>
      <c r="D63">
        <v>-164250</v>
      </c>
      <c r="E63" s="4">
        <f t="shared" si="29"/>
        <v>35750</v>
      </c>
      <c r="F63" s="3">
        <f t="shared" si="30"/>
        <v>0.5820091045650384</v>
      </c>
      <c r="G63" s="4">
        <f t="shared" si="31"/>
        <v>20806.825488200124</v>
      </c>
      <c r="H63" s="3">
        <f>SUM($G$21:G63)</f>
        <v>146914.19235017407</v>
      </c>
    </row>
    <row r="64" spans="2:20" x14ac:dyDescent="0.25">
      <c r="B64" s="1">
        <v>9</v>
      </c>
      <c r="C64" s="1">
        <v>0</v>
      </c>
      <c r="D64">
        <v>-145000</v>
      </c>
      <c r="E64" s="1">
        <f t="shared" si="29"/>
        <v>-145000</v>
      </c>
      <c r="F64" s="3">
        <f t="shared" si="30"/>
        <v>0.54393374258414806</v>
      </c>
      <c r="G64" s="1">
        <f t="shared" si="31"/>
        <v>-78870.392674701463</v>
      </c>
      <c r="H64" s="3">
        <f>SUM($G$21:G64)</f>
        <v>68043.799675472605</v>
      </c>
    </row>
    <row r="65" spans="2:20" x14ac:dyDescent="0.25">
      <c r="L65">
        <v>152040</v>
      </c>
      <c r="M65">
        <v>141200</v>
      </c>
      <c r="N65">
        <v>139950</v>
      </c>
      <c r="O65">
        <v>139950</v>
      </c>
      <c r="P65">
        <v>139950</v>
      </c>
      <c r="Q65">
        <v>139950</v>
      </c>
      <c r="R65">
        <v>139950</v>
      </c>
      <c r="S65">
        <v>139950</v>
      </c>
      <c r="T65">
        <v>120700</v>
      </c>
    </row>
    <row r="66" spans="2:20" x14ac:dyDescent="0.25">
      <c r="L66">
        <f>-L65</f>
        <v>-152040</v>
      </c>
      <c r="M66">
        <f t="shared" ref="M66" si="33">-M65</f>
        <v>-141200</v>
      </c>
      <c r="N66">
        <f t="shared" ref="N66" si="34">-N65</f>
        <v>-139950</v>
      </c>
      <c r="O66">
        <f t="shared" ref="O66" si="35">-O65</f>
        <v>-139950</v>
      </c>
      <c r="P66">
        <f t="shared" ref="P66" si="36">-P65</f>
        <v>-139950</v>
      </c>
      <c r="Q66">
        <f t="shared" ref="Q66" si="37">-Q65</f>
        <v>-139950</v>
      </c>
      <c r="R66">
        <f t="shared" ref="R66" si="38">-R65</f>
        <v>-139950</v>
      </c>
      <c r="S66">
        <f t="shared" ref="S66" si="39">-S65</f>
        <v>-139950</v>
      </c>
      <c r="T66">
        <f t="shared" ref="T66" si="40">-T65</f>
        <v>-120700</v>
      </c>
    </row>
    <row r="67" spans="2:20" x14ac:dyDescent="0.25">
      <c r="L67">
        <v>-152040</v>
      </c>
      <c r="M67">
        <v>-141200</v>
      </c>
      <c r="N67">
        <v>-139950</v>
      </c>
      <c r="O67">
        <v>-139950</v>
      </c>
      <c r="P67">
        <v>-139950</v>
      </c>
      <c r="Q67">
        <v>-139950</v>
      </c>
      <c r="R67">
        <v>-139950</v>
      </c>
      <c r="S67">
        <v>-139950</v>
      </c>
      <c r="T67">
        <v>-120700</v>
      </c>
    </row>
    <row r="69" spans="2:20" x14ac:dyDescent="0.25">
      <c r="C69" s="8" t="s">
        <v>134</v>
      </c>
      <c r="D69" s="8"/>
      <c r="E69" s="8"/>
      <c r="F69" s="8"/>
      <c r="G69" s="8"/>
    </row>
    <row r="70" spans="2:20" x14ac:dyDescent="0.25">
      <c r="C70" t="s">
        <v>127</v>
      </c>
      <c r="D70">
        <v>100000</v>
      </c>
      <c r="E70" t="s">
        <v>126</v>
      </c>
      <c r="F70">
        <v>50</v>
      </c>
      <c r="G70" t="s">
        <v>128</v>
      </c>
      <c r="H70">
        <v>3500</v>
      </c>
    </row>
    <row r="71" spans="2:20" x14ac:dyDescent="0.25">
      <c r="B71" s="2" t="s">
        <v>119</v>
      </c>
      <c r="C71" s="2" t="s">
        <v>120</v>
      </c>
      <c r="D71" s="2" t="s">
        <v>121</v>
      </c>
      <c r="E71" s="2" t="s">
        <v>122</v>
      </c>
      <c r="F71" s="2" t="s">
        <v>123</v>
      </c>
      <c r="G71" s="2" t="s">
        <v>129</v>
      </c>
      <c r="H71" s="2" t="s">
        <v>125</v>
      </c>
    </row>
    <row r="72" spans="2:20" x14ac:dyDescent="0.25">
      <c r="B72" s="3">
        <v>0</v>
      </c>
      <c r="C72" s="3">
        <v>0</v>
      </c>
      <c r="D72" s="3">
        <f>-D70</f>
        <v>-100000</v>
      </c>
      <c r="E72" s="3">
        <f>SUM(C72:D72)</f>
        <v>-100000</v>
      </c>
      <c r="F72" s="3">
        <f>1/(1+$J$2)^B72</f>
        <v>1</v>
      </c>
      <c r="G72" s="3">
        <f>E72*F72</f>
        <v>-100000</v>
      </c>
      <c r="H72" s="3">
        <f>SUM($G$21:G72)</f>
        <v>-31956.200324527395</v>
      </c>
    </row>
    <row r="73" spans="2:20" x14ac:dyDescent="0.25">
      <c r="B73" s="4">
        <v>1</v>
      </c>
      <c r="C73" s="4">
        <f>F70*H70</f>
        <v>175000</v>
      </c>
      <c r="D73">
        <v>-152040</v>
      </c>
      <c r="E73" s="4">
        <f t="shared" ref="E73:E81" si="41">SUM(C73:D73)</f>
        <v>22960</v>
      </c>
      <c r="F73" s="3">
        <f t="shared" ref="F73:F81" si="42">1/(1+$J$2)^B73</f>
        <v>0.93457943925233644</v>
      </c>
      <c r="G73" s="4">
        <f t="shared" ref="G73:G81" si="43">E73*F73</f>
        <v>21457.943925233645</v>
      </c>
      <c r="H73" s="3">
        <f>SUM($G$21:G73)</f>
        <v>-10498.25639929375</v>
      </c>
    </row>
    <row r="74" spans="2:20" x14ac:dyDescent="0.25">
      <c r="B74" s="4">
        <v>2</v>
      </c>
      <c r="C74" s="4">
        <f>C73</f>
        <v>175000</v>
      </c>
      <c r="D74">
        <v>-141200</v>
      </c>
      <c r="E74" s="4">
        <f t="shared" si="41"/>
        <v>33800</v>
      </c>
      <c r="F74" s="3">
        <f t="shared" si="42"/>
        <v>0.87343872827321156</v>
      </c>
      <c r="G74" s="4">
        <f t="shared" si="43"/>
        <v>29522.229015634552</v>
      </c>
      <c r="H74" s="3">
        <f>SUM($G$21:G74)</f>
        <v>19023.972616340801</v>
      </c>
    </row>
    <row r="75" spans="2:20" x14ac:dyDescent="0.25">
      <c r="B75" s="4">
        <v>3</v>
      </c>
      <c r="C75" s="4">
        <f t="shared" ref="C75:C80" si="44">C74</f>
        <v>175000</v>
      </c>
      <c r="D75">
        <v>-139950</v>
      </c>
      <c r="E75" s="4">
        <f t="shared" si="41"/>
        <v>35050</v>
      </c>
      <c r="F75" s="3">
        <f t="shared" si="42"/>
        <v>0.81629787689085187</v>
      </c>
      <c r="G75" s="4">
        <f t="shared" si="43"/>
        <v>28611.240585024359</v>
      </c>
      <c r="H75" s="3">
        <f>SUM($G$21:G75)</f>
        <v>47635.213201365157</v>
      </c>
    </row>
    <row r="76" spans="2:20" x14ac:dyDescent="0.25">
      <c r="B76" s="4">
        <v>4</v>
      </c>
      <c r="C76" s="4">
        <f t="shared" si="44"/>
        <v>175000</v>
      </c>
      <c r="D76">
        <v>-139950</v>
      </c>
      <c r="E76" s="4">
        <f t="shared" si="41"/>
        <v>35050</v>
      </c>
      <c r="F76" s="3">
        <f t="shared" si="42"/>
        <v>0.7628952120475252</v>
      </c>
      <c r="G76" s="4">
        <f t="shared" si="43"/>
        <v>26739.477182265757</v>
      </c>
      <c r="H76" s="3">
        <f>SUM($G$21:G76)</f>
        <v>74374.690383630921</v>
      </c>
    </row>
    <row r="77" spans="2:20" x14ac:dyDescent="0.25">
      <c r="B77" s="4">
        <v>5</v>
      </c>
      <c r="C77" s="4">
        <f t="shared" si="44"/>
        <v>175000</v>
      </c>
      <c r="D77">
        <v>-139950</v>
      </c>
      <c r="E77" s="4">
        <f t="shared" si="41"/>
        <v>35050</v>
      </c>
      <c r="F77" s="3">
        <f t="shared" si="42"/>
        <v>0.71298617948366838</v>
      </c>
      <c r="G77" s="4">
        <f t="shared" si="43"/>
        <v>24990.165590902576</v>
      </c>
      <c r="H77" s="3">
        <f>SUM($G$21:G77)</f>
        <v>99364.855974533493</v>
      </c>
    </row>
    <row r="78" spans="2:20" x14ac:dyDescent="0.25">
      <c r="B78" s="4">
        <v>6</v>
      </c>
      <c r="C78" s="4">
        <f t="shared" si="44"/>
        <v>175000</v>
      </c>
      <c r="D78">
        <v>-139950</v>
      </c>
      <c r="E78" s="4">
        <f t="shared" si="41"/>
        <v>35050</v>
      </c>
      <c r="F78" s="3">
        <f t="shared" si="42"/>
        <v>0.66634222381651254</v>
      </c>
      <c r="G78" s="4">
        <f t="shared" si="43"/>
        <v>23355.294944768764</v>
      </c>
      <c r="H78" s="3">
        <f>SUM($G$21:G78)</f>
        <v>122720.15091930225</v>
      </c>
    </row>
    <row r="79" spans="2:20" x14ac:dyDescent="0.25">
      <c r="B79" s="4">
        <v>7</v>
      </c>
      <c r="C79" s="4">
        <f t="shared" si="44"/>
        <v>175000</v>
      </c>
      <c r="D79">
        <v>-139950</v>
      </c>
      <c r="E79" s="4">
        <f t="shared" si="41"/>
        <v>35050</v>
      </c>
      <c r="F79" s="3">
        <f t="shared" si="42"/>
        <v>0.62274974188459109</v>
      </c>
      <c r="G79" s="4">
        <f t="shared" si="43"/>
        <v>21827.378453054916</v>
      </c>
      <c r="H79" s="3">
        <f>SUM($G$21:G79)</f>
        <v>144547.52937235718</v>
      </c>
    </row>
    <row r="80" spans="2:20" x14ac:dyDescent="0.25">
      <c r="B80" s="4">
        <v>8</v>
      </c>
      <c r="C80" s="4">
        <f t="shared" si="44"/>
        <v>175000</v>
      </c>
      <c r="D80">
        <v>-139950</v>
      </c>
      <c r="E80" s="4">
        <f t="shared" si="41"/>
        <v>35050</v>
      </c>
      <c r="F80" s="3">
        <f t="shared" si="42"/>
        <v>0.5820091045650384</v>
      </c>
      <c r="G80" s="4">
        <f t="shared" si="43"/>
        <v>20399.419115004595</v>
      </c>
      <c r="H80" s="3">
        <f>SUM($G$21:G80)</f>
        <v>164946.94848736178</v>
      </c>
    </row>
    <row r="81" spans="2:20" x14ac:dyDescent="0.25">
      <c r="B81" s="1">
        <v>9</v>
      </c>
      <c r="C81" s="1">
        <v>0</v>
      </c>
      <c r="D81">
        <v>-120700</v>
      </c>
      <c r="E81" s="1">
        <f t="shared" si="41"/>
        <v>-120700</v>
      </c>
      <c r="F81" s="3">
        <f t="shared" si="42"/>
        <v>0.54393374258414806</v>
      </c>
      <c r="G81" s="1">
        <f t="shared" si="43"/>
        <v>-65652.802729906674</v>
      </c>
      <c r="H81" s="3">
        <f>SUM($G$21:G81)</f>
        <v>99294.145757455102</v>
      </c>
    </row>
    <row r="82" spans="2:20" x14ac:dyDescent="0.25">
      <c r="L82">
        <v>208090</v>
      </c>
      <c r="M82">
        <v>191150</v>
      </c>
      <c r="N82">
        <v>189900</v>
      </c>
      <c r="O82">
        <v>189900</v>
      </c>
      <c r="P82">
        <v>189900</v>
      </c>
      <c r="Q82">
        <v>189900</v>
      </c>
      <c r="R82">
        <v>189900</v>
      </c>
      <c r="S82">
        <v>189900</v>
      </c>
      <c r="T82">
        <v>151400</v>
      </c>
    </row>
    <row r="83" spans="2:20" x14ac:dyDescent="0.25">
      <c r="L83">
        <f>-L82</f>
        <v>-208090</v>
      </c>
      <c r="M83">
        <f t="shared" ref="M83" si="45">-M82</f>
        <v>-191150</v>
      </c>
      <c r="N83">
        <f t="shared" ref="N83" si="46">-N82</f>
        <v>-189900</v>
      </c>
      <c r="O83">
        <f t="shared" ref="O83" si="47">-O82</f>
        <v>-189900</v>
      </c>
      <c r="P83">
        <f t="shared" ref="P83" si="48">-P82</f>
        <v>-189900</v>
      </c>
      <c r="Q83">
        <f t="shared" ref="Q83" si="49">-Q82</f>
        <v>-189900</v>
      </c>
      <c r="R83">
        <f t="shared" ref="R83" si="50">-R82</f>
        <v>-189900</v>
      </c>
      <c r="S83">
        <f t="shared" ref="S83" si="51">-S82</f>
        <v>-189900</v>
      </c>
      <c r="T83">
        <f t="shared" ref="T83" si="52">-T82</f>
        <v>-151400</v>
      </c>
    </row>
    <row r="84" spans="2:20" x14ac:dyDescent="0.25">
      <c r="L84">
        <v>-208090</v>
      </c>
      <c r="M84">
        <v>-191150</v>
      </c>
      <c r="N84">
        <v>-189900</v>
      </c>
      <c r="O84">
        <v>-189900</v>
      </c>
      <c r="P84">
        <v>-189900</v>
      </c>
      <c r="Q84">
        <v>-189900</v>
      </c>
      <c r="R84">
        <v>-189900</v>
      </c>
      <c r="S84">
        <v>-189900</v>
      </c>
      <c r="T84">
        <v>-151400</v>
      </c>
    </row>
    <row r="86" spans="2:20" x14ac:dyDescent="0.25">
      <c r="C86" s="8" t="s">
        <v>134</v>
      </c>
      <c r="D86" s="8"/>
      <c r="E86" s="8"/>
      <c r="F86" s="8"/>
      <c r="G86" s="8"/>
    </row>
    <row r="87" spans="2:20" x14ac:dyDescent="0.25">
      <c r="C87" t="s">
        <v>127</v>
      </c>
      <c r="D87">
        <v>100000</v>
      </c>
      <c r="E87" t="s">
        <v>126</v>
      </c>
      <c r="F87">
        <v>100</v>
      </c>
      <c r="G87" t="s">
        <v>128</v>
      </c>
      <c r="H87">
        <v>2500</v>
      </c>
    </row>
    <row r="88" spans="2:20" x14ac:dyDescent="0.25">
      <c r="B88" s="2" t="s">
        <v>119</v>
      </c>
      <c r="C88" s="2" t="s">
        <v>120</v>
      </c>
      <c r="D88" s="2" t="s">
        <v>121</v>
      </c>
      <c r="E88" s="2" t="s">
        <v>122</v>
      </c>
      <c r="F88" s="2" t="s">
        <v>123</v>
      </c>
      <c r="G88" s="2" t="s">
        <v>129</v>
      </c>
      <c r="H88" s="2" t="s">
        <v>125</v>
      </c>
    </row>
    <row r="89" spans="2:20" x14ac:dyDescent="0.25">
      <c r="B89" s="3">
        <v>0</v>
      </c>
      <c r="C89" s="3">
        <v>0</v>
      </c>
      <c r="D89" s="3">
        <f>-D87</f>
        <v>-100000</v>
      </c>
      <c r="E89" s="3">
        <f>SUM(C89:D89)</f>
        <v>-100000</v>
      </c>
      <c r="F89" s="3">
        <f>1/(1+$J$2)^B89</f>
        <v>1</v>
      </c>
      <c r="G89" s="3">
        <f>E89*F89</f>
        <v>-100000</v>
      </c>
      <c r="H89" s="3">
        <f>SUM($G$21:G89)</f>
        <v>-705.85424254489772</v>
      </c>
    </row>
    <row r="90" spans="2:20" x14ac:dyDescent="0.25">
      <c r="B90" s="4">
        <v>1</v>
      </c>
      <c r="C90" s="4">
        <f>F87*H87</f>
        <v>250000</v>
      </c>
      <c r="D90">
        <v>-208090</v>
      </c>
      <c r="E90" s="4">
        <f t="shared" ref="E90:E98" si="53">SUM(C90:D90)</f>
        <v>41910</v>
      </c>
      <c r="F90" s="3">
        <f t="shared" ref="F90:F98" si="54">1/(1+$J$2)^B90</f>
        <v>0.93457943925233644</v>
      </c>
      <c r="G90" s="4">
        <f t="shared" ref="G90:G98" si="55">E90*F90</f>
        <v>39168.224299065419</v>
      </c>
      <c r="H90" s="3">
        <f>SUM($G$21:G90)</f>
        <v>38462.370056520522</v>
      </c>
    </row>
    <row r="91" spans="2:20" x14ac:dyDescent="0.25">
      <c r="B91" s="4">
        <v>2</v>
      </c>
      <c r="C91" s="4">
        <f>C90</f>
        <v>250000</v>
      </c>
      <c r="D91">
        <v>-191150</v>
      </c>
      <c r="E91" s="4">
        <f t="shared" si="53"/>
        <v>58850</v>
      </c>
      <c r="F91" s="3">
        <f t="shared" si="54"/>
        <v>0.87343872827321156</v>
      </c>
      <c r="G91" s="4">
        <f t="shared" si="55"/>
        <v>51401.8691588785</v>
      </c>
      <c r="H91" s="3">
        <f>SUM($G$21:G91)</f>
        <v>89864.239215399022</v>
      </c>
    </row>
    <row r="92" spans="2:20" x14ac:dyDescent="0.25">
      <c r="B92" s="4">
        <v>3</v>
      </c>
      <c r="C92" s="4">
        <f t="shared" ref="C92:C97" si="56">C91</f>
        <v>250000</v>
      </c>
      <c r="D92">
        <v>-189900</v>
      </c>
      <c r="E92" s="4">
        <f t="shared" si="53"/>
        <v>60100</v>
      </c>
      <c r="F92" s="3">
        <f t="shared" si="54"/>
        <v>0.81629787689085187</v>
      </c>
      <c r="G92" s="4">
        <f t="shared" si="55"/>
        <v>49059.502401140198</v>
      </c>
      <c r="H92" s="3">
        <f>SUM($G$21:G92)</f>
        <v>138923.74161653922</v>
      </c>
    </row>
    <row r="93" spans="2:20" x14ac:dyDescent="0.25">
      <c r="B93" s="4">
        <v>4</v>
      </c>
      <c r="C93" s="4">
        <f t="shared" si="56"/>
        <v>250000</v>
      </c>
      <c r="D93">
        <v>-189900</v>
      </c>
      <c r="E93" s="4">
        <f t="shared" si="53"/>
        <v>60100</v>
      </c>
      <c r="F93" s="3">
        <f t="shared" si="54"/>
        <v>0.7628952120475252</v>
      </c>
      <c r="G93" s="4">
        <f t="shared" si="55"/>
        <v>45850.002244056261</v>
      </c>
      <c r="H93" s="3">
        <f>SUM($G$21:G93)</f>
        <v>184773.74386059548</v>
      </c>
    </row>
    <row r="94" spans="2:20" x14ac:dyDescent="0.25">
      <c r="B94" s="4">
        <v>5</v>
      </c>
      <c r="C94" s="4">
        <f t="shared" si="56"/>
        <v>250000</v>
      </c>
      <c r="D94">
        <v>-189900</v>
      </c>
      <c r="E94" s="4">
        <f t="shared" si="53"/>
        <v>60100</v>
      </c>
      <c r="F94" s="3">
        <f t="shared" si="54"/>
        <v>0.71298617948366838</v>
      </c>
      <c r="G94" s="4">
        <f t="shared" si="55"/>
        <v>42850.469386968471</v>
      </c>
      <c r="H94" s="3">
        <f>SUM($G$21:G94)</f>
        <v>227624.21324756395</v>
      </c>
    </row>
    <row r="95" spans="2:20" x14ac:dyDescent="0.25">
      <c r="B95" s="4">
        <v>6</v>
      </c>
      <c r="C95" s="4">
        <f t="shared" si="56"/>
        <v>250000</v>
      </c>
      <c r="D95">
        <v>-189900</v>
      </c>
      <c r="E95" s="4">
        <f t="shared" si="53"/>
        <v>60100</v>
      </c>
      <c r="F95" s="3">
        <f t="shared" si="54"/>
        <v>0.66634222381651254</v>
      </c>
      <c r="G95" s="4">
        <f t="shared" si="55"/>
        <v>40047.167651372401</v>
      </c>
      <c r="H95" s="3">
        <f>SUM($G$21:G95)</f>
        <v>267671.38089893636</v>
      </c>
    </row>
    <row r="96" spans="2:20" x14ac:dyDescent="0.25">
      <c r="B96" s="4">
        <v>7</v>
      </c>
      <c r="C96" s="4">
        <f t="shared" si="56"/>
        <v>250000</v>
      </c>
      <c r="D96">
        <v>-189900</v>
      </c>
      <c r="E96" s="4">
        <f t="shared" si="53"/>
        <v>60100</v>
      </c>
      <c r="F96" s="3">
        <f t="shared" si="54"/>
        <v>0.62274974188459109</v>
      </c>
      <c r="G96" s="4">
        <f t="shared" si="55"/>
        <v>37427.259487263924</v>
      </c>
      <c r="H96" s="3">
        <f>SUM($G$21:G96)</f>
        <v>305098.64038620028</v>
      </c>
    </row>
    <row r="97" spans="2:8" x14ac:dyDescent="0.25">
      <c r="B97" s="4">
        <v>8</v>
      </c>
      <c r="C97" s="4">
        <f t="shared" si="56"/>
        <v>250000</v>
      </c>
      <c r="D97">
        <v>-189900</v>
      </c>
      <c r="E97" s="4">
        <f t="shared" si="53"/>
        <v>60100</v>
      </c>
      <c r="F97" s="3">
        <f t="shared" si="54"/>
        <v>0.5820091045650384</v>
      </c>
      <c r="G97" s="4">
        <f t="shared" si="55"/>
        <v>34978.747184358806</v>
      </c>
      <c r="H97" s="3">
        <f>SUM($G$21:G97)</f>
        <v>340077.38757055911</v>
      </c>
    </row>
    <row r="98" spans="2:8" x14ac:dyDescent="0.25">
      <c r="B98" s="1">
        <v>9</v>
      </c>
      <c r="C98" s="1">
        <v>0</v>
      </c>
      <c r="D98">
        <v>-151400</v>
      </c>
      <c r="E98" s="1">
        <f t="shared" si="53"/>
        <v>-151400</v>
      </c>
      <c r="F98" s="3">
        <f t="shared" si="54"/>
        <v>0.54393374258414806</v>
      </c>
      <c r="G98" s="1">
        <f t="shared" si="55"/>
        <v>-82351.56862724002</v>
      </c>
      <c r="H98" s="3">
        <f>SUM($G$21:G98)</f>
        <v>257725.81894331909</v>
      </c>
    </row>
  </sheetData>
  <mergeCells count="6">
    <mergeCell ref="C1:G1"/>
    <mergeCell ref="C18:G18"/>
    <mergeCell ref="C35:G35"/>
    <mergeCell ref="C52:G52"/>
    <mergeCell ref="C69:G69"/>
    <mergeCell ref="C86:G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Alokacija zahtjeva</vt:lpstr>
      <vt:lpstr>Analiza maintainability </vt:lpstr>
      <vt:lpstr>Analiza maintainability  - rez</vt:lpstr>
      <vt:lpstr>Broj rezervnih dijelova</vt:lpstr>
      <vt:lpstr>Life Cycle cost analiza</vt:lpstr>
      <vt:lpstr>LCC analiza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2018-05-27T20:49:57Z</dcterms:created>
  <dcterms:modified xsi:type="dcterms:W3CDTF">2018-06-11T10:47:00Z</dcterms:modified>
</cp:coreProperties>
</file>