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Общая информация" sheetId="3" r:id="rId1"/>
    <sheet name="Варианты" sheetId="2" state="hidden" r:id="rId2"/>
    <sheet name="Лист1" sheetId="4" r:id="rId3"/>
  </sheets>
  <calcPr calcId="152511"/>
</workbook>
</file>

<file path=xl/calcChain.xml><?xml version="1.0" encoding="utf-8"?>
<calcChain xmlns="http://schemas.openxmlformats.org/spreadsheetml/2006/main">
  <c r="I39" i="3" l="1"/>
  <c r="I41" i="3"/>
  <c r="N43" i="3"/>
  <c r="I40" i="3"/>
  <c r="I20" i="3"/>
  <c r="I21" i="3"/>
  <c r="I16" i="3"/>
  <c r="D24" i="3"/>
  <c r="I14" i="3"/>
  <c r="I12" i="3"/>
  <c r="D4" i="3"/>
  <c r="C3" i="3"/>
  <c r="I10" i="3"/>
  <c r="I8" i="3"/>
  <c r="E27" i="3"/>
  <c r="I42" i="3"/>
  <c r="I44" i="3"/>
  <c r="I43" i="3" s="1"/>
  <c r="I48" i="3"/>
  <c r="I47" i="3" s="1"/>
  <c r="I46" i="3"/>
  <c r="E28" i="3"/>
  <c r="E29" i="3"/>
  <c r="E30" i="3"/>
  <c r="E31" i="3"/>
  <c r="M44" i="3" s="1"/>
  <c r="M46" i="3" l="1"/>
  <c r="I49" i="3"/>
  <c r="M42" i="3"/>
  <c r="M48" i="3"/>
  <c r="J10" i="3"/>
  <c r="J12" i="3" s="1"/>
  <c r="J14" i="3" s="1"/>
  <c r="L10" i="3"/>
  <c r="L12" i="3" s="1"/>
  <c r="L14" i="3" s="1"/>
  <c r="L16" i="3" s="1"/>
  <c r="L24" i="3" s="1"/>
  <c r="J8" i="3"/>
  <c r="L42" i="3" s="1"/>
  <c r="K8" i="3"/>
  <c r="L8" i="3"/>
  <c r="L46" i="3" s="1"/>
  <c r="M8" i="3"/>
  <c r="B19" i="3"/>
  <c r="B5" i="2"/>
  <c r="B12" i="3"/>
  <c r="C5" i="2"/>
  <c r="D5" i="2"/>
  <c r="E5" i="2"/>
  <c r="F5" i="2"/>
  <c r="G5" i="2"/>
  <c r="H5" i="2"/>
  <c r="I5" i="2"/>
  <c r="J5" i="2"/>
  <c r="K5" i="2"/>
  <c r="L5" i="2"/>
  <c r="N5" i="2"/>
  <c r="O5" i="2"/>
  <c r="P5" i="2"/>
  <c r="Q5" i="2"/>
  <c r="R5" i="2"/>
  <c r="S5" i="2"/>
  <c r="T5" i="2"/>
  <c r="U5" i="2"/>
  <c r="V5" i="2"/>
  <c r="W5" i="2"/>
  <c r="X5" i="2"/>
  <c r="Y5" i="2"/>
  <c r="Z5" i="2"/>
  <c r="M10" i="3" l="1"/>
  <c r="M12" i="3" s="1"/>
  <c r="M14" i="3" s="1"/>
  <c r="L48" i="3"/>
  <c r="L26" i="3"/>
  <c r="P20" i="3" s="1"/>
  <c r="K39" i="3"/>
  <c r="M39" i="3"/>
  <c r="J39" i="3"/>
  <c r="M47" i="3"/>
  <c r="M49" i="3"/>
  <c r="K10" i="3"/>
  <c r="K12" i="3" s="1"/>
  <c r="K14" i="3" s="1"/>
  <c r="L44" i="3"/>
  <c r="L43" i="3" s="1"/>
  <c r="M41" i="3"/>
  <c r="J42" i="3"/>
  <c r="J41" i="3" s="1"/>
  <c r="K44" i="3"/>
  <c r="J48" i="3"/>
  <c r="K46" i="3"/>
  <c r="K48" i="3"/>
  <c r="J46" i="3"/>
  <c r="K42" i="3"/>
  <c r="J44" i="3"/>
  <c r="M43" i="3"/>
  <c r="K47" i="3" l="1"/>
  <c r="K49" i="3"/>
  <c r="L49" i="3"/>
  <c r="L47" i="3"/>
  <c r="J43" i="3"/>
  <c r="M16" i="3"/>
  <c r="M24" i="3" s="1"/>
  <c r="K41" i="3"/>
  <c r="J47" i="3"/>
  <c r="J49" i="3"/>
  <c r="L39" i="3"/>
  <c r="L41" i="3" s="1"/>
  <c r="K43" i="3"/>
  <c r="N41" i="3" l="1"/>
  <c r="M26" i="3"/>
  <c r="Q20" i="3" s="1"/>
  <c r="M54" i="3"/>
  <c r="N49" i="3"/>
  <c r="N47" i="3"/>
  <c r="L54" i="3" s="1"/>
  <c r="L20" i="3" l="1"/>
  <c r="I23" i="3"/>
  <c r="I24" i="3" s="1"/>
  <c r="J22" i="3"/>
  <c r="I26" i="3" l="1"/>
  <c r="I54" i="3"/>
  <c r="I22" i="3"/>
  <c r="K20" i="3"/>
  <c r="K23" i="3"/>
  <c r="K21" i="3" s="1"/>
  <c r="K16" i="3" s="1"/>
  <c r="K24" i="3" s="1"/>
  <c r="I36" i="3"/>
  <c r="I34" i="3"/>
  <c r="K26" i="3" l="1"/>
  <c r="K54" i="3"/>
  <c r="I28" i="3"/>
  <c r="I30" i="3" s="1"/>
  <c r="M20" i="3"/>
  <c r="J20" i="3"/>
  <c r="J23" i="3"/>
  <c r="J21" i="3" s="1"/>
  <c r="J16" i="3" s="1"/>
  <c r="J24" i="3" s="1"/>
  <c r="J54" i="3" l="1"/>
  <c r="J26" i="3"/>
  <c r="K28" i="3" s="1"/>
  <c r="K30" i="3" s="1"/>
  <c r="J34" i="3"/>
  <c r="O20" i="3"/>
  <c r="K34" i="3"/>
  <c r="J28" i="3" l="1"/>
  <c r="J30" i="3" s="1"/>
  <c r="N20" i="3"/>
  <c r="M32" i="3" s="1"/>
  <c r="J36" i="3"/>
  <c r="L28" i="3"/>
  <c r="L30" i="3" s="1"/>
  <c r="M28" i="3"/>
  <c r="M30" i="3" s="1"/>
  <c r="K36" i="3"/>
  <c r="L36" i="3"/>
</calcChain>
</file>

<file path=xl/sharedStrings.xml><?xml version="1.0" encoding="utf-8"?>
<sst xmlns="http://schemas.openxmlformats.org/spreadsheetml/2006/main" count="68" uniqueCount="66">
  <si>
    <t>Вариант</t>
  </si>
  <si>
    <t xml:space="preserve">в т.ч. </t>
  </si>
  <si>
    <t>Доходы и расходы</t>
  </si>
  <si>
    <t>Цена за единицу продукции, руб.</t>
  </si>
  <si>
    <t>- сырье и материалы, руб.</t>
  </si>
  <si>
    <t>- прочее, руб.</t>
  </si>
  <si>
    <t>Коммерческие расходы, млн. руб.</t>
  </si>
  <si>
    <t>Управленческие расходы, млн. руб.</t>
  </si>
  <si>
    <t>Запасы сырья и материалов</t>
  </si>
  <si>
    <t>Незавершенное производство</t>
  </si>
  <si>
    <t>Запасы готовой продукции</t>
  </si>
  <si>
    <t>Дебиторская задолженность</t>
  </si>
  <si>
    <t>Период оборота (в днях)</t>
  </si>
  <si>
    <t>Кредиторская задолженность</t>
  </si>
  <si>
    <t>- заработная плата (с начислениями), руб.</t>
  </si>
  <si>
    <t>Стоимость оборудования, млн. руб.</t>
  </si>
  <si>
    <t>Срок полезного использования, лет</t>
  </si>
  <si>
    <t>Максимальная производительность оборудования, тыс. шт./год</t>
  </si>
  <si>
    <t>Информация по годам</t>
  </si>
  <si>
    <t>Общая информация</t>
  </si>
  <si>
    <t>Объем производства, в % от максимальной мощности</t>
  </si>
  <si>
    <t>Погашение долгосрочного кредита, в % от суммы долга</t>
  </si>
  <si>
    <t>-</t>
  </si>
  <si>
    <t>Акционерное финансирование проекта, млн. руб.</t>
  </si>
  <si>
    <t>Ставка по налогу на прибыль</t>
  </si>
  <si>
    <t>Ставка по долгосрочному кредиту (на 3 года)</t>
  </si>
  <si>
    <t>Требуемая доходность для акционеров</t>
  </si>
  <si>
    <t>Налоговая нагрузка (в % от выручки), кроме налога на прибыль</t>
  </si>
  <si>
    <t>Себестоимость (без амортизации) на единицу, руб.</t>
  </si>
  <si>
    <t>Остаточная рыночная стоимость оборудования на конец года, в млн. руб.</t>
  </si>
  <si>
    <t>Чистая прибыль</t>
  </si>
  <si>
    <t>NPV</t>
  </si>
  <si>
    <t>Чистый дисконтированный денежный поток</t>
  </si>
  <si>
    <t>Выручка</t>
  </si>
  <si>
    <t>Выручка минус налог</t>
  </si>
  <si>
    <t>Прибыль от продаж</t>
  </si>
  <si>
    <t>Рассчёт кредита</t>
  </si>
  <si>
    <t>Долг</t>
  </si>
  <si>
    <t>Платёж</t>
  </si>
  <si>
    <t>Остаток на конец года</t>
  </si>
  <si>
    <t>Валовая прибыль</t>
  </si>
  <si>
    <t>Прибыль до налогообложения</t>
  </si>
  <si>
    <t>PI</t>
  </si>
  <si>
    <t>IRR</t>
  </si>
  <si>
    <t>PBP(Срок окупаемости)</t>
  </si>
  <si>
    <t>DPBP(Диск.Срок окупа)</t>
  </si>
  <si>
    <t>Если величина IRR проекта больше стоимости капитала для компании (т.е. WACC), то проект следует принять.</t>
  </si>
  <si>
    <t>выручка</t>
  </si>
  <si>
    <t>себестоим</t>
  </si>
  <si>
    <t>СИМ</t>
  </si>
  <si>
    <t>Операционный капитал</t>
  </si>
  <si>
    <t>СиМ</t>
  </si>
  <si>
    <t>НЗП</t>
  </si>
  <si>
    <t>ЗГП</t>
  </si>
  <si>
    <t>ДЗ</t>
  </si>
  <si>
    <t>КЗ</t>
  </si>
  <si>
    <t>Сумма</t>
  </si>
  <si>
    <t>Проценты</t>
  </si>
  <si>
    <t>сим</t>
  </si>
  <si>
    <t>1 год</t>
  </si>
  <si>
    <t>2 года</t>
  </si>
  <si>
    <t>FCFI</t>
  </si>
  <si>
    <t>Количество дней в году</t>
  </si>
  <si>
    <t>Summa rasxodov</t>
  </si>
  <si>
    <t>Года идут вниз</t>
  </si>
  <si>
    <t>Зеленая - 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</si>
</sst>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1" xfId="0" applyFont="1" applyBorder="1"/>
    <xf numFmtId="9" fontId="0" fillId="0" borderId="1" xfId="0" applyNumberFormat="1" applyBorder="1"/>
    <xf numFmtId="1" fontId="0" fillId="0" borderId="1" xfId="0" applyNumberFormat="1" applyFill="1" applyBorder="1"/>
    <xf numFmtId="1" fontId="0" fillId="0" borderId="1" xfId="0" applyNumberFormat="1" applyBorder="1"/>
    <xf numFmtId="0" fontId="0" fillId="0" borderId="1" xfId="0" applyFill="1" applyBorder="1"/>
    <xf numFmtId="0" fontId="1" fillId="0" borderId="0" xfId="0" applyFont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/>
    <xf numFmtId="0" fontId="0" fillId="2" borderId="0" xfId="0" applyFill="1" applyBorder="1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0" xfId="0" applyFill="1"/>
    <xf numFmtId="0" fontId="0" fillId="3" borderId="0" xfId="0" applyFill="1" applyBorder="1"/>
    <xf numFmtId="9" fontId="0" fillId="0" borderId="0" xfId="0" applyNumberFormat="1"/>
    <xf numFmtId="0" fontId="2" fillId="0" borderId="0" xfId="0" applyFont="1"/>
    <xf numFmtId="0" fontId="0" fillId="0" borderId="0" xfId="0" applyFill="1" applyBorder="1"/>
    <xf numFmtId="0" fontId="0" fillId="4" borderId="0" xfId="0" applyFill="1"/>
    <xf numFmtId="0" fontId="0" fillId="3" borderId="0" xfId="0" applyFont="1" applyFill="1"/>
    <xf numFmtId="0" fontId="0" fillId="5" borderId="0" xfId="0" applyFill="1" applyBorder="1"/>
    <xf numFmtId="0" fontId="0" fillId="0" borderId="6" xfId="0" applyFill="1" applyBorder="1"/>
    <xf numFmtId="0" fontId="0" fillId="4" borderId="0" xfId="0" applyFill="1" applyBorder="1"/>
    <xf numFmtId="0" fontId="0" fillId="5" borderId="6" xfId="0" applyFill="1" applyBorder="1"/>
    <xf numFmtId="0" fontId="0" fillId="0" borderId="0" xfId="0" applyAlignment="1">
      <alignment horizontal="center"/>
    </xf>
    <xf numFmtId="0" fontId="0" fillId="0" borderId="10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topLeftCell="B28" workbookViewId="0">
      <selection activeCell="I40" sqref="I40"/>
    </sheetView>
  </sheetViews>
  <sheetFormatPr defaultRowHeight="15" x14ac:dyDescent="0.25"/>
  <cols>
    <col min="1" max="1" width="70" bestFit="1" customWidth="1"/>
    <col min="4" max="4" width="9" bestFit="1" customWidth="1"/>
    <col min="7" max="7" width="8.85546875" style="10"/>
    <col min="8" max="8" width="21.7109375" customWidth="1"/>
    <col min="9" max="9" width="9" bestFit="1" customWidth="1"/>
    <col min="12" max="12" width="10" bestFit="1" customWidth="1"/>
  </cols>
  <sheetData>
    <row r="1" spans="1:14" x14ac:dyDescent="0.25">
      <c r="A1" s="2" t="s">
        <v>19</v>
      </c>
      <c r="B1" s="1"/>
    </row>
    <row r="2" spans="1:14" x14ac:dyDescent="0.25">
      <c r="A2" s="1" t="s">
        <v>15</v>
      </c>
      <c r="B2" s="1">
        <v>20</v>
      </c>
      <c r="C2">
        <v>8</v>
      </c>
    </row>
    <row r="3" spans="1:14" x14ac:dyDescent="0.25">
      <c r="A3" s="1" t="s">
        <v>16</v>
      </c>
      <c r="B3" s="1">
        <v>5</v>
      </c>
      <c r="C3">
        <f>20/5</f>
        <v>4</v>
      </c>
    </row>
    <row r="4" spans="1:14" x14ac:dyDescent="0.25">
      <c r="A4" s="1" t="s">
        <v>17</v>
      </c>
      <c r="B4" s="1">
        <v>100</v>
      </c>
      <c r="D4">
        <f>B2/B3*1000</f>
        <v>4000</v>
      </c>
    </row>
    <row r="5" spans="1:14" x14ac:dyDescent="0.25">
      <c r="A5" s="1" t="s">
        <v>23</v>
      </c>
      <c r="B5" s="1">
        <v>12</v>
      </c>
    </row>
    <row r="6" spans="1:14" x14ac:dyDescent="0.25">
      <c r="A6" s="6" t="s">
        <v>26</v>
      </c>
      <c r="B6" s="3">
        <v>0.14000000000000001</v>
      </c>
      <c r="I6">
        <v>1</v>
      </c>
      <c r="J6">
        <v>2</v>
      </c>
      <c r="K6">
        <v>3</v>
      </c>
      <c r="L6">
        <v>4</v>
      </c>
      <c r="M6">
        <v>5</v>
      </c>
    </row>
    <row r="7" spans="1:14" x14ac:dyDescent="0.25">
      <c r="A7" s="1" t="s">
        <v>25</v>
      </c>
      <c r="B7" s="3">
        <v>0.11</v>
      </c>
    </row>
    <row r="8" spans="1:14" x14ac:dyDescent="0.25">
      <c r="A8" s="6" t="s">
        <v>24</v>
      </c>
      <c r="B8" s="3">
        <v>0.2</v>
      </c>
      <c r="H8" t="s">
        <v>33</v>
      </c>
      <c r="I8">
        <f>$B$4*B$12*$B$18</f>
        <v>46900</v>
      </c>
      <c r="J8">
        <f t="shared" ref="J8:M8" si="0">$B$4*C$12*$B$18</f>
        <v>60300</v>
      </c>
      <c r="K8">
        <f t="shared" si="0"/>
        <v>67000</v>
      </c>
      <c r="L8">
        <f t="shared" si="0"/>
        <v>67000</v>
      </c>
      <c r="M8">
        <f t="shared" si="0"/>
        <v>53600</v>
      </c>
    </row>
    <row r="9" spans="1:14" x14ac:dyDescent="0.25">
      <c r="A9" s="6" t="s">
        <v>27</v>
      </c>
      <c r="B9" s="3">
        <v>7.0000000000000007E-2</v>
      </c>
    </row>
    <row r="10" spans="1:14" x14ac:dyDescent="0.25">
      <c r="H10" t="s">
        <v>34</v>
      </c>
      <c r="I10">
        <f>I8*(100%-$B$9)</f>
        <v>43617</v>
      </c>
      <c r="J10">
        <f t="shared" ref="J10:M10" si="1">J8*(100%-$B$9)</f>
        <v>56078.999999999993</v>
      </c>
      <c r="K10">
        <f t="shared" si="1"/>
        <v>62309.999999999993</v>
      </c>
      <c r="L10">
        <f t="shared" si="1"/>
        <v>62309.999999999993</v>
      </c>
      <c r="M10">
        <f t="shared" si="1"/>
        <v>49848</v>
      </c>
    </row>
    <row r="11" spans="1:14" x14ac:dyDescent="0.25">
      <c r="A11" s="2" t="s">
        <v>18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</row>
    <row r="12" spans="1:14" x14ac:dyDescent="0.25">
      <c r="A12" s="1" t="s">
        <v>20</v>
      </c>
      <c r="B12" s="3">
        <f>0.7</f>
        <v>0.7</v>
      </c>
      <c r="C12" s="3">
        <v>0.9</v>
      </c>
      <c r="D12" s="3">
        <v>1</v>
      </c>
      <c r="E12" s="3">
        <v>1</v>
      </c>
      <c r="F12" s="3">
        <v>0.8</v>
      </c>
      <c r="H12" t="s">
        <v>40</v>
      </c>
      <c r="I12">
        <f>I10-($B$4*B$12*($B$18-$B$19))-4000</f>
        <v>24917</v>
      </c>
      <c r="J12">
        <f t="shared" ref="J12:M12" si="2">J10-($B$4*C$12*($B$18-$B$19))-4000</f>
        <v>33178.999999999993</v>
      </c>
      <c r="K12">
        <f t="shared" si="2"/>
        <v>37309.999999999993</v>
      </c>
      <c r="L12">
        <f t="shared" si="2"/>
        <v>37309.999999999993</v>
      </c>
      <c r="M12">
        <f t="shared" si="2"/>
        <v>29048</v>
      </c>
    </row>
    <row r="13" spans="1:14" x14ac:dyDescent="0.25">
      <c r="A13" s="1" t="s">
        <v>29</v>
      </c>
      <c r="B13" s="4">
        <v>15</v>
      </c>
      <c r="C13" s="5">
        <v>10</v>
      </c>
      <c r="D13" s="5">
        <v>6</v>
      </c>
      <c r="E13" s="5">
        <v>3</v>
      </c>
      <c r="F13" s="5">
        <v>2</v>
      </c>
    </row>
    <row r="14" spans="1:14" x14ac:dyDescent="0.25">
      <c r="A14" s="1" t="s">
        <v>21</v>
      </c>
      <c r="B14" s="3">
        <v>0.2</v>
      </c>
      <c r="C14" s="3">
        <v>0.4</v>
      </c>
      <c r="D14" s="3">
        <v>0.4</v>
      </c>
      <c r="E14" s="1" t="s">
        <v>22</v>
      </c>
      <c r="F14" s="1" t="s">
        <v>22</v>
      </c>
      <c r="H14" t="s">
        <v>35</v>
      </c>
      <c r="I14">
        <f>I12-9000</f>
        <v>15917</v>
      </c>
      <c r="J14">
        <f t="shared" ref="J14:M14" si="3">J12-9000</f>
        <v>24178.999999999993</v>
      </c>
      <c r="K14">
        <f t="shared" si="3"/>
        <v>28309.999999999993</v>
      </c>
      <c r="L14">
        <f t="shared" si="3"/>
        <v>28309.999999999993</v>
      </c>
      <c r="M14">
        <f t="shared" si="3"/>
        <v>20048</v>
      </c>
    </row>
    <row r="15" spans="1:14" x14ac:dyDescent="0.25">
      <c r="A15" s="7"/>
      <c r="B15" s="8"/>
      <c r="C15" s="8"/>
      <c r="D15" s="8"/>
      <c r="E15" s="8"/>
    </row>
    <row r="16" spans="1:14" ht="30" x14ac:dyDescent="0.25">
      <c r="A16" s="1"/>
      <c r="B16" s="9">
        <v>12</v>
      </c>
      <c r="C16" s="8"/>
      <c r="D16" s="8"/>
      <c r="E16" s="8"/>
      <c r="H16" s="12" t="s">
        <v>41</v>
      </c>
      <c r="I16">
        <f>I14-I21</f>
        <v>11763.884791666667</v>
      </c>
      <c r="J16">
        <f t="shared" ref="J16:L16" si="4">J14-J21</f>
        <v>17641.192833333327</v>
      </c>
      <c r="K16">
        <f>K14-K21</f>
        <v>22361.667249999991</v>
      </c>
      <c r="L16">
        <f t="shared" si="4"/>
        <v>28309.999999999993</v>
      </c>
      <c r="M16">
        <f>M14-M21+2000</f>
        <v>22048</v>
      </c>
      <c r="N16" s="26"/>
    </row>
    <row r="17" spans="1:17" x14ac:dyDescent="0.25">
      <c r="A17" s="2" t="s">
        <v>2</v>
      </c>
      <c r="B17" s="1"/>
      <c r="C17" s="8"/>
      <c r="D17" s="8"/>
      <c r="E17" s="8"/>
    </row>
    <row r="18" spans="1:17" x14ac:dyDescent="0.25">
      <c r="A18" s="1" t="s">
        <v>3</v>
      </c>
      <c r="B18" s="1">
        <v>670</v>
      </c>
      <c r="C18" s="8"/>
      <c r="D18" s="8"/>
      <c r="E18" s="8"/>
    </row>
    <row r="19" spans="1:17" x14ac:dyDescent="0.25">
      <c r="A19" s="1" t="s">
        <v>28</v>
      </c>
      <c r="B19" s="1">
        <f>B21+B22+B23</f>
        <v>460</v>
      </c>
      <c r="C19" s="8"/>
      <c r="D19" s="8"/>
      <c r="E19" s="8"/>
      <c r="H19" s="13" t="s">
        <v>36</v>
      </c>
      <c r="I19" s="14">
        <v>1</v>
      </c>
      <c r="J19" s="14">
        <v>2</v>
      </c>
      <c r="K19" s="15">
        <v>3</v>
      </c>
    </row>
    <row r="20" spans="1:17" x14ac:dyDescent="0.25">
      <c r="A20" s="1" t="s">
        <v>1</v>
      </c>
      <c r="B20" s="1"/>
      <c r="C20" s="8"/>
      <c r="D20" s="8"/>
      <c r="E20" s="8"/>
      <c r="H20" s="16" t="s">
        <v>37</v>
      </c>
      <c r="I20" s="8">
        <f>((C2*1000)+I40)*(1+B7)</f>
        <v>14870.831875</v>
      </c>
      <c r="J20" s="8">
        <f>I22</f>
        <v>10717.716666666667</v>
      </c>
      <c r="K20" s="17">
        <f>J22</f>
        <v>5358.8583333333336</v>
      </c>
      <c r="L20">
        <f>-1*(I40+20000)</f>
        <v>-25397.145833333332</v>
      </c>
      <c r="M20">
        <f>I26</f>
        <v>8255.3577485380101</v>
      </c>
      <c r="N20">
        <f t="shared" ref="N20:P20" si="5">J26</f>
        <v>10859.460038986348</v>
      </c>
      <c r="O20">
        <f t="shared" si="5"/>
        <v>12074.790758829969</v>
      </c>
      <c r="P20">
        <f t="shared" si="5"/>
        <v>13409.434121880047</v>
      </c>
      <c r="Q20">
        <f>M26</f>
        <v>9160.8322494441654</v>
      </c>
    </row>
    <row r="21" spans="1:17" x14ac:dyDescent="0.25">
      <c r="A21" s="1" t="s">
        <v>4</v>
      </c>
      <c r="B21" s="1">
        <v>290</v>
      </c>
      <c r="C21" s="8"/>
      <c r="D21" s="8"/>
      <c r="E21" s="8"/>
      <c r="H21" s="16" t="s">
        <v>38</v>
      </c>
      <c r="I21" s="8">
        <f>(((C2*1000)+I40)*0.2)+I23</f>
        <v>4153.1152083333336</v>
      </c>
      <c r="J21" s="8">
        <f>((C2*1000)+I40)*0.4+J23</f>
        <v>6537.8071666666674</v>
      </c>
      <c r="K21" s="17">
        <f>K20+K23</f>
        <v>5948.3327500000005</v>
      </c>
    </row>
    <row r="22" spans="1:17" x14ac:dyDescent="0.25">
      <c r="A22" s="1" t="s">
        <v>14</v>
      </c>
      <c r="B22" s="1">
        <v>110</v>
      </c>
      <c r="C22" s="8"/>
      <c r="D22" s="8"/>
      <c r="E22" s="8"/>
      <c r="H22" s="18" t="s">
        <v>39</v>
      </c>
      <c r="I22" s="19">
        <f>I20-I21</f>
        <v>10717.716666666667</v>
      </c>
      <c r="J22" s="19">
        <f>((C2*1000)+I40)*0.4</f>
        <v>5358.8583333333336</v>
      </c>
      <c r="K22" s="20">
        <v>0</v>
      </c>
    </row>
    <row r="23" spans="1:17" x14ac:dyDescent="0.25">
      <c r="A23" s="1" t="s">
        <v>5</v>
      </c>
      <c r="B23" s="1">
        <v>60</v>
      </c>
      <c r="C23" s="8"/>
      <c r="D23" s="8" t="s">
        <v>63</v>
      </c>
      <c r="E23" s="8"/>
      <c r="H23" s="25" t="s">
        <v>57</v>
      </c>
      <c r="I23">
        <f>((C2*1000)+I40)*0.11</f>
        <v>1473.6860416666666</v>
      </c>
      <c r="J23">
        <f>I22*0.11</f>
        <v>1178.9488333333334</v>
      </c>
      <c r="K23">
        <f>J22*0.11</f>
        <v>589.47441666666668</v>
      </c>
    </row>
    <row r="24" spans="1:17" x14ac:dyDescent="0.25">
      <c r="A24" s="1" t="s">
        <v>6</v>
      </c>
      <c r="B24" s="1">
        <v>5</v>
      </c>
      <c r="C24" s="8"/>
      <c r="D24" s="8">
        <f>(B24+B25)*1000</f>
        <v>9000</v>
      </c>
      <c r="E24" s="8"/>
      <c r="F24" s="8"/>
      <c r="G24" s="11"/>
      <c r="H24" s="8" t="s">
        <v>30</v>
      </c>
      <c r="I24" s="8">
        <f>I16*(1-$B$8)</f>
        <v>9411.1078333333335</v>
      </c>
      <c r="J24" s="8">
        <f t="shared" ref="J24:M24" si="6">J16*(1-$B$8)</f>
        <v>14112.954266666662</v>
      </c>
      <c r="K24" s="8">
        <f t="shared" si="6"/>
        <v>17889.333799999993</v>
      </c>
      <c r="L24" s="8">
        <f t="shared" si="6"/>
        <v>22647.999999999996</v>
      </c>
      <c r="M24" s="8">
        <f t="shared" si="6"/>
        <v>17638.400000000001</v>
      </c>
    </row>
    <row r="25" spans="1:17" x14ac:dyDescent="0.25">
      <c r="A25" s="1" t="s">
        <v>7</v>
      </c>
      <c r="B25" s="1">
        <v>4</v>
      </c>
      <c r="C25" s="8"/>
      <c r="D25" s="8"/>
      <c r="E25" s="8"/>
      <c r="F25" s="8"/>
      <c r="G25" s="11"/>
      <c r="H25" s="8"/>
      <c r="I25" s="8"/>
    </row>
    <row r="26" spans="1:17" ht="45" x14ac:dyDescent="0.25">
      <c r="A26" s="2" t="s">
        <v>12</v>
      </c>
      <c r="B26" s="1"/>
      <c r="C26" s="8"/>
      <c r="D26" s="8"/>
      <c r="E26" s="8"/>
      <c r="F26" s="8"/>
      <c r="G26" s="11"/>
      <c r="H26" s="12" t="s">
        <v>32</v>
      </c>
      <c r="I26">
        <f>I$24/(1+0.14)^B$11</f>
        <v>8255.3577485380101</v>
      </c>
      <c r="J26">
        <f t="shared" ref="J26:M26" si="7">J$24/(1+0.14)^C$11</f>
        <v>10859.460038986348</v>
      </c>
      <c r="K26">
        <f t="shared" si="7"/>
        <v>12074.790758829969</v>
      </c>
      <c r="L26">
        <f t="shared" si="7"/>
        <v>13409.434121880047</v>
      </c>
      <c r="M26">
        <f t="shared" si="7"/>
        <v>9160.8322494441654</v>
      </c>
    </row>
    <row r="27" spans="1:17" x14ac:dyDescent="0.25">
      <c r="A27" s="1" t="s">
        <v>8</v>
      </c>
      <c r="B27" s="1">
        <v>19</v>
      </c>
      <c r="C27" s="8" t="s">
        <v>49</v>
      </c>
      <c r="D27" s="8"/>
      <c r="E27" s="8">
        <f>360/B27</f>
        <v>18.94736842105263</v>
      </c>
      <c r="F27" s="8"/>
      <c r="G27" s="11"/>
    </row>
    <row r="28" spans="1:17" x14ac:dyDescent="0.25">
      <c r="A28" s="1" t="s">
        <v>9</v>
      </c>
      <c r="B28" s="1">
        <v>20</v>
      </c>
      <c r="C28" s="8" t="s">
        <v>48</v>
      </c>
      <c r="D28" s="8"/>
      <c r="E28" s="8">
        <f t="shared" ref="E28:E32" si="8">360/B28</f>
        <v>18</v>
      </c>
      <c r="F28" s="8"/>
      <c r="G28" s="11"/>
      <c r="H28" s="21" t="s">
        <v>31</v>
      </c>
      <c r="I28">
        <f>I26+L20</f>
        <v>-17141.78808479532</v>
      </c>
      <c r="J28">
        <f>J26+I26+L20</f>
        <v>-6282.3280458089757</v>
      </c>
      <c r="K28">
        <f>K26+I26+J26+L20</f>
        <v>5792.4627130209956</v>
      </c>
      <c r="L28">
        <f>L26+I26+J26+K26+L20</f>
        <v>19201.896834901043</v>
      </c>
      <c r="M28">
        <f>M26+I26+J26+K26+L26+L20</f>
        <v>28362.72908434521</v>
      </c>
    </row>
    <row r="29" spans="1:17" x14ac:dyDescent="0.25">
      <c r="A29" s="1" t="s">
        <v>10</v>
      </c>
      <c r="B29" s="1">
        <v>5</v>
      </c>
      <c r="C29" s="8" t="s">
        <v>48</v>
      </c>
      <c r="D29" s="8"/>
      <c r="E29" s="8">
        <f t="shared" si="8"/>
        <v>72</v>
      </c>
      <c r="F29" s="8"/>
      <c r="G29" s="11"/>
      <c r="H29" s="8"/>
      <c r="I29" s="8"/>
    </row>
    <row r="30" spans="1:17" x14ac:dyDescent="0.25">
      <c r="A30" s="1" t="s">
        <v>11</v>
      </c>
      <c r="B30" s="1">
        <v>25</v>
      </c>
      <c r="C30" s="8" t="s">
        <v>47</v>
      </c>
      <c r="D30" s="8"/>
      <c r="E30" s="8">
        <f t="shared" si="8"/>
        <v>14.4</v>
      </c>
      <c r="F30" s="8"/>
      <c r="G30" s="11"/>
      <c r="H30" s="22" t="s">
        <v>42</v>
      </c>
      <c r="I30" s="8">
        <f>I28/(-1*$L$20)</f>
        <v>-0.67494938987581066</v>
      </c>
      <c r="J30" s="8">
        <f t="shared" ref="J30:M30" si="9">J28/(-1*$L$20)</f>
        <v>-0.24736354577149078</v>
      </c>
      <c r="K30" s="8">
        <f t="shared" si="9"/>
        <v>0.22807534165585192</v>
      </c>
      <c r="L30" s="8">
        <f t="shared" si="9"/>
        <v>0.75606514845848827</v>
      </c>
      <c r="M30" s="8">
        <f t="shared" si="9"/>
        <v>1.1167683672202093</v>
      </c>
    </row>
    <row r="31" spans="1:17" x14ac:dyDescent="0.25">
      <c r="A31" s="1" t="s">
        <v>13</v>
      </c>
      <c r="B31" s="1">
        <v>37</v>
      </c>
      <c r="C31" s="25" t="s">
        <v>58</v>
      </c>
      <c r="E31" s="8">
        <f t="shared" si="8"/>
        <v>9.7297297297297298</v>
      </c>
    </row>
    <row r="32" spans="1:17" x14ac:dyDescent="0.25">
      <c r="A32" s="33" t="s">
        <v>62</v>
      </c>
      <c r="B32" s="33">
        <v>360</v>
      </c>
      <c r="E32" s="25"/>
      <c r="H32" s="21" t="s">
        <v>43</v>
      </c>
      <c r="M32" s="23">
        <f>IRR(L20:Q20)</f>
        <v>0.3007242636640437</v>
      </c>
    </row>
    <row r="34" spans="8:15" x14ac:dyDescent="0.25">
      <c r="H34" s="21" t="s">
        <v>44</v>
      </c>
      <c r="I34">
        <f>$L$20+I24</f>
        <v>-15986.037999999999</v>
      </c>
      <c r="J34">
        <f>$L$20+J24+I24</f>
        <v>-1873.0837333333366</v>
      </c>
      <c r="K34">
        <f>$L$20+K24+I24+J24</f>
        <v>16016.250066666656</v>
      </c>
      <c r="M34" t="s">
        <v>59</v>
      </c>
    </row>
    <row r="36" spans="8:15" x14ac:dyDescent="0.25">
      <c r="H36" s="21" t="s">
        <v>45</v>
      </c>
      <c r="I36">
        <f>$L$20+I26</f>
        <v>-17141.78808479532</v>
      </c>
      <c r="J36">
        <f>$L$20+J26+I26</f>
        <v>-6282.3280458089739</v>
      </c>
      <c r="K36">
        <f>$L$20+K26+J26+I26</f>
        <v>5792.4627130209956</v>
      </c>
      <c r="L36">
        <f>$L$20+L26+K26+J26+I26</f>
        <v>19201.896834901043</v>
      </c>
      <c r="M36" t="s">
        <v>60</v>
      </c>
    </row>
    <row r="38" spans="8:15" x14ac:dyDescent="0.25">
      <c r="H38" s="13" t="s">
        <v>50</v>
      </c>
      <c r="I38" s="14" t="s">
        <v>51</v>
      </c>
      <c r="J38" s="14" t="s">
        <v>52</v>
      </c>
      <c r="K38" s="14" t="s">
        <v>53</v>
      </c>
      <c r="L38" s="14" t="s">
        <v>54</v>
      </c>
      <c r="M38" s="14" t="s">
        <v>55</v>
      </c>
      <c r="N38" s="15">
        <v>0</v>
      </c>
      <c r="O38" s="25" t="s">
        <v>64</v>
      </c>
    </row>
    <row r="39" spans="8:15" x14ac:dyDescent="0.25">
      <c r="H39" s="16"/>
      <c r="I39" s="8">
        <f>($B$4*1000*B12*B21)/(360/B27)</f>
        <v>1071388.888888889</v>
      </c>
      <c r="J39" s="8">
        <f>($B$4*1000*B12*B19)/(360/$B28)</f>
        <v>1788888.888888889</v>
      </c>
      <c r="K39" s="8">
        <f>($B$4*1000*B12*B19)/(360/$B29)</f>
        <v>447222.22222222225</v>
      </c>
      <c r="L39" s="8">
        <f>I8/(360/$B30)</f>
        <v>3256.9444444444443</v>
      </c>
      <c r="M39" s="8">
        <f>($B$4*1000*B12*B21)/(360/$B31)</f>
        <v>2086388.8888888888</v>
      </c>
      <c r="N39" s="17"/>
      <c r="O39" t="s">
        <v>65</v>
      </c>
    </row>
    <row r="40" spans="8:15" x14ac:dyDescent="0.25">
      <c r="H40" s="16" t="s">
        <v>56</v>
      </c>
      <c r="I40" s="28">
        <f>SUM(I39,J39,K39,L39,M39)/1000</f>
        <v>5397.145833333333</v>
      </c>
      <c r="J40" s="25"/>
      <c r="K40" s="25"/>
      <c r="L40" s="25"/>
      <c r="M40" s="25"/>
      <c r="N40" s="29"/>
    </row>
    <row r="41" spans="8:15" x14ac:dyDescent="0.25">
      <c r="H41" s="16"/>
      <c r="I41" s="30">
        <f>I42-I39</f>
        <v>306111.11111111101</v>
      </c>
      <c r="J41" s="30">
        <f t="shared" ref="J41:M41" si="10">J42-J39</f>
        <v>511111.11111111101</v>
      </c>
      <c r="K41" s="30">
        <f t="shared" si="10"/>
        <v>127777.77777777775</v>
      </c>
      <c r="L41" s="30">
        <f t="shared" si="10"/>
        <v>930.55555555555566</v>
      </c>
      <c r="M41" s="30">
        <f t="shared" si="10"/>
        <v>596111.11111111124</v>
      </c>
      <c r="N41" s="31">
        <f>SUM(I41,J41,K41,L41,M41)/1000</f>
        <v>1542.0416666666665</v>
      </c>
    </row>
    <row r="42" spans="8:15" x14ac:dyDescent="0.25">
      <c r="H42" s="16"/>
      <c r="I42" s="8">
        <f>($B$4*1000*$C12*$B21)/$E27</f>
        <v>1377500</v>
      </c>
      <c r="J42" s="8">
        <f>($B$4*1000*$C12*$B19)/$E28</f>
        <v>2300000</v>
      </c>
      <c r="K42" s="8">
        <f>($B$4*1000*$C12*$B19)/$E29</f>
        <v>575000</v>
      </c>
      <c r="L42" s="8">
        <f>J8/$E30</f>
        <v>4187.5</v>
      </c>
      <c r="M42" s="8">
        <f>($B$4*1000*$C12*$B21)/$E31</f>
        <v>2682500</v>
      </c>
      <c r="N42" s="17">
        <v>1</v>
      </c>
    </row>
    <row r="43" spans="8:15" x14ac:dyDescent="0.25">
      <c r="H43" s="16"/>
      <c r="I43" s="30">
        <f>I44-I42</f>
        <v>153055.55555555574</v>
      </c>
      <c r="J43" s="30">
        <f t="shared" ref="J43:M43" si="11">J44-J42</f>
        <v>255555.5555555555</v>
      </c>
      <c r="K43" s="30">
        <f t="shared" si="11"/>
        <v>63888.888888888876</v>
      </c>
      <c r="L43" s="30">
        <f t="shared" si="11"/>
        <v>465.27777777777737</v>
      </c>
      <c r="M43" s="30">
        <f t="shared" si="11"/>
        <v>298055.5555555555</v>
      </c>
      <c r="N43" s="31">
        <f>SUM(I43,J43,K43,L43,M43)/1000</f>
        <v>771.02083333333337</v>
      </c>
    </row>
    <row r="44" spans="8:15" x14ac:dyDescent="0.25">
      <c r="H44" s="16"/>
      <c r="I44" s="8">
        <f>($B$4*1000*$D$12*$B$21)/$E$27</f>
        <v>1530555.5555555557</v>
      </c>
      <c r="J44" s="8">
        <f>($B$4*1000*$D$12*$B$19)/$E$28</f>
        <v>2555555.5555555555</v>
      </c>
      <c r="K44" s="8">
        <f>($B$4*1000*$D$12*$B$19)/$E$29</f>
        <v>638888.88888888888</v>
      </c>
      <c r="L44" s="8">
        <f>K8/$E$30</f>
        <v>4652.7777777777774</v>
      </c>
      <c r="M44" s="8">
        <f>($B$4*1000*$D$12*$B$21)/$E$31</f>
        <v>2980555.5555555555</v>
      </c>
      <c r="N44" s="17">
        <v>2</v>
      </c>
    </row>
    <row r="45" spans="8:15" x14ac:dyDescent="0.25">
      <c r="H45" s="16"/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1">
        <v>0</v>
      </c>
    </row>
    <row r="46" spans="8:15" x14ac:dyDescent="0.25">
      <c r="H46" s="16"/>
      <c r="I46" s="8">
        <f>($B$4*1000*$E$12*$B$21)/$E$27</f>
        <v>1530555.5555555557</v>
      </c>
      <c r="J46" s="8">
        <f>($B$4*1000*$E$12*$B$19)/$E$28</f>
        <v>2555555.5555555555</v>
      </c>
      <c r="K46" s="8">
        <f>($B$4*1000*$E$12*$B$19)/$E$29</f>
        <v>638888.88888888888</v>
      </c>
      <c r="L46" s="8">
        <f>L8/$E$30</f>
        <v>4652.7777777777774</v>
      </c>
      <c r="M46" s="8">
        <f>($B$4*1000*$E$12*$B$21)/$E$31</f>
        <v>2980555.5555555555</v>
      </c>
      <c r="N46" s="17">
        <v>3</v>
      </c>
    </row>
    <row r="47" spans="8:15" x14ac:dyDescent="0.25">
      <c r="H47" s="16"/>
      <c r="I47" s="30">
        <f>I48-I46</f>
        <v>-306111.11111111124</v>
      </c>
      <c r="J47" s="30">
        <f t="shared" ref="J47:M47" si="12">J48-J46</f>
        <v>-511111.11111111101</v>
      </c>
      <c r="K47" s="30">
        <f t="shared" si="12"/>
        <v>-127777.77777777775</v>
      </c>
      <c r="L47" s="30">
        <f t="shared" si="12"/>
        <v>-930.5555555555552</v>
      </c>
      <c r="M47" s="30">
        <f t="shared" si="12"/>
        <v>-596111.11111111101</v>
      </c>
      <c r="N47" s="31">
        <f>SUM(I47:M47)/1000</f>
        <v>-1542.0416666666665</v>
      </c>
    </row>
    <row r="48" spans="8:15" x14ac:dyDescent="0.25">
      <c r="H48" s="16"/>
      <c r="I48" s="8">
        <f>($B$4*1000*$F$12*$B$21)/$E$27</f>
        <v>1224444.4444444445</v>
      </c>
      <c r="J48" s="8">
        <f>($B$4*1000*$F$12*$B$19)/$E$28</f>
        <v>2044444.4444444445</v>
      </c>
      <c r="K48" s="8">
        <f>($B$4*1000*$F$12*$B$19)/$E$29</f>
        <v>511111.11111111112</v>
      </c>
      <c r="L48" s="8">
        <f>M8/$E$30</f>
        <v>3722.2222222222222</v>
      </c>
      <c r="M48" s="8">
        <f>($B$4*1000*$F$12*$B$21)/$E$31</f>
        <v>2384444.4444444445</v>
      </c>
      <c r="N48" s="17">
        <v>4</v>
      </c>
    </row>
    <row r="49" spans="8:14" x14ac:dyDescent="0.25">
      <c r="H49" s="16"/>
      <c r="I49" s="30">
        <f>I50-I48</f>
        <v>-1224444.4444444445</v>
      </c>
      <c r="J49" s="30">
        <f t="shared" ref="J49:M49" si="13">J50-J48</f>
        <v>-2044444.4444444445</v>
      </c>
      <c r="K49" s="30">
        <f t="shared" si="13"/>
        <v>-511111.11111111112</v>
      </c>
      <c r="L49" s="30">
        <f t="shared" si="13"/>
        <v>-3722.2222222222222</v>
      </c>
      <c r="M49" s="30">
        <f t="shared" si="13"/>
        <v>-2384444.4444444445</v>
      </c>
      <c r="N49" s="31">
        <f>SUM(I49:M49)/1000</f>
        <v>-6168.1666666666661</v>
      </c>
    </row>
    <row r="50" spans="8:14" x14ac:dyDescent="0.25">
      <c r="H50" s="18"/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20">
        <v>5</v>
      </c>
    </row>
    <row r="54" spans="8:14" x14ac:dyDescent="0.25">
      <c r="H54" s="27" t="s">
        <v>61</v>
      </c>
      <c r="I54">
        <f>I24+4000-N41+(6400-8000)</f>
        <v>10269.066166666667</v>
      </c>
      <c r="J54">
        <f>J24+4000-$N43+(3200-6400)</f>
        <v>14141.933433333328</v>
      </c>
      <c r="K54">
        <f>K24+4000-$N45+(-3200)</f>
        <v>18689.333799999993</v>
      </c>
      <c r="L54">
        <f>L24+4000-$N47</f>
        <v>28190.041666666664</v>
      </c>
      <c r="M54">
        <f>M24+4000-$N49</f>
        <v>27806.566666666666</v>
      </c>
    </row>
  </sheetData>
  <pageMargins left="0.7" right="0.7" top="0.75" bottom="0.75" header="0.3" footer="0.3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7"/>
  <sheetViews>
    <sheetView workbookViewId="0">
      <selection activeCell="M2" sqref="M2:M17"/>
    </sheetView>
  </sheetViews>
  <sheetFormatPr defaultRowHeight="15" x14ac:dyDescent="0.25"/>
  <cols>
    <col min="1" max="1" width="59.85546875" bestFit="1" customWidth="1"/>
  </cols>
  <sheetData>
    <row r="1" spans="2:26" x14ac:dyDescent="0.25"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2:26" x14ac:dyDescent="0.25">
      <c r="B2" s="9">
        <v>1</v>
      </c>
      <c r="C2" s="9">
        <v>2</v>
      </c>
      <c r="D2" s="9">
        <v>3</v>
      </c>
      <c r="E2" s="9">
        <v>4</v>
      </c>
      <c r="F2" s="9">
        <v>5</v>
      </c>
      <c r="G2" s="9">
        <v>6</v>
      </c>
      <c r="H2" s="9">
        <v>7</v>
      </c>
      <c r="I2" s="9">
        <v>8</v>
      </c>
      <c r="J2" s="9">
        <v>9</v>
      </c>
      <c r="K2" s="9">
        <v>10</v>
      </c>
      <c r="L2" s="9">
        <v>11</v>
      </c>
      <c r="N2" s="9">
        <v>13</v>
      </c>
      <c r="O2" s="9">
        <v>14</v>
      </c>
      <c r="P2" s="9">
        <v>15</v>
      </c>
      <c r="Q2" s="9">
        <v>16</v>
      </c>
      <c r="R2" s="9">
        <v>17</v>
      </c>
      <c r="S2" s="9">
        <v>18</v>
      </c>
      <c r="T2" s="9">
        <v>19</v>
      </c>
      <c r="U2" s="9">
        <v>20</v>
      </c>
      <c r="V2" s="9">
        <v>21</v>
      </c>
      <c r="W2" s="9">
        <v>22</v>
      </c>
      <c r="X2" s="9">
        <v>23</v>
      </c>
      <c r="Y2" s="9">
        <v>24</v>
      </c>
      <c r="Z2" s="9">
        <v>25</v>
      </c>
    </row>
    <row r="3" spans="2:26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x14ac:dyDescent="0.25">
      <c r="B4" s="1">
        <v>690</v>
      </c>
      <c r="C4" s="1">
        <v>760</v>
      </c>
      <c r="D4" s="1">
        <v>810</v>
      </c>
      <c r="E4" s="1">
        <v>710</v>
      </c>
      <c r="F4" s="1">
        <v>740</v>
      </c>
      <c r="G4" s="1">
        <v>670</v>
      </c>
      <c r="H4" s="1">
        <v>710</v>
      </c>
      <c r="I4" s="1">
        <v>740</v>
      </c>
      <c r="J4" s="1">
        <v>680</v>
      </c>
      <c r="K4" s="1">
        <v>690</v>
      </c>
      <c r="L4" s="1">
        <v>720</v>
      </c>
      <c r="N4" s="1">
        <v>700</v>
      </c>
      <c r="O4" s="1">
        <v>750</v>
      </c>
      <c r="P4" s="1">
        <v>720</v>
      </c>
      <c r="Q4" s="1">
        <v>720</v>
      </c>
      <c r="R4" s="1">
        <v>800</v>
      </c>
      <c r="S4" s="1">
        <v>710</v>
      </c>
      <c r="T4" s="1">
        <v>700</v>
      </c>
      <c r="U4" s="1">
        <v>660</v>
      </c>
      <c r="V4" s="1">
        <v>680</v>
      </c>
      <c r="W4" s="1">
        <v>750</v>
      </c>
      <c r="X4" s="1">
        <v>770</v>
      </c>
      <c r="Y4" s="1">
        <v>760</v>
      </c>
      <c r="Z4" s="1">
        <v>750</v>
      </c>
    </row>
    <row r="5" spans="2:26" x14ac:dyDescent="0.25">
      <c r="B5" s="1">
        <f t="shared" ref="B5:L5" si="0">B7+B8+B9</f>
        <v>480</v>
      </c>
      <c r="C5" s="1">
        <f t="shared" si="0"/>
        <v>550</v>
      </c>
      <c r="D5" s="1">
        <f t="shared" si="0"/>
        <v>540</v>
      </c>
      <c r="E5" s="1">
        <f t="shared" si="0"/>
        <v>490</v>
      </c>
      <c r="F5" s="1">
        <f t="shared" si="0"/>
        <v>550</v>
      </c>
      <c r="G5" s="1">
        <f t="shared" si="0"/>
        <v>500</v>
      </c>
      <c r="H5" s="1">
        <f t="shared" si="0"/>
        <v>500</v>
      </c>
      <c r="I5" s="1">
        <f t="shared" si="0"/>
        <v>540</v>
      </c>
      <c r="J5" s="1">
        <f t="shared" si="0"/>
        <v>480</v>
      </c>
      <c r="K5" s="1">
        <f t="shared" si="0"/>
        <v>470</v>
      </c>
      <c r="L5" s="1">
        <f t="shared" si="0"/>
        <v>510</v>
      </c>
      <c r="N5" s="1">
        <f t="shared" ref="N5:Z5" si="1">N7+N8+N9</f>
        <v>460</v>
      </c>
      <c r="O5" s="1">
        <f t="shared" si="1"/>
        <v>540</v>
      </c>
      <c r="P5" s="1">
        <f t="shared" si="1"/>
        <v>530</v>
      </c>
      <c r="Q5" s="1">
        <f t="shared" si="1"/>
        <v>500</v>
      </c>
      <c r="R5" s="1">
        <f t="shared" si="1"/>
        <v>560</v>
      </c>
      <c r="S5" s="1">
        <f t="shared" si="1"/>
        <v>520</v>
      </c>
      <c r="T5" s="1">
        <f t="shared" si="1"/>
        <v>520</v>
      </c>
      <c r="U5" s="1">
        <f t="shared" si="1"/>
        <v>440</v>
      </c>
      <c r="V5" s="1">
        <f t="shared" si="1"/>
        <v>460</v>
      </c>
      <c r="W5" s="1">
        <f t="shared" si="1"/>
        <v>540</v>
      </c>
      <c r="X5" s="1">
        <f t="shared" si="1"/>
        <v>570</v>
      </c>
      <c r="Y5" s="1">
        <f t="shared" si="1"/>
        <v>520</v>
      </c>
      <c r="Z5" s="1">
        <f t="shared" si="1"/>
        <v>530</v>
      </c>
    </row>
    <row r="6" spans="2:26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x14ac:dyDescent="0.25">
      <c r="B7" s="1">
        <v>330</v>
      </c>
      <c r="C7" s="1">
        <v>380</v>
      </c>
      <c r="D7" s="1">
        <v>380</v>
      </c>
      <c r="E7" s="1">
        <v>310</v>
      </c>
      <c r="F7" s="1">
        <v>380</v>
      </c>
      <c r="G7" s="1">
        <v>360</v>
      </c>
      <c r="H7" s="1">
        <v>350</v>
      </c>
      <c r="I7" s="1">
        <v>380</v>
      </c>
      <c r="J7" s="1">
        <v>330</v>
      </c>
      <c r="K7" s="1">
        <v>320</v>
      </c>
      <c r="L7" s="1">
        <v>370</v>
      </c>
      <c r="N7" s="1">
        <v>300</v>
      </c>
      <c r="O7" s="1">
        <v>360</v>
      </c>
      <c r="P7" s="1">
        <v>360</v>
      </c>
      <c r="Q7" s="1">
        <v>360</v>
      </c>
      <c r="R7" s="1">
        <v>390</v>
      </c>
      <c r="S7" s="1">
        <v>350</v>
      </c>
      <c r="T7" s="1">
        <v>400</v>
      </c>
      <c r="U7" s="1">
        <v>300</v>
      </c>
      <c r="V7" s="1">
        <v>330</v>
      </c>
      <c r="W7" s="1">
        <v>380</v>
      </c>
      <c r="X7" s="1">
        <v>390</v>
      </c>
      <c r="Y7" s="1">
        <v>370</v>
      </c>
      <c r="Z7" s="1">
        <v>390</v>
      </c>
    </row>
    <row r="8" spans="2:26" x14ac:dyDescent="0.25">
      <c r="B8" s="1">
        <v>100</v>
      </c>
      <c r="C8" s="1">
        <v>110</v>
      </c>
      <c r="D8" s="1">
        <v>100</v>
      </c>
      <c r="E8" s="1">
        <v>120</v>
      </c>
      <c r="F8" s="1">
        <v>110</v>
      </c>
      <c r="G8" s="1">
        <v>90</v>
      </c>
      <c r="H8" s="1">
        <v>90</v>
      </c>
      <c r="I8" s="1">
        <v>120</v>
      </c>
      <c r="J8" s="1">
        <v>90</v>
      </c>
      <c r="K8" s="1">
        <v>110</v>
      </c>
      <c r="L8" s="1">
        <v>90</v>
      </c>
      <c r="N8" s="1">
        <v>110</v>
      </c>
      <c r="O8" s="1">
        <v>120</v>
      </c>
      <c r="P8" s="1">
        <v>120</v>
      </c>
      <c r="Q8" s="1">
        <v>90</v>
      </c>
      <c r="R8" s="1">
        <v>110</v>
      </c>
      <c r="S8" s="1">
        <v>120</v>
      </c>
      <c r="T8" s="1">
        <v>80</v>
      </c>
      <c r="U8" s="1">
        <v>80</v>
      </c>
      <c r="V8" s="1">
        <v>90</v>
      </c>
      <c r="W8" s="1">
        <v>100</v>
      </c>
      <c r="X8" s="1">
        <v>120</v>
      </c>
      <c r="Y8" s="1">
        <v>110</v>
      </c>
      <c r="Z8" s="1">
        <v>90</v>
      </c>
    </row>
    <row r="9" spans="2:26" x14ac:dyDescent="0.25">
      <c r="B9" s="1">
        <v>50</v>
      </c>
      <c r="C9" s="1">
        <v>60</v>
      </c>
      <c r="D9" s="1">
        <v>60</v>
      </c>
      <c r="E9" s="1">
        <v>60</v>
      </c>
      <c r="F9" s="1">
        <v>60</v>
      </c>
      <c r="G9" s="1">
        <v>50</v>
      </c>
      <c r="H9" s="1">
        <v>60</v>
      </c>
      <c r="I9" s="1">
        <v>40</v>
      </c>
      <c r="J9" s="1">
        <v>60</v>
      </c>
      <c r="K9" s="1">
        <v>40</v>
      </c>
      <c r="L9" s="1">
        <v>50</v>
      </c>
      <c r="N9" s="1">
        <v>50</v>
      </c>
      <c r="O9" s="1">
        <v>60</v>
      </c>
      <c r="P9" s="1">
        <v>50</v>
      </c>
      <c r="Q9" s="1">
        <v>50</v>
      </c>
      <c r="R9" s="1">
        <v>60</v>
      </c>
      <c r="S9" s="1">
        <v>50</v>
      </c>
      <c r="T9" s="1">
        <v>40</v>
      </c>
      <c r="U9" s="1">
        <v>60</v>
      </c>
      <c r="V9" s="1">
        <v>40</v>
      </c>
      <c r="W9" s="1">
        <v>60</v>
      </c>
      <c r="X9" s="1">
        <v>60</v>
      </c>
      <c r="Y9" s="1">
        <v>40</v>
      </c>
      <c r="Z9" s="1">
        <v>50</v>
      </c>
    </row>
    <row r="10" spans="2:26" x14ac:dyDescent="0.25">
      <c r="B10" s="1">
        <v>5</v>
      </c>
      <c r="C10" s="1">
        <v>4</v>
      </c>
      <c r="D10" s="1">
        <v>4</v>
      </c>
      <c r="E10" s="1">
        <v>5</v>
      </c>
      <c r="F10" s="1">
        <v>6</v>
      </c>
      <c r="G10" s="1">
        <v>5</v>
      </c>
      <c r="H10" s="1">
        <v>4</v>
      </c>
      <c r="I10" s="1">
        <v>6</v>
      </c>
      <c r="J10" s="1">
        <v>4</v>
      </c>
      <c r="K10" s="1">
        <v>6</v>
      </c>
      <c r="L10" s="1">
        <v>5</v>
      </c>
      <c r="N10" s="1">
        <v>5</v>
      </c>
      <c r="O10" s="1">
        <v>4</v>
      </c>
      <c r="P10" s="1">
        <v>4</v>
      </c>
      <c r="Q10" s="1">
        <v>4</v>
      </c>
      <c r="R10" s="1">
        <v>5</v>
      </c>
      <c r="S10" s="1">
        <v>6</v>
      </c>
      <c r="T10" s="1">
        <v>5</v>
      </c>
      <c r="U10" s="1">
        <v>6</v>
      </c>
      <c r="V10" s="1">
        <v>6</v>
      </c>
      <c r="W10" s="1">
        <v>6</v>
      </c>
      <c r="X10" s="1">
        <v>4</v>
      </c>
      <c r="Y10" s="1">
        <v>6</v>
      </c>
      <c r="Z10" s="1">
        <v>5</v>
      </c>
    </row>
    <row r="11" spans="2:26" x14ac:dyDescent="0.25">
      <c r="B11" s="1">
        <v>4</v>
      </c>
      <c r="C11" s="1">
        <v>4</v>
      </c>
      <c r="D11" s="1">
        <v>4</v>
      </c>
      <c r="E11" s="1">
        <v>2</v>
      </c>
      <c r="F11" s="1">
        <v>4</v>
      </c>
      <c r="G11" s="1">
        <v>2</v>
      </c>
      <c r="H11" s="1">
        <v>2</v>
      </c>
      <c r="I11" s="1">
        <v>3</v>
      </c>
      <c r="J11" s="1">
        <v>3</v>
      </c>
      <c r="K11" s="1">
        <v>2</v>
      </c>
      <c r="L11" s="1">
        <v>4</v>
      </c>
      <c r="N11" s="1">
        <v>4</v>
      </c>
      <c r="O11" s="1">
        <v>2</v>
      </c>
      <c r="P11" s="1">
        <v>3</v>
      </c>
      <c r="Q11" s="1">
        <v>3</v>
      </c>
      <c r="R11" s="1">
        <v>4</v>
      </c>
      <c r="S11" s="1">
        <v>2</v>
      </c>
      <c r="T11" s="1">
        <v>4</v>
      </c>
      <c r="U11" s="1">
        <v>3</v>
      </c>
      <c r="V11" s="1">
        <v>2</v>
      </c>
      <c r="W11" s="1">
        <v>2</v>
      </c>
      <c r="X11" s="1">
        <v>3</v>
      </c>
      <c r="Y11" s="1">
        <v>2</v>
      </c>
      <c r="Z11" s="1">
        <v>3</v>
      </c>
    </row>
    <row r="12" spans="2:26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x14ac:dyDescent="0.25">
      <c r="B13" s="1">
        <v>18</v>
      </c>
      <c r="C13" s="1">
        <v>19</v>
      </c>
      <c r="D13" s="1">
        <v>18</v>
      </c>
      <c r="E13" s="1">
        <v>20</v>
      </c>
      <c r="F13" s="1">
        <v>15</v>
      </c>
      <c r="G13" s="1">
        <v>17</v>
      </c>
      <c r="H13" s="1">
        <v>16</v>
      </c>
      <c r="I13" s="1">
        <v>16</v>
      </c>
      <c r="J13" s="1">
        <v>23</v>
      </c>
      <c r="K13" s="1">
        <v>18</v>
      </c>
      <c r="L13" s="1">
        <v>17</v>
      </c>
      <c r="N13" s="1">
        <v>25</v>
      </c>
      <c r="O13" s="1">
        <v>16</v>
      </c>
      <c r="P13" s="1">
        <v>23</v>
      </c>
      <c r="Q13" s="1">
        <v>20</v>
      </c>
      <c r="R13" s="1">
        <v>17</v>
      </c>
      <c r="S13" s="1">
        <v>17</v>
      </c>
      <c r="T13" s="1">
        <v>21</v>
      </c>
      <c r="U13" s="1">
        <v>16</v>
      </c>
      <c r="V13" s="1">
        <v>16</v>
      </c>
      <c r="W13" s="1">
        <v>25</v>
      </c>
      <c r="X13" s="1">
        <v>16</v>
      </c>
      <c r="Y13" s="1">
        <v>15</v>
      </c>
      <c r="Z13" s="1">
        <v>16</v>
      </c>
    </row>
    <row r="14" spans="2:26" x14ac:dyDescent="0.25">
      <c r="B14" s="1">
        <v>11</v>
      </c>
      <c r="C14" s="1">
        <v>14</v>
      </c>
      <c r="D14" s="1">
        <v>16</v>
      </c>
      <c r="E14" s="1">
        <v>16</v>
      </c>
      <c r="F14" s="1">
        <v>19</v>
      </c>
      <c r="G14" s="1">
        <v>15</v>
      </c>
      <c r="H14" s="1">
        <v>10</v>
      </c>
      <c r="I14" s="1">
        <v>18</v>
      </c>
      <c r="J14" s="1">
        <v>13</v>
      </c>
      <c r="K14" s="1">
        <v>10</v>
      </c>
      <c r="L14" s="1">
        <v>16</v>
      </c>
      <c r="N14" s="1">
        <v>18</v>
      </c>
      <c r="O14" s="1">
        <v>14</v>
      </c>
      <c r="P14" s="1">
        <v>10</v>
      </c>
      <c r="Q14" s="1">
        <v>20</v>
      </c>
      <c r="R14" s="1">
        <v>10</v>
      </c>
      <c r="S14" s="1">
        <v>20</v>
      </c>
      <c r="T14" s="1">
        <v>14</v>
      </c>
      <c r="U14" s="1">
        <v>15</v>
      </c>
      <c r="V14" s="1">
        <v>16</v>
      </c>
      <c r="W14" s="1">
        <v>12</v>
      </c>
      <c r="X14" s="1">
        <v>10</v>
      </c>
      <c r="Y14" s="1">
        <v>14</v>
      </c>
      <c r="Z14" s="1">
        <v>20</v>
      </c>
    </row>
    <row r="15" spans="2:26" x14ac:dyDescent="0.25">
      <c r="B15" s="1">
        <v>8</v>
      </c>
      <c r="C15" s="1">
        <v>10</v>
      </c>
      <c r="D15" s="1">
        <v>9</v>
      </c>
      <c r="E15" s="1">
        <v>7</v>
      </c>
      <c r="F15" s="1">
        <v>10</v>
      </c>
      <c r="G15" s="1">
        <v>10</v>
      </c>
      <c r="H15" s="1">
        <v>7</v>
      </c>
      <c r="I15" s="1">
        <v>6</v>
      </c>
      <c r="J15" s="1">
        <v>9</v>
      </c>
      <c r="K15" s="1">
        <v>9</v>
      </c>
      <c r="L15" s="1">
        <v>9</v>
      </c>
      <c r="N15" s="1">
        <v>7</v>
      </c>
      <c r="O15" s="1">
        <v>10</v>
      </c>
      <c r="P15" s="1">
        <v>6</v>
      </c>
      <c r="Q15" s="1">
        <v>6</v>
      </c>
      <c r="R15" s="1">
        <v>10</v>
      </c>
      <c r="S15" s="1">
        <v>8</v>
      </c>
      <c r="T15" s="1">
        <v>10</v>
      </c>
      <c r="U15" s="1">
        <v>7</v>
      </c>
      <c r="V15" s="1">
        <v>9</v>
      </c>
      <c r="W15" s="1">
        <v>6</v>
      </c>
      <c r="X15" s="1">
        <v>6</v>
      </c>
      <c r="Y15" s="1">
        <v>5</v>
      </c>
      <c r="Z15" s="1">
        <v>9</v>
      </c>
    </row>
    <row r="16" spans="2:26" x14ac:dyDescent="0.25">
      <c r="B16" s="1">
        <v>26</v>
      </c>
      <c r="C16" s="1">
        <v>37</v>
      </c>
      <c r="D16" s="1">
        <v>37</v>
      </c>
      <c r="E16" s="1">
        <v>39</v>
      </c>
      <c r="F16" s="1">
        <v>26</v>
      </c>
      <c r="G16" s="1">
        <v>40</v>
      </c>
      <c r="H16" s="1">
        <v>34</v>
      </c>
      <c r="I16" s="1">
        <v>35</v>
      </c>
      <c r="J16" s="1">
        <v>40</v>
      </c>
      <c r="K16" s="1">
        <v>39</v>
      </c>
      <c r="L16" s="1">
        <v>35</v>
      </c>
      <c r="N16" s="1">
        <v>31</v>
      </c>
      <c r="O16" s="1">
        <v>28</v>
      </c>
      <c r="P16" s="1">
        <v>25</v>
      </c>
      <c r="Q16" s="1">
        <v>30</v>
      </c>
      <c r="R16" s="1">
        <v>32</v>
      </c>
      <c r="S16" s="1">
        <v>33</v>
      </c>
      <c r="T16" s="1">
        <v>26</v>
      </c>
      <c r="U16" s="1">
        <v>29</v>
      </c>
      <c r="V16" s="1">
        <v>38</v>
      </c>
      <c r="W16" s="1">
        <v>35</v>
      </c>
      <c r="X16" s="1">
        <v>31</v>
      </c>
      <c r="Y16" s="1">
        <v>27</v>
      </c>
      <c r="Z16" s="1">
        <v>26</v>
      </c>
    </row>
    <row r="17" spans="2:26" x14ac:dyDescent="0.25">
      <c r="B17" s="1">
        <v>36</v>
      </c>
      <c r="C17" s="1">
        <v>35</v>
      </c>
      <c r="D17" s="1">
        <v>27</v>
      </c>
      <c r="E17" s="1">
        <v>38</v>
      </c>
      <c r="F17" s="1">
        <v>27</v>
      </c>
      <c r="G17" s="1">
        <v>33</v>
      </c>
      <c r="H17" s="1">
        <v>33</v>
      </c>
      <c r="I17" s="1">
        <v>25</v>
      </c>
      <c r="J17" s="1">
        <v>34</v>
      </c>
      <c r="K17" s="1">
        <v>40</v>
      </c>
      <c r="L17" s="1">
        <v>25</v>
      </c>
      <c r="N17" s="1">
        <v>26</v>
      </c>
      <c r="O17" s="1">
        <v>29</v>
      </c>
      <c r="P17" s="1">
        <v>30</v>
      </c>
      <c r="Q17" s="1">
        <v>34</v>
      </c>
      <c r="R17" s="1">
        <v>26</v>
      </c>
      <c r="S17" s="1">
        <v>34</v>
      </c>
      <c r="T17" s="1">
        <v>26</v>
      </c>
      <c r="U17" s="1">
        <v>35</v>
      </c>
      <c r="V17" s="1">
        <v>38</v>
      </c>
      <c r="W17" s="1">
        <v>34</v>
      </c>
      <c r="X17" s="1">
        <v>39</v>
      </c>
      <c r="Y17" s="1">
        <v>29</v>
      </c>
      <c r="Z17" s="1">
        <v>34</v>
      </c>
    </row>
  </sheetData>
  <mergeCells count="1">
    <mergeCell ref="B1:Z1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defaultRowHeight="15" x14ac:dyDescent="0.25"/>
  <cols>
    <col min="1" max="1" width="92.42578125" customWidth="1"/>
  </cols>
  <sheetData>
    <row r="1" spans="1:1" x14ac:dyDescent="0.25">
      <c r="A1" s="24" t="s">
        <v>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Общая информация</vt:lpstr>
      <vt:lpstr>Варианты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2019-11-27T09:06:08Z</dcterms:modified>
</cp:coreProperties>
</file>