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3265a940198fb2/Documentos/Cursos/Desarrollo Web/Udemy-Proyects/Analisis_de_Dastos/"/>
    </mc:Choice>
  </mc:AlternateContent>
  <xr:revisionPtr revIDLastSave="1" documentId="13_ncr:1_{BE19511D-8FE9-4B14-8D54-AE0298891976}" xr6:coauthVersionLast="47" xr6:coauthVersionMax="47" xr10:uidLastSave="{CEC19946-D960-4400-B286-63D958F2616D}"/>
  <bookViews>
    <workbookView xWindow="2895" yWindow="2895" windowWidth="15375" windowHeight="8325" tabRatio="687" activeTab="5" xr2:uid="{DAE56F27-0D4E-4098-B5FB-029649444D46}"/>
  </bookViews>
  <sheets>
    <sheet name="Clientes" sheetId="1" r:id="rId1"/>
    <sheet name="Productos" sheetId="2" r:id="rId2"/>
    <sheet name="Ventas" sheetId="3" r:id="rId3"/>
    <sheet name="DatosExtra" sheetId="7" r:id="rId4"/>
    <sheet name="Análisis" sheetId="8" r:id="rId5"/>
    <sheet name="Presentación" sheetId="9" r:id="rId6"/>
  </sheets>
  <definedNames>
    <definedName name="_xlchart.v2.0" hidden="1">Análisis!$E$48:$E$52</definedName>
    <definedName name="_xlchart.v2.1" hidden="1">Análisis!$F$47</definedName>
    <definedName name="_xlchart.v2.10" hidden="1">Análisis!$F$47</definedName>
    <definedName name="_xlchart.v2.11" hidden="1">Análisis!$F$48:$F$52</definedName>
    <definedName name="_xlchart.v2.12" hidden="1">Análisis!$E$48:$E$52</definedName>
    <definedName name="_xlchart.v2.13" hidden="1">Análisis!$F$47</definedName>
    <definedName name="_xlchart.v2.14" hidden="1">Análisis!$F$48:$F$52</definedName>
    <definedName name="_xlchart.v2.2" hidden="1">Análisis!$F$48:$F$52</definedName>
    <definedName name="_xlchart.v2.3" hidden="1">Análisis!$E$46:$E$50</definedName>
    <definedName name="_xlchart.v2.4" hidden="1">Análisis!$F$45</definedName>
    <definedName name="_xlchart.v2.5" hidden="1">Análisis!$F$46:$F$50</definedName>
    <definedName name="_xlchart.v2.6" hidden="1">Análisis!$E$46:$E$50</definedName>
    <definedName name="_xlchart.v2.7" hidden="1">Análisis!$F$45</definedName>
    <definedName name="_xlchart.v2.8" hidden="1">Análisis!$F$46:$F$50</definedName>
    <definedName name="_xlchart.v2.9" hidden="1">Análisis!$E$48:$E$52</definedName>
    <definedName name="_xlnm.Print_Area" localSheetId="5">Presentación!$A$4:$O$36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8" l="1"/>
  <c r="E49" i="8"/>
  <c r="E50" i="8"/>
  <c r="E51" i="8"/>
  <c r="E52" i="8"/>
  <c r="F49" i="8"/>
  <c r="F50" i="8"/>
  <c r="F51" i="8"/>
  <c r="F52" i="8"/>
  <c r="F48" i="8"/>
  <c r="E38" i="8"/>
  <c r="E37" i="8"/>
  <c r="E36" i="8"/>
  <c r="E35" i="8"/>
  <c r="E39" i="8" s="1"/>
  <c r="E34" i="8"/>
  <c r="E33" i="8"/>
  <c r="D38" i="8"/>
  <c r="D37" i="8"/>
  <c r="D36" i="8"/>
  <c r="D35" i="8"/>
  <c r="D34" i="8"/>
  <c r="D33" i="8"/>
  <c r="C39" i="8"/>
  <c r="C38" i="8"/>
  <c r="C37" i="8"/>
  <c r="C36" i="8"/>
  <c r="C35" i="8"/>
  <c r="C34" i="8"/>
  <c r="C33" i="8"/>
  <c r="B39" i="8"/>
  <c r="B34" i="8"/>
  <c r="B35" i="8"/>
  <c r="B36" i="8"/>
  <c r="B37" i="8"/>
  <c r="B38" i="8"/>
  <c r="B33" i="8"/>
  <c r="E29" i="8"/>
  <c r="E28" i="8"/>
  <c r="E27" i="8"/>
  <c r="E26" i="8"/>
  <c r="E25" i="8"/>
  <c r="E24" i="8"/>
  <c r="D29" i="8"/>
  <c r="D28" i="8"/>
  <c r="D27" i="8"/>
  <c r="D26" i="8"/>
  <c r="D25" i="8"/>
  <c r="D24" i="8"/>
  <c r="C29" i="8"/>
  <c r="C28" i="8"/>
  <c r="C27" i="8"/>
  <c r="C26" i="8"/>
  <c r="C25" i="8"/>
  <c r="C24" i="8"/>
  <c r="B25" i="8"/>
  <c r="B26" i="8"/>
  <c r="B27" i="8"/>
  <c r="B28" i="8"/>
  <c r="B29" i="8"/>
  <c r="B24" i="8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K4" i="3"/>
  <c r="K2" i="3"/>
  <c r="K3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G2" i="3"/>
  <c r="H2" i="3" s="1"/>
  <c r="I2" i="3" s="1"/>
  <c r="G3" i="3"/>
  <c r="H3" i="3" s="1"/>
  <c r="I3" i="3" s="1"/>
  <c r="G4" i="3"/>
  <c r="H4" i="3" s="1"/>
  <c r="I4" i="3" s="1"/>
  <c r="G5" i="3"/>
  <c r="H5" i="3" s="1"/>
  <c r="I5" i="3" s="1"/>
  <c r="G6" i="3"/>
  <c r="H6" i="3" s="1"/>
  <c r="I6" i="3" s="1"/>
  <c r="G7" i="3"/>
  <c r="H7" i="3" s="1"/>
  <c r="I7" i="3" s="1"/>
  <c r="G8" i="3"/>
  <c r="H8" i="3" s="1"/>
  <c r="I8" i="3" s="1"/>
  <c r="G9" i="3"/>
  <c r="H9" i="3" s="1"/>
  <c r="I9" i="3" s="1"/>
  <c r="G10" i="3"/>
  <c r="H10" i="3" s="1"/>
  <c r="I10" i="3" s="1"/>
  <c r="G11" i="3"/>
  <c r="H11" i="3" s="1"/>
  <c r="I11" i="3" s="1"/>
  <c r="G12" i="3"/>
  <c r="H12" i="3" s="1"/>
  <c r="I12" i="3" s="1"/>
  <c r="G13" i="3"/>
  <c r="H13" i="3" s="1"/>
  <c r="I13" i="3" s="1"/>
  <c r="G14" i="3"/>
  <c r="H14" i="3" s="1"/>
  <c r="I14" i="3" s="1"/>
  <c r="G15" i="3"/>
  <c r="H15" i="3" s="1"/>
  <c r="I15" i="3" s="1"/>
  <c r="G16" i="3"/>
  <c r="H16" i="3" s="1"/>
  <c r="I16" i="3" s="1"/>
  <c r="G17" i="3"/>
  <c r="H17" i="3" s="1"/>
  <c r="I17" i="3" s="1"/>
  <c r="G18" i="3"/>
  <c r="H18" i="3" s="1"/>
  <c r="I18" i="3" s="1"/>
  <c r="G19" i="3"/>
  <c r="H19" i="3" s="1"/>
  <c r="I19" i="3" s="1"/>
  <c r="G20" i="3"/>
  <c r="H20" i="3" s="1"/>
  <c r="I20" i="3" s="1"/>
  <c r="G21" i="3"/>
  <c r="H21" i="3" s="1"/>
  <c r="I21" i="3" s="1"/>
  <c r="G22" i="3"/>
  <c r="H22" i="3" s="1"/>
  <c r="I22" i="3" s="1"/>
  <c r="G23" i="3"/>
  <c r="H23" i="3" s="1"/>
  <c r="I23" i="3" s="1"/>
  <c r="G24" i="3"/>
  <c r="H24" i="3" s="1"/>
  <c r="I24" i="3" s="1"/>
  <c r="G25" i="3"/>
  <c r="H25" i="3" s="1"/>
  <c r="I25" i="3" s="1"/>
  <c r="G26" i="3"/>
  <c r="H26" i="3" s="1"/>
  <c r="I26" i="3" s="1"/>
  <c r="G27" i="3"/>
  <c r="H27" i="3" s="1"/>
  <c r="I27" i="3" s="1"/>
  <c r="G28" i="3"/>
  <c r="H28" i="3" s="1"/>
  <c r="I28" i="3" s="1"/>
  <c r="G29" i="3"/>
  <c r="H29" i="3" s="1"/>
  <c r="I29" i="3" s="1"/>
  <c r="G30" i="3"/>
  <c r="H30" i="3" s="1"/>
  <c r="I30" i="3" s="1"/>
  <c r="G31" i="3"/>
  <c r="H31" i="3" s="1"/>
  <c r="I31" i="3" s="1"/>
  <c r="G32" i="3"/>
  <c r="H32" i="3" s="1"/>
  <c r="I32" i="3" s="1"/>
  <c r="G33" i="3"/>
  <c r="H33" i="3" s="1"/>
  <c r="I33" i="3" s="1"/>
  <c r="G34" i="3"/>
  <c r="H34" i="3" s="1"/>
  <c r="I34" i="3" s="1"/>
  <c r="G35" i="3"/>
  <c r="H35" i="3" s="1"/>
  <c r="I35" i="3" s="1"/>
  <c r="G36" i="3"/>
  <c r="H36" i="3" s="1"/>
  <c r="I36" i="3" s="1"/>
  <c r="G37" i="3"/>
  <c r="H37" i="3" s="1"/>
  <c r="I37" i="3" s="1"/>
  <c r="G38" i="3"/>
  <c r="H38" i="3" s="1"/>
  <c r="I38" i="3" s="1"/>
  <c r="G39" i="3"/>
  <c r="H39" i="3" s="1"/>
  <c r="I39" i="3" s="1"/>
  <c r="G40" i="3"/>
  <c r="H40" i="3" s="1"/>
  <c r="I40" i="3" s="1"/>
  <c r="G41" i="3"/>
  <c r="H41" i="3" s="1"/>
  <c r="I41" i="3" s="1"/>
  <c r="G42" i="3"/>
  <c r="H42" i="3" s="1"/>
  <c r="I42" i="3" s="1"/>
  <c r="G43" i="3"/>
  <c r="H43" i="3" s="1"/>
  <c r="I43" i="3" s="1"/>
  <c r="G44" i="3"/>
  <c r="H44" i="3" s="1"/>
  <c r="I44" i="3" s="1"/>
  <c r="G45" i="3"/>
  <c r="H45" i="3" s="1"/>
  <c r="I45" i="3" s="1"/>
  <c r="G46" i="3"/>
  <c r="H46" i="3" s="1"/>
  <c r="I46" i="3" s="1"/>
  <c r="G47" i="3"/>
  <c r="H47" i="3" s="1"/>
  <c r="I47" i="3" s="1"/>
  <c r="G48" i="3"/>
  <c r="H48" i="3" s="1"/>
  <c r="I48" i="3" s="1"/>
  <c r="G49" i="3"/>
  <c r="H49" i="3" s="1"/>
  <c r="I49" i="3" s="1"/>
  <c r="G50" i="3"/>
  <c r="H50" i="3" s="1"/>
  <c r="I50" i="3" s="1"/>
  <c r="G51" i="3"/>
  <c r="H51" i="3" s="1"/>
  <c r="I51" i="3" s="1"/>
  <c r="G52" i="3"/>
  <c r="H52" i="3" s="1"/>
  <c r="I52" i="3" s="1"/>
  <c r="G53" i="3"/>
  <c r="H53" i="3" s="1"/>
  <c r="I53" i="3" s="1"/>
  <c r="G54" i="3"/>
  <c r="H54" i="3" s="1"/>
  <c r="I54" i="3" s="1"/>
  <c r="G55" i="3"/>
  <c r="H55" i="3" s="1"/>
  <c r="I55" i="3" s="1"/>
  <c r="G56" i="3"/>
  <c r="H56" i="3" s="1"/>
  <c r="I56" i="3" s="1"/>
  <c r="G57" i="3"/>
  <c r="H57" i="3" s="1"/>
  <c r="I57" i="3" s="1"/>
  <c r="G58" i="3"/>
  <c r="H58" i="3" s="1"/>
  <c r="I58" i="3" s="1"/>
  <c r="G59" i="3"/>
  <c r="H59" i="3" s="1"/>
  <c r="I59" i="3" s="1"/>
  <c r="G60" i="3"/>
  <c r="H60" i="3" s="1"/>
  <c r="I60" i="3" s="1"/>
  <c r="G61" i="3"/>
  <c r="H61" i="3" s="1"/>
  <c r="I61" i="3" s="1"/>
  <c r="G62" i="3"/>
  <c r="H62" i="3" s="1"/>
  <c r="I62" i="3" s="1"/>
  <c r="G63" i="3"/>
  <c r="H63" i="3" s="1"/>
  <c r="I63" i="3" s="1"/>
  <c r="G64" i="3"/>
  <c r="H64" i="3" s="1"/>
  <c r="I64" i="3" s="1"/>
  <c r="G65" i="3"/>
  <c r="H65" i="3" s="1"/>
  <c r="I65" i="3" s="1"/>
  <c r="G66" i="3"/>
  <c r="H66" i="3" s="1"/>
  <c r="I66" i="3" s="1"/>
  <c r="G67" i="3"/>
  <c r="H67" i="3" s="1"/>
  <c r="I67" i="3" s="1"/>
  <c r="G68" i="3"/>
  <c r="H68" i="3" s="1"/>
  <c r="I68" i="3" s="1"/>
  <c r="G69" i="3"/>
  <c r="H69" i="3" s="1"/>
  <c r="I69" i="3" s="1"/>
  <c r="G70" i="3"/>
  <c r="H70" i="3" s="1"/>
  <c r="I70" i="3" s="1"/>
  <c r="G71" i="3"/>
  <c r="H71" i="3" s="1"/>
  <c r="I71" i="3" s="1"/>
  <c r="G72" i="3"/>
  <c r="H72" i="3" s="1"/>
  <c r="I72" i="3" s="1"/>
  <c r="G73" i="3"/>
  <c r="H73" i="3" s="1"/>
  <c r="I73" i="3" s="1"/>
  <c r="G74" i="3"/>
  <c r="H74" i="3" s="1"/>
  <c r="I74" i="3" s="1"/>
  <c r="G75" i="3"/>
  <c r="H75" i="3" s="1"/>
  <c r="I75" i="3" s="1"/>
  <c r="G76" i="3"/>
  <c r="H76" i="3" s="1"/>
  <c r="I76" i="3" s="1"/>
  <c r="G77" i="3"/>
  <c r="H77" i="3" s="1"/>
  <c r="I77" i="3" s="1"/>
  <c r="G78" i="3"/>
  <c r="H78" i="3" s="1"/>
  <c r="I78" i="3" s="1"/>
  <c r="G79" i="3"/>
  <c r="H79" i="3" s="1"/>
  <c r="I79" i="3" s="1"/>
  <c r="G80" i="3"/>
  <c r="H80" i="3" s="1"/>
  <c r="I80" i="3" s="1"/>
  <c r="G81" i="3"/>
  <c r="H81" i="3" s="1"/>
  <c r="I81" i="3" s="1"/>
  <c r="G82" i="3"/>
  <c r="H82" i="3" s="1"/>
  <c r="I82" i="3" s="1"/>
  <c r="G83" i="3"/>
  <c r="H83" i="3" s="1"/>
  <c r="I83" i="3" s="1"/>
  <c r="G84" i="3"/>
  <c r="H84" i="3" s="1"/>
  <c r="I84" i="3" s="1"/>
  <c r="G85" i="3"/>
  <c r="H85" i="3" s="1"/>
  <c r="I85" i="3" s="1"/>
  <c r="G86" i="3"/>
  <c r="H86" i="3" s="1"/>
  <c r="I86" i="3" s="1"/>
  <c r="G87" i="3"/>
  <c r="H87" i="3" s="1"/>
  <c r="I87" i="3" s="1"/>
  <c r="G88" i="3"/>
  <c r="H88" i="3" s="1"/>
  <c r="I88" i="3" s="1"/>
  <c r="G89" i="3"/>
  <c r="H89" i="3" s="1"/>
  <c r="I89" i="3" s="1"/>
  <c r="G90" i="3"/>
  <c r="H90" i="3" s="1"/>
  <c r="I90" i="3" s="1"/>
  <c r="G91" i="3"/>
  <c r="H91" i="3" s="1"/>
  <c r="I91" i="3" s="1"/>
  <c r="G92" i="3"/>
  <c r="H92" i="3" s="1"/>
  <c r="I92" i="3" s="1"/>
  <c r="G93" i="3"/>
  <c r="H93" i="3" s="1"/>
  <c r="I93" i="3" s="1"/>
  <c r="G94" i="3"/>
  <c r="H94" i="3" s="1"/>
  <c r="I94" i="3" s="1"/>
  <c r="G95" i="3"/>
  <c r="H95" i="3" s="1"/>
  <c r="I95" i="3" s="1"/>
  <c r="G96" i="3"/>
  <c r="H96" i="3" s="1"/>
  <c r="I96" i="3" s="1"/>
  <c r="G97" i="3"/>
  <c r="H97" i="3" s="1"/>
  <c r="I97" i="3" s="1"/>
  <c r="G98" i="3"/>
  <c r="H98" i="3" s="1"/>
  <c r="I98" i="3" s="1"/>
  <c r="G99" i="3"/>
  <c r="H99" i="3" s="1"/>
  <c r="I99" i="3" s="1"/>
  <c r="G100" i="3"/>
  <c r="H100" i="3" s="1"/>
  <c r="I100" i="3" s="1"/>
  <c r="G101" i="3"/>
  <c r="H101" i="3" s="1"/>
  <c r="I101" i="3" s="1"/>
  <c r="D39" i="8" l="1"/>
</calcChain>
</file>

<file path=xl/sharedStrings.xml><?xml version="1.0" encoding="utf-8"?>
<sst xmlns="http://schemas.openxmlformats.org/spreadsheetml/2006/main" count="405" uniqueCount="241">
  <si>
    <t>CustomerKey</t>
  </si>
  <si>
    <t>Customer ID</t>
  </si>
  <si>
    <t>Customer</t>
  </si>
  <si>
    <t>City</t>
  </si>
  <si>
    <t>State-Province</t>
  </si>
  <si>
    <t>Country-Region</t>
  </si>
  <si>
    <t>Postal Code</t>
  </si>
  <si>
    <t>California</t>
  </si>
  <si>
    <t>United States</t>
  </si>
  <si>
    <t>AW00027630</t>
  </si>
  <si>
    <t>Xavier Coleman</t>
  </si>
  <si>
    <t>Chula Vista</t>
  </si>
  <si>
    <t>AW00024775</t>
  </si>
  <si>
    <t>Alexandra Alexander</t>
  </si>
  <si>
    <t>Colma</t>
  </si>
  <si>
    <t>AW00018917</t>
  </si>
  <si>
    <t>Jonathan Nelson</t>
  </si>
  <si>
    <t>Spring Valley</t>
  </si>
  <si>
    <t>AW00020653</t>
  </si>
  <si>
    <t>Jessica White</t>
  </si>
  <si>
    <t>San Carlos</t>
  </si>
  <si>
    <t>AW00023878</t>
  </si>
  <si>
    <t>Chloe Wood</t>
  </si>
  <si>
    <t>San Francisco</t>
  </si>
  <si>
    <t>AW00019137</t>
  </si>
  <si>
    <t>Eric Russell</t>
  </si>
  <si>
    <t>Port Orchard</t>
  </si>
  <si>
    <t>Washington</t>
  </si>
  <si>
    <t>AW00018860</t>
  </si>
  <si>
    <t>Sydney Foster</t>
  </si>
  <si>
    <t>Renton</t>
  </si>
  <si>
    <t>AW00018810</t>
  </si>
  <si>
    <t>Casey Dominguez</t>
  </si>
  <si>
    <t>Burien</t>
  </si>
  <si>
    <t>AW00012224</t>
  </si>
  <si>
    <t>Tristan Henderson</t>
  </si>
  <si>
    <t>Leeds</t>
  </si>
  <si>
    <t>England</t>
  </si>
  <si>
    <t>United Kingdom</t>
  </si>
  <si>
    <t>LE18</t>
  </si>
  <si>
    <t>AW00011979</t>
  </si>
  <si>
    <t>Christopher Johnson</t>
  </si>
  <si>
    <t>Victoria</t>
  </si>
  <si>
    <t>British Columbia</t>
  </si>
  <si>
    <t>Canada</t>
  </si>
  <si>
    <t>V8V</t>
  </si>
  <si>
    <t>AW00028272</t>
  </si>
  <si>
    <t>Hunter Jai</t>
  </si>
  <si>
    <t>Sooke</t>
  </si>
  <si>
    <t>V0</t>
  </si>
  <si>
    <t>AW00021043</t>
  </si>
  <si>
    <t>Johnathan McDonald</t>
  </si>
  <si>
    <t>Berlin</t>
  </si>
  <si>
    <t>Hamburg</t>
  </si>
  <si>
    <t>Germany</t>
  </si>
  <si>
    <t>AW00012544</t>
  </si>
  <si>
    <t>Bruce Jordan</t>
  </si>
  <si>
    <t>Kiel</t>
  </si>
  <si>
    <t>Saarland</t>
  </si>
  <si>
    <t>AW00022465</t>
  </si>
  <si>
    <t>Arturo Shan</t>
  </si>
  <si>
    <t>Suresnes</t>
  </si>
  <si>
    <t>Hauts de Seine</t>
  </si>
  <si>
    <t>France</t>
  </si>
  <si>
    <t>AW00024113</t>
  </si>
  <si>
    <t>Stephanie Green</t>
  </si>
  <si>
    <t>Versailles</t>
  </si>
  <si>
    <t>Yveline</t>
  </si>
  <si>
    <t>AW00016268</t>
  </si>
  <si>
    <t>Lindsey Kumar</t>
  </si>
  <si>
    <t>Roissy en Brie</t>
  </si>
  <si>
    <t>Seine et Marne</t>
  </si>
  <si>
    <t>AW00015822</t>
  </si>
  <si>
    <t>Damien Zhu</t>
  </si>
  <si>
    <t>Findon</t>
  </si>
  <si>
    <t>South Australia</t>
  </si>
  <si>
    <t>Australia</t>
  </si>
  <si>
    <t>AW00011027</t>
  </si>
  <si>
    <t>Jessie Zhao</t>
  </si>
  <si>
    <t>Warrnambool</t>
  </si>
  <si>
    <t>AW00026029</t>
  </si>
  <si>
    <t>Roy Vazquez</t>
  </si>
  <si>
    <t>Bendigo</t>
  </si>
  <si>
    <t>AW00028961</t>
  </si>
  <si>
    <t>Mathew Ramos</t>
  </si>
  <si>
    <t>Port Macquarie</t>
  </si>
  <si>
    <t>New South Wales</t>
  </si>
  <si>
    <t>ProductKey</t>
  </si>
  <si>
    <t>Color</t>
  </si>
  <si>
    <t>Model</t>
  </si>
  <si>
    <t>Subcategory</t>
  </si>
  <si>
    <t>Category</t>
  </si>
  <si>
    <t>SKU</t>
  </si>
  <si>
    <t>Black</t>
  </si>
  <si>
    <t>Road-650</t>
  </si>
  <si>
    <t>Road Bikes</t>
  </si>
  <si>
    <t>Bikes</t>
  </si>
  <si>
    <t>Mountain-200</t>
  </si>
  <si>
    <t>Mountain Bikes</t>
  </si>
  <si>
    <t>Clothing</t>
  </si>
  <si>
    <t>Blue</t>
  </si>
  <si>
    <t>Sport-100</t>
  </si>
  <si>
    <t>Helmets</t>
  </si>
  <si>
    <t>Accessories</t>
  </si>
  <si>
    <t>AWC Logo Cap</t>
  </si>
  <si>
    <t>Cycling Cap</t>
  </si>
  <si>
    <t>Caps</t>
  </si>
  <si>
    <t>CA-1098</t>
  </si>
  <si>
    <t>Long-Sleeve Logo Jersey</t>
  </si>
  <si>
    <t>Jerseys</t>
  </si>
  <si>
    <t>Long-Sleeve Logo Jersey, XL</t>
  </si>
  <si>
    <t>LJ-0192-X</t>
  </si>
  <si>
    <t>Red</t>
  </si>
  <si>
    <t>Silver</t>
  </si>
  <si>
    <t>Road-650 Red, 60</t>
  </si>
  <si>
    <t>BK-R50R-60</t>
  </si>
  <si>
    <t>Mountain-200 Silver, 46</t>
  </si>
  <si>
    <t>BK-M68S-46</t>
  </si>
  <si>
    <t>Road-250</t>
  </si>
  <si>
    <t>Yellow</t>
  </si>
  <si>
    <t>Road-550-W</t>
  </si>
  <si>
    <t>Touring Bikes</t>
  </si>
  <si>
    <t>Touring-3000</t>
  </si>
  <si>
    <t>Unit Price</t>
  </si>
  <si>
    <t>Sport-100 Helmet, Black</t>
  </si>
  <si>
    <t>HL-U509</t>
  </si>
  <si>
    <t>Mountain-200 Black, 46</t>
  </si>
  <si>
    <t>BK-M68B-46</t>
  </si>
  <si>
    <t>Road-250 Black, 44</t>
  </si>
  <si>
    <t>BK-R89B-44</t>
  </si>
  <si>
    <t>Road-250 Black, 48</t>
  </si>
  <si>
    <t>BK-R89B-48</t>
  </si>
  <si>
    <t>Women's Mountain Shorts, M</t>
  </si>
  <si>
    <t>Women's Mountain Shorts</t>
  </si>
  <si>
    <t>Shorts</t>
  </si>
  <si>
    <t>SH-W890-M</t>
  </si>
  <si>
    <t>Road-750 Black, 52</t>
  </si>
  <si>
    <t>Road-750</t>
  </si>
  <si>
    <t>BK-R19B-52</t>
  </si>
  <si>
    <t>Sport-100 Helmet, Red</t>
  </si>
  <si>
    <t>HL-U509-R</t>
  </si>
  <si>
    <t>Long-Sleeve Logo Jersey, M</t>
  </si>
  <si>
    <t>LJ-0192-M</t>
  </si>
  <si>
    <t>Mountain-100 Silver, 48</t>
  </si>
  <si>
    <t>Mountain-100</t>
  </si>
  <si>
    <t>BK-M82S-48</t>
  </si>
  <si>
    <t>Mountain-200 Silver, 38</t>
  </si>
  <si>
    <t>BK-M68S-38</t>
  </si>
  <si>
    <t>Road-550-W Yellow, 44</t>
  </si>
  <si>
    <t>BK-R64Y-44</t>
  </si>
  <si>
    <t>Road-550-W Yellow, 48</t>
  </si>
  <si>
    <t>BK-R64Y-48</t>
  </si>
  <si>
    <t>Classic Vest, S</t>
  </si>
  <si>
    <t>Classic Vest</t>
  </si>
  <si>
    <t>Vests</t>
  </si>
  <si>
    <t>VE-C304-S</t>
  </si>
  <si>
    <t>Classic Vest, L</t>
  </si>
  <si>
    <t>VE-C304-L</t>
  </si>
  <si>
    <t>Water Bottle - 30 oz.</t>
  </si>
  <si>
    <t>Water Bottle</t>
  </si>
  <si>
    <t>Bottles and Cages</t>
  </si>
  <si>
    <t>WB-H098</t>
  </si>
  <si>
    <t>Road Bottle Cage</t>
  </si>
  <si>
    <t>BC-R205</t>
  </si>
  <si>
    <t>Patch Kit/8 Patches</t>
  </si>
  <si>
    <t>Patch kit</t>
  </si>
  <si>
    <t>Tires and Tubes</t>
  </si>
  <si>
    <t>PK-7098</t>
  </si>
  <si>
    <t>Racing Socks, L</t>
  </si>
  <si>
    <t>White</t>
  </si>
  <si>
    <t>Racing Socks</t>
  </si>
  <si>
    <t>Socks</t>
  </si>
  <si>
    <t>SO-R809-L</t>
  </si>
  <si>
    <t>Bike Wash - Dissolver</t>
  </si>
  <si>
    <t>Bike Wash</t>
  </si>
  <si>
    <t>Cleaners</t>
  </si>
  <si>
    <t>CL-9009</t>
  </si>
  <si>
    <t>Fender Set - Mountain</t>
  </si>
  <si>
    <t>Fenders</t>
  </si>
  <si>
    <t>FE-6654</t>
  </si>
  <si>
    <t>Hydration Pack - 70 oz.</t>
  </si>
  <si>
    <t>Hydration Pack</t>
  </si>
  <si>
    <t>Hydration Packs</t>
  </si>
  <si>
    <t>HY-1023-70</t>
  </si>
  <si>
    <t>Short-Sleeve Classic Jersey, L</t>
  </si>
  <si>
    <t>Short-Sleeve Classic Jersey</t>
  </si>
  <si>
    <t>SJ-0194-L</t>
  </si>
  <si>
    <t>Mountain Tire Tube</t>
  </si>
  <si>
    <t>TT-M928</t>
  </si>
  <si>
    <t>Road Tire Tube</t>
  </si>
  <si>
    <t>TT-R982</t>
  </si>
  <si>
    <t>Touring Tire Tube</t>
  </si>
  <si>
    <t>TT-T092</t>
  </si>
  <si>
    <t>LL Mountain Tire</t>
  </si>
  <si>
    <t>TI-M267</t>
  </si>
  <si>
    <t>HL Mountain Tire</t>
  </si>
  <si>
    <t>TI-M823</t>
  </si>
  <si>
    <t>ML Road Tire</t>
  </si>
  <si>
    <t>TI-R628</t>
  </si>
  <si>
    <t>HL Road Tire</t>
  </si>
  <si>
    <t>TI-R982</t>
  </si>
  <si>
    <t>Touring Tire</t>
  </si>
  <si>
    <t>TI-T723</t>
  </si>
  <si>
    <t>Touring-1000 Yellow, 54</t>
  </si>
  <si>
    <t>Touring-1000</t>
  </si>
  <si>
    <t>BK-T79Y-54</t>
  </si>
  <si>
    <t>Touring-3000 Yellow, 58</t>
  </si>
  <si>
    <t>BK-T18Y-58</t>
  </si>
  <si>
    <t>Touring-1000 Blue, 60</t>
  </si>
  <si>
    <t>BK-T79U-60</t>
  </si>
  <si>
    <t>Road-350-W Yellow, 40</t>
  </si>
  <si>
    <t>Road-350-W</t>
  </si>
  <si>
    <t>BK-R79Y-40</t>
  </si>
  <si>
    <t>Mountain-500 Silver, 40</t>
  </si>
  <si>
    <t>Mountain-500</t>
  </si>
  <si>
    <t>BK-M18S-40</t>
  </si>
  <si>
    <t>Product Name</t>
  </si>
  <si>
    <t>CodCliente</t>
  </si>
  <si>
    <t>CodProducto</t>
  </si>
  <si>
    <t>Fecha Orden</t>
  </si>
  <si>
    <t>Cant Orden</t>
  </si>
  <si>
    <t>Precio Unit.</t>
  </si>
  <si>
    <t>CodVenta</t>
  </si>
  <si>
    <t>Subtotal</t>
  </si>
  <si>
    <t>Total</t>
  </si>
  <si>
    <t>Cliente</t>
  </si>
  <si>
    <t>Producto</t>
  </si>
  <si>
    <t>Impuesto</t>
  </si>
  <si>
    <t>Concepto</t>
  </si>
  <si>
    <t>Valor</t>
  </si>
  <si>
    <t>Año</t>
  </si>
  <si>
    <t>Mes</t>
  </si>
  <si>
    <t>Categoría</t>
  </si>
  <si>
    <t>Fecha</t>
  </si>
  <si>
    <t>Cant. Vendido</t>
  </si>
  <si>
    <t>Venta Total</t>
  </si>
  <si>
    <t>Ventas por Año</t>
  </si>
  <si>
    <t>Total Ventas</t>
  </si>
  <si>
    <t>Monto Ventas</t>
  </si>
  <si>
    <t>Top 5 Clientes</t>
  </si>
  <si>
    <t>Estado General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</si>
</sst>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3">
    <xf numFmtId="0" fontId="0" fillId="0" borderId="0"/>
    <xf numFmtId="0" fontId="3" fillId="0" borderId="8" applyNumberFormat="0" applyFill="0" applyAlignment="0" applyProtection="0"/>
    <xf numFmtId="0" fontId="4" fillId="0" borderId="9" applyNumberFormat="0" applyFill="0" applyAlignment="0" applyProtection="0"/>
  </cellStyleXfs>
  <cellXfs count="27">
    <xf numFmtId="0" fontId="0" fillId="0" borderId="0" xfId="0"/>
    <xf numFmtId="0" fontId="1" fillId="0" borderId="5" xfId="0" applyFont="1" applyBorder="1"/>
    <xf numFmtId="0" fontId="0" fillId="0" borderId="2" xfId="0" applyBorder="1"/>
    <xf numFmtId="0" fontId="0" fillId="0" borderId="7" xfId="0" applyBorder="1"/>
    <xf numFmtId="14" fontId="1" fillId="0" borderId="5" xfId="0" applyNumberFormat="1" applyFont="1" applyBorder="1"/>
    <xf numFmtId="14" fontId="0" fillId="0" borderId="2" xfId="0" applyNumberFormat="1" applyBorder="1"/>
    <xf numFmtId="14" fontId="0" fillId="0" borderId="7" xfId="0" applyNumberFormat="1" applyBorder="1"/>
    <xf numFmtId="14" fontId="0" fillId="0" borderId="0" xfId="0" applyNumberFormat="1"/>
    <xf numFmtId="0" fontId="1" fillId="0" borderId="4" xfId="0" applyFont="1" applyBorder="1"/>
    <xf numFmtId="0" fontId="1" fillId="0" borderId="6" xfId="0" applyFont="1" applyBorder="1"/>
    <xf numFmtId="0" fontId="0" fillId="0" borderId="1" xfId="0" applyBorder="1"/>
    <xf numFmtId="0" fontId="0" fillId="0" borderId="3" xfId="0" applyBorder="1"/>
    <xf numFmtId="164" fontId="0" fillId="0" borderId="2" xfId="0" applyNumberFormat="1" applyBorder="1"/>
    <xf numFmtId="164" fontId="0" fillId="0" borderId="7" xfId="0" applyNumberFormat="1" applyBorder="1"/>
    <xf numFmtId="165" fontId="0" fillId="0" borderId="0" xfId="0" applyNumberFormat="1"/>
    <xf numFmtId="0" fontId="1" fillId="2" borderId="10" xfId="0" applyFont="1" applyFill="1" applyBorder="1"/>
    <xf numFmtId="0" fontId="1" fillId="2" borderId="11" xfId="0" applyFont="1" applyFill="1" applyBorder="1"/>
    <xf numFmtId="0" fontId="0" fillId="0" borderId="12" xfId="0" applyBorder="1"/>
    <xf numFmtId="9" fontId="0" fillId="0" borderId="13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7" fontId="0" fillId="0" borderId="0" xfId="0" applyNumberFormat="1"/>
    <xf numFmtId="0" fontId="3" fillId="0" borderId="8" xfId="1"/>
    <xf numFmtId="0" fontId="4" fillId="0" borderId="9" xfId="2"/>
    <xf numFmtId="165" fontId="4" fillId="0" borderId="9" xfId="2" applyNumberFormat="1"/>
    <xf numFmtId="0" fontId="4" fillId="3" borderId="5" xfId="0" applyFont="1" applyFill="1" applyBorder="1"/>
    <xf numFmtId="0" fontId="5" fillId="0" borderId="0" xfId="0" applyFont="1" applyAlignment="1">
      <alignment horizontal="center"/>
    </xf>
  </cellXfs>
  <cellStyles count="3">
    <cellStyle name="Normal" xfId="0" builtinId="0"/>
    <cellStyle name="Título 3" xfId="1" builtinId="18"/>
    <cellStyle name="Total" xfId="2" builtinId="25"/>
  </cellStyles>
  <dxfs count="35"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0" formatCode="General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5" formatCode="_-[$$-409]* #,##0.00_ ;_-[$$-409]* \-#,##0.00\ ;_-[$$-409]* &quot;-&quot;??_ ;_-@_ "/>
      <fill>
        <patternFill patternType="none">
          <fgColor indexed="64"/>
          <bgColor auto="1"/>
        </patternFill>
      </fill>
    </dxf>
    <dxf>
      <numFmt numFmtId="165" formatCode="_-[$$-409]* #,##0.00_ ;_-[$$-409]* \-#,##0.00\ ;_-[$$-409]* &quot;-&quot;??_ ;_-@_ "/>
      <fill>
        <patternFill patternType="none">
          <fgColor indexed="64"/>
          <bgColor auto="1"/>
        </patternFill>
      </fill>
    </dxf>
    <dxf>
      <numFmt numFmtId="165" formatCode="_-[$$-409]* #,##0.00_ ;_-[$$-409]* \-#,##0.00\ ;_-[$$-409]* &quot;-&quot;??_ ;_-@_ "/>
      <fill>
        <patternFill patternType="none">
          <fgColor indexed="64"/>
          <bgColor auto="1"/>
        </patternFill>
      </fill>
    </dxf>
    <dxf>
      <numFmt numFmtId="165" formatCode="_-[$$-409]* #,##0.00_ ;_-[$$-409]* \-#,##0.00\ ;_-[$$-409]* &quot;-&quot;??_ ;_-@_ "/>
      <fill>
        <patternFill patternType="none">
          <fgColor indexed="64"/>
          <bgColor auto="1"/>
        </patternFill>
      </fill>
    </dxf>
    <dxf>
      <numFmt numFmtId="165" formatCode="_-[$$-409]* #,##0.00_ ;_-[$$-409]* \-#,##0.00\ ;_-[$$-409]* &quot;-&quot;??_ ;_-@_ "/>
      <fill>
        <patternFill patternType="none">
          <fgColor indexed="64"/>
          <bgColor auto="1"/>
        </patternFill>
      </fill>
    </dxf>
    <dxf>
      <numFmt numFmtId="164" formatCode="&quot;$&quot;#,##0.00_);[Red]\(&quot;$&quot;#,##0.00\)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m/dd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FEEE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[Analisis_de_Dastos_prueba_Práctica.xlsx]Análisis!TablaDinámica1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Análisis!$B$3:$B$4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Análisis!$A$5:$A$7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Análisis!$B$5:$B$7</c:f>
              <c:numCache>
                <c:formatCode>_-[$$-409]* #,##0.00_ ;_-[$$-409]* \-#,##0.00\ ;_-[$$-409]* "-"??_ ;_-@_ </c:formatCode>
                <c:ptCount val="3"/>
                <c:pt idx="0">
                  <c:v>4245.549</c:v>
                </c:pt>
                <c:pt idx="1">
                  <c:v>126897.99100000001</c:v>
                </c:pt>
                <c:pt idx="2">
                  <c:v>2823.6230000000005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5-4AF0-AA20-9A9160B3EA7D}"/>
            </c:ext>
          </c:extLst>
        </c:ser>
        <c:ser>
          <c:idx val="1"/>
          <c:order val="1"/>
          <c:tx>
            <c:strRef>
              <c:f>Análisis!$C$3:$C$4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Análisis!$A$5:$A$7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Análisis!$C$5:$C$7</c:f>
              <c:numCache>
                <c:formatCode>_-[$$-409]* #,##0.00_ ;_-[$$-409]* \-#,##0.00\ ;_-[$$-409]* "-"??_ ;_-@_ </c:formatCode>
                <c:ptCount val="3"/>
                <c:pt idx="0">
                  <c:v>2462.4710000000005</c:v>
                </c:pt>
                <c:pt idx="1">
                  <c:v>74154.008499999996</c:v>
                </c:pt>
                <c:pt idx="2">
                  <c:v>1448.4360000000001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5-4AF0-AA20-9A9160B3E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1373664"/>
        <c:axId val="571371584"/>
        <c:axId val="0"/>
      </c:bar3DChart>
      <c:catAx>
        <c:axId val="5713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71371584"/>
        <c:crosses val="autoZero"/>
        <c:auto val="1"/>
        <c:lblAlgn val="ctr"/>
        <c:lblOffset val="100"/>
        <c:noMultiLvlLbl val="0"/>
      </c:catAx>
      <c:valAx>
        <c:axId val="5713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713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Evolución</a:t>
            </a:r>
            <a:r>
              <a:rPr lang="en-US" sz="1400" baseline="0"/>
              <a:t> ventas x 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Análisis!$C$23</c:f>
              <c:strCache>
                <c:ptCount val="1"/>
                <c:pt idx="0">
                  <c:v>Bikes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numRef>
              <c:f>Análisis!$A$24:$A$29</c:f>
              <c:numCache>
                <c:formatCode>mmm\-yy</c:formatCode>
                <c:ptCount val="6"/>
                <c:pt idx="0">
                  <c:v>44104</c:v>
                </c:pt>
                <c:pt idx="1">
                  <c:v>44135</c:v>
                </c:pt>
                <c:pt idx="2">
                  <c:v>44165</c:v>
                </c:pt>
                <c:pt idx="3">
                  <c:v>44196</c:v>
                </c:pt>
                <c:pt idx="4">
                  <c:v>44227</c:v>
                </c:pt>
                <c:pt idx="5">
                  <c:v>44255</c:v>
                </c:pt>
              </c:numCache>
            </c:numRef>
          </c:cat>
          <c:val>
            <c:numRef>
              <c:f>Análisis!$C$24:$C$29</c:f>
              <c:numCache>
                <c:formatCode>_-[$$-409]* #,##0.00_ ;_-[$$-409]* \-#,##0.00\ ;_-[$$-409]* "-"??_ ;_-@_ </c:formatCode>
                <c:ptCount val="6"/>
                <c:pt idx="0">
                  <c:v>12325.39</c:v>
                </c:pt>
                <c:pt idx="1">
                  <c:v>40406.487000000001</c:v>
                </c:pt>
                <c:pt idx="2">
                  <c:v>105396.51100000001</c:v>
                </c:pt>
                <c:pt idx="3">
                  <c:v>126897.99100000001</c:v>
                </c:pt>
                <c:pt idx="4">
                  <c:v>183158.65150000001</c:v>
                </c:pt>
                <c:pt idx="5">
                  <c:v>201051.99950000001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B-4FE9-837C-8781541E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81308736"/>
        <c:axId val="581309568"/>
      </c:barChart>
      <c:lineChart>
        <c:grouping val="standard"/>
        <c:varyColors val="0"/>
        <c:ser>
          <c:idx val="1"/>
          <c:order val="1"/>
          <c:tx>
            <c:strRef>
              <c:f>Análisis!$D$23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Análisis!$A$24:$A$29</c:f>
              <c:numCache>
                <c:formatCode>mmm\-yy</c:formatCode>
                <c:ptCount val="6"/>
                <c:pt idx="0">
                  <c:v>44104</c:v>
                </c:pt>
                <c:pt idx="1">
                  <c:v>44135</c:v>
                </c:pt>
                <c:pt idx="2">
                  <c:v>44165</c:v>
                </c:pt>
                <c:pt idx="3">
                  <c:v>44196</c:v>
                </c:pt>
                <c:pt idx="4">
                  <c:v>44227</c:v>
                </c:pt>
                <c:pt idx="5">
                  <c:v>44255</c:v>
                </c:pt>
              </c:numCache>
            </c:numRef>
          </c:cat>
          <c:val>
            <c:numRef>
              <c:f>Análisis!$D$24:$D$29</c:f>
              <c:numCache>
                <c:formatCode>_-[$$-409]* #,##0.00_ ;_-[$$-409]* \-#,##0.00\ ;_-[$$-409]* "-"??_ ;_-@_ </c:formatCode>
                <c:ptCount val="6"/>
                <c:pt idx="0">
                  <c:v>467.80799999999999</c:v>
                </c:pt>
                <c:pt idx="1">
                  <c:v>2212.0450000000001</c:v>
                </c:pt>
                <c:pt idx="2">
                  <c:v>3686.3640000000005</c:v>
                </c:pt>
                <c:pt idx="3">
                  <c:v>4245.549</c:v>
                </c:pt>
                <c:pt idx="4">
                  <c:v>6126.527</c:v>
                </c:pt>
                <c:pt idx="5">
                  <c:v>6708.0199999999977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B-4FE9-837C-8781541E3575}"/>
            </c:ext>
          </c:extLst>
        </c:ser>
        <c:ser>
          <c:idx val="2"/>
          <c:order val="2"/>
          <c:tx>
            <c:strRef>
              <c:f>Análisis!$E$23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Análisis!$A$24:$A$29</c:f>
              <c:numCache>
                <c:formatCode>mmm\-yy</c:formatCode>
                <c:ptCount val="6"/>
                <c:pt idx="0">
                  <c:v>44104</c:v>
                </c:pt>
                <c:pt idx="1">
                  <c:v>44135</c:v>
                </c:pt>
                <c:pt idx="2">
                  <c:v>44165</c:v>
                </c:pt>
                <c:pt idx="3">
                  <c:v>44196</c:v>
                </c:pt>
                <c:pt idx="4">
                  <c:v>44227</c:v>
                </c:pt>
                <c:pt idx="5">
                  <c:v>44255</c:v>
                </c:pt>
              </c:numCache>
            </c:numRef>
          </c:cat>
          <c:val>
            <c:numRef>
              <c:f>Análisis!$E$24:$E$29</c:f>
              <c:numCache>
                <c:formatCode>_-[$$-409]* #,##0.00_ ;_-[$$-409]* \-#,##0.00\ ;_-[$$-409]* "-"??_ ;_-@_ </c:formatCode>
                <c:ptCount val="6"/>
                <c:pt idx="0">
                  <c:v>439.91200000000003</c:v>
                </c:pt>
                <c:pt idx="1">
                  <c:v>943.61300000000006</c:v>
                </c:pt>
                <c:pt idx="2">
                  <c:v>1756.8869999999999</c:v>
                </c:pt>
                <c:pt idx="3">
                  <c:v>2823.6230000000005</c:v>
                </c:pt>
                <c:pt idx="4">
                  <c:v>4132.3590000000004</c:v>
                </c:pt>
                <c:pt idx="5">
                  <c:v>4272.0590000000002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EB-4FE9-837C-8781541E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524640"/>
        <c:axId val="784530464"/>
      </c:lineChart>
      <c:dateAx>
        <c:axId val="5813087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81309568"/>
        <c:crosses val="autoZero"/>
        <c:auto val="1"/>
        <c:lblOffset val="100"/>
        <c:baseTimeUnit val="months"/>
      </c:dateAx>
      <c:valAx>
        <c:axId val="5813095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81308736"/>
        <c:crosses val="autoZero"/>
        <c:crossBetween val="between"/>
      </c:valAx>
      <c:valAx>
        <c:axId val="784530464"/>
        <c:scaling>
          <c:orientation val="minMax"/>
        </c:scaling>
        <c:delete val="0"/>
        <c:axPos val="r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84524640"/>
        <c:crosses val="max"/>
        <c:crossBetween val="between"/>
      </c:valAx>
      <c:dateAx>
        <c:axId val="7845246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78453046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Rendimiento mensual x 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Análisis!$C$32</c:f>
              <c:strCache>
                <c:ptCount val="1"/>
                <c:pt idx="0">
                  <c:v>Bikes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numRef>
              <c:f>Análisis!$A$33:$A$38</c:f>
              <c:numCache>
                <c:formatCode>mmm\-yy</c:formatCode>
                <c:ptCount val="6"/>
                <c:pt idx="0">
                  <c:v>44104</c:v>
                </c:pt>
                <c:pt idx="1">
                  <c:v>44135</c:v>
                </c:pt>
                <c:pt idx="2">
                  <c:v>44165</c:v>
                </c:pt>
                <c:pt idx="3">
                  <c:v>44196</c:v>
                </c:pt>
                <c:pt idx="4">
                  <c:v>44227</c:v>
                </c:pt>
                <c:pt idx="5">
                  <c:v>44255</c:v>
                </c:pt>
              </c:numCache>
            </c:numRef>
          </c:cat>
          <c:val>
            <c:numRef>
              <c:f>Análisis!$C$33:$C$38</c:f>
              <c:numCache>
                <c:formatCode>_-[$$-409]* #,##0.00_ ;_-[$$-409]* \-#,##0.00\ ;_-[$$-409]* "-"??_ ;_-@_ </c:formatCode>
                <c:ptCount val="6"/>
                <c:pt idx="0">
                  <c:v>12325.39</c:v>
                </c:pt>
                <c:pt idx="1">
                  <c:v>28081.097000000002</c:v>
                </c:pt>
                <c:pt idx="2">
                  <c:v>64990.023999999998</c:v>
                </c:pt>
                <c:pt idx="3">
                  <c:v>21501.48</c:v>
                </c:pt>
                <c:pt idx="4">
                  <c:v>56260.660500000005</c:v>
                </c:pt>
                <c:pt idx="5">
                  <c:v>17893.347999999998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8-4CB9-B058-3621EB96B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81308736"/>
        <c:axId val="581309568"/>
      </c:barChart>
      <c:lineChart>
        <c:grouping val="standard"/>
        <c:varyColors val="0"/>
        <c:ser>
          <c:idx val="1"/>
          <c:order val="1"/>
          <c:tx>
            <c:strRef>
              <c:f>Análisis!$D$32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Análisis!$A$33:$A$38</c:f>
              <c:numCache>
                <c:formatCode>mmm\-yy</c:formatCode>
                <c:ptCount val="6"/>
                <c:pt idx="0">
                  <c:v>44104</c:v>
                </c:pt>
                <c:pt idx="1">
                  <c:v>44135</c:v>
                </c:pt>
                <c:pt idx="2">
                  <c:v>44165</c:v>
                </c:pt>
                <c:pt idx="3">
                  <c:v>44196</c:v>
                </c:pt>
                <c:pt idx="4">
                  <c:v>44227</c:v>
                </c:pt>
                <c:pt idx="5">
                  <c:v>44255</c:v>
                </c:pt>
              </c:numCache>
            </c:numRef>
          </c:cat>
          <c:val>
            <c:numRef>
              <c:f>Análisis!$D$33:$D$38</c:f>
              <c:numCache>
                <c:formatCode>_-[$$-409]* #,##0.00_ ;_-[$$-409]* \-#,##0.00\ ;_-[$$-409]* "-"??_ ;_-@_ </c:formatCode>
                <c:ptCount val="6"/>
                <c:pt idx="0">
                  <c:v>467.80799999999999</c:v>
                </c:pt>
                <c:pt idx="1">
                  <c:v>1744.2370000000001</c:v>
                </c:pt>
                <c:pt idx="2">
                  <c:v>1474.3190000000002</c:v>
                </c:pt>
                <c:pt idx="3">
                  <c:v>559.18499999999995</c:v>
                </c:pt>
                <c:pt idx="4">
                  <c:v>1880.9780000000001</c:v>
                </c:pt>
                <c:pt idx="5">
                  <c:v>581.49300000000005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8-4CB9-B058-3621EB96B364}"/>
            </c:ext>
          </c:extLst>
        </c:ser>
        <c:ser>
          <c:idx val="2"/>
          <c:order val="2"/>
          <c:tx>
            <c:strRef>
              <c:f>Análisis!$E$32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Análisis!$A$33:$A$38</c:f>
              <c:numCache>
                <c:formatCode>mmm\-yy</c:formatCode>
                <c:ptCount val="6"/>
                <c:pt idx="0">
                  <c:v>44104</c:v>
                </c:pt>
                <c:pt idx="1">
                  <c:v>44135</c:v>
                </c:pt>
                <c:pt idx="2">
                  <c:v>44165</c:v>
                </c:pt>
                <c:pt idx="3">
                  <c:v>44196</c:v>
                </c:pt>
                <c:pt idx="4">
                  <c:v>44227</c:v>
                </c:pt>
                <c:pt idx="5">
                  <c:v>44255</c:v>
                </c:pt>
              </c:numCache>
            </c:numRef>
          </c:cat>
          <c:val>
            <c:numRef>
              <c:f>Análisis!$E$33:$E$38</c:f>
              <c:numCache>
                <c:formatCode>_-[$$-409]* #,##0.00_ ;_-[$$-409]* \-#,##0.00\ ;_-[$$-409]* "-"??_ ;_-@_ </c:formatCode>
                <c:ptCount val="6"/>
                <c:pt idx="0">
                  <c:v>439.91200000000003</c:v>
                </c:pt>
                <c:pt idx="1">
                  <c:v>503.70100000000002</c:v>
                </c:pt>
                <c:pt idx="2">
                  <c:v>813.274</c:v>
                </c:pt>
                <c:pt idx="3">
                  <c:v>1066.7359999999999</c:v>
                </c:pt>
                <c:pt idx="4">
                  <c:v>1308.7359999999999</c:v>
                </c:pt>
                <c:pt idx="5">
                  <c:v>139.69999999999999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8-4CB9-B058-3621EB96B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524640"/>
        <c:axId val="784530464"/>
      </c:lineChart>
      <c:dateAx>
        <c:axId val="5813087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81309568"/>
        <c:crosses val="autoZero"/>
        <c:auto val="1"/>
        <c:lblOffset val="100"/>
        <c:baseTimeUnit val="months"/>
      </c:dateAx>
      <c:valAx>
        <c:axId val="5813095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81308736"/>
        <c:crosses val="autoZero"/>
        <c:crossBetween val="between"/>
      </c:valAx>
      <c:valAx>
        <c:axId val="784530464"/>
        <c:scaling>
          <c:orientation val="minMax"/>
        </c:scaling>
        <c:delete val="0"/>
        <c:axPos val="r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84524640"/>
        <c:crosses val="max"/>
        <c:crossBetween val="between"/>
      </c:valAx>
      <c:dateAx>
        <c:axId val="7845246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78453046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[Analisis_de_Dastos_prueba_Práctica.xlsx]Análisis!TablaDinámica6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DISTRIBUCIÓN</a:t>
            </a:r>
            <a:r>
              <a:rPr lang="en-US" b="1" baseline="0"/>
              <a:t> POR CATEGORÍA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</c:pivotFmt>
      <c:pivotFmt>
        <c:idx val="18"/>
      </c:pivotFmt>
      <c:pivotFmt>
        <c:idx val="19"/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</c:pivotFmt>
      <c:pivotFmt>
        <c:idx val="22"/>
      </c:pivotFmt>
      <c:pivotFmt>
        <c:idx val="23"/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</c:pivotFmt>
      <c:pivotFmt>
        <c:idx val="26"/>
      </c:pivotFmt>
      <c:pivotFmt>
        <c:idx val="27"/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</c:pivotFmt>
      <c:pivotFmt>
        <c:idx val="30"/>
      </c:pivotFmt>
      <c:pivotFmt>
        <c:idx val="31"/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</c:pivotFmt>
      <c:pivotFmt>
        <c:idx val="34"/>
      </c:pivotFmt>
      <c:pivotFmt>
        <c:idx val="35"/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</c:pivotFmt>
      <c:pivotFmt>
        <c:idx val="38"/>
      </c:pivotFmt>
      <c:pivotFmt>
        <c:idx val="39"/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</c:pivotFmt>
      <c:pivotFmt>
        <c:idx val="42"/>
      </c:pivotFmt>
      <c:pivotFmt>
        <c:idx val="43"/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</c:pivotFmt>
      <c:pivotFmt>
        <c:idx val="46"/>
      </c:pivotFmt>
      <c:pivotFmt>
        <c:idx val="47"/>
      </c:pivotFmt>
      <c:pivotFmt>
        <c:idx val="48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8.0459770114942528E-2"/>
              <c:y val="-5.14006890120706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6.8965517241379309E-2"/>
              <c:y val="5.140068901207066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2.2988505747126436E-2"/>
              <c:y val="7.71010335181059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0.19923371647509572"/>
              <c:y val="-1.54202067036211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0.15708812260536398"/>
              <c:y val="8.2241102419312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0.17241379310344829"/>
              <c:y val="-4.62606201108635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Análisis!$B$14</c:f>
              <c:strCache>
                <c:ptCount val="1"/>
                <c:pt idx="0">
                  <c:v>Cant. Vendido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39-4EC6-9A77-6B09EC2089E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39-4EC6-9A77-6B09EC2089E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39-4EC6-9A77-6B09EC2089E1}"/>
              </c:ext>
            </c:extLst>
          </c:dPt>
          <c:dLbls>
            <c:dLbl>
              <c:idx val="0"/>
              <c:layout>
                <c:manualLayout>
                  <c:x val="-8.0459770114942528E-2"/>
                  <c:y val="-5.14006890120706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39-4EC6-9A77-6B09EC2089E1}"/>
                </c:ext>
              </c:extLst>
            </c:dLbl>
            <c:dLbl>
              <c:idx val="1"/>
              <c:layout>
                <c:manualLayout>
                  <c:x val="6.8965517241379309E-2"/>
                  <c:y val="5.14006890120706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39-4EC6-9A77-6B09EC2089E1}"/>
                </c:ext>
              </c:extLst>
            </c:dLbl>
            <c:dLbl>
              <c:idx val="2"/>
              <c:layout>
                <c:manualLayout>
                  <c:x val="2.2988505747126436E-2"/>
                  <c:y val="7.7101033518105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39-4EC6-9A77-6B09EC2089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Análisis!$A$15:$A$17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Análisis!$B$15:$B$17</c:f>
              <c:numCache>
                <c:formatCode>General</c:formatCode>
                <c:ptCount val="3"/>
                <c:pt idx="0">
                  <c:v>129</c:v>
                </c:pt>
                <c:pt idx="1">
                  <c:v>52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39-4EC6-9A77-6B09EC2089E1}"/>
            </c:ext>
          </c:extLst>
        </c:ser>
        <c:ser>
          <c:idx val="1"/>
          <c:order val="1"/>
          <c:tx>
            <c:strRef>
              <c:f>Análisis!$C$14</c:f>
              <c:strCache>
                <c:ptCount val="1"/>
                <c:pt idx="0">
                  <c:v>Venta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0E39-4EC6-9A77-6B09EC2089E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0E39-4EC6-9A77-6B09EC2089E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0E39-4EC6-9A77-6B09EC2089E1}"/>
              </c:ext>
            </c:extLst>
          </c:dPt>
          <c:dLbls>
            <c:dLbl>
              <c:idx val="0"/>
              <c:layout>
                <c:manualLayout>
                  <c:x val="0.19923371647509572"/>
                  <c:y val="-1.5420206703621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E39-4EC6-9A77-6B09EC2089E1}"/>
                </c:ext>
              </c:extLst>
            </c:dLbl>
            <c:dLbl>
              <c:idx val="1"/>
              <c:layout>
                <c:manualLayout>
                  <c:x val="-0.15708812260536398"/>
                  <c:y val="8.2241102419312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E39-4EC6-9A77-6B09EC2089E1}"/>
                </c:ext>
              </c:extLst>
            </c:dLbl>
            <c:dLbl>
              <c:idx val="2"/>
              <c:layout>
                <c:manualLayout>
                  <c:x val="-0.17241379310344829"/>
                  <c:y val="-4.6260620110863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E39-4EC6-9A77-6B09EC2089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Análisis!$A$15:$A$17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Análisis!$C$15:$C$17</c:f>
              <c:numCache>
                <c:formatCode>_-[$$-409]* #,##0.00_ ;_-[$$-409]* \-#,##0.00\ ;_-[$$-409]* "-"??_ ;_-@_ </c:formatCode>
                <c:ptCount val="3"/>
                <c:pt idx="0">
                  <c:v>2462.471</c:v>
                </c:pt>
                <c:pt idx="1">
                  <c:v>74154.008499999996</c:v>
                </c:pt>
                <c:pt idx="2">
                  <c:v>1448.4359999999999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39-4EC6-9A77-6B09EC208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LOS PRINCIPALES CLIENTES POR CONSUMO ANUAL</a:t>
            </a:r>
          </a:p>
        </c:rich>
      </c:tx>
      <c:layout>
        <c:manualLayout>
          <c:xMode val="edge"/>
          <c:yMode val="edge"/>
          <c:x val="0.29115129925635075"/>
          <c:y val="3.0888043408645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0.17861048058647841"/>
          <c:y val="0.19093958833777741"/>
          <c:w val="0.76523775907321934"/>
          <c:h val="0.6896355616232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Análisis!$F$47</c:f>
              <c:strCache>
                <c:ptCount val="1"/>
                <c:pt idx="0">
                  <c:v>Monto 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Análisis!$E$48:$E$52</c:f>
              <c:strCache>
                <c:ptCount val="5"/>
                <c:pt idx="0">
                  <c:v> Jessie Zhao </c:v>
                </c:pt>
                <c:pt idx="1">
                  <c:v> Sydney Foster </c:v>
                </c:pt>
                <c:pt idx="2">
                  <c:v> Stephanie Green </c:v>
                </c:pt>
                <c:pt idx="3">
                  <c:v> Lindsey Kumar </c:v>
                </c:pt>
                <c:pt idx="4">
                  <c:v> Chloe Wood </c:v>
                </c:pt>
              </c:strCache>
            </c:strRef>
          </c:cat>
          <c:val>
            <c:numRef>
              <c:f>Análisis!$F$48:$F$52</c:f>
              <c:numCache>
                <c:formatCode>_-[$$-409]* #,##0.00_ ;_-[$$-409]* \-#,##0.00\ ;_-[$$-409]* "-"??_ ;_-@_ </c:formatCode>
                <c:ptCount val="5"/>
                <c:pt idx="0">
                  <c:v>16727.326000000001</c:v>
                </c:pt>
                <c:pt idx="1">
                  <c:v>13166.901</c:v>
                </c:pt>
                <c:pt idx="2">
                  <c:v>13161.807999999999</c:v>
                </c:pt>
                <c:pt idx="3">
                  <c:v>9638.3760000000002</c:v>
                </c:pt>
                <c:pt idx="4">
                  <c:v>7868.2725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E-4D77-AB01-A455E3662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0626560"/>
        <c:axId val="1430631360"/>
      </c:barChart>
      <c:catAx>
        <c:axId val="143062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430631360"/>
        <c:crosses val="autoZero"/>
        <c:auto val="1"/>
        <c:lblAlgn val="ctr"/>
        <c:lblOffset val="100"/>
        <c:noMultiLvlLbl val="0"/>
      </c:catAx>
      <c:valAx>
        <c:axId val="143063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43062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2</xdr:row>
      <xdr:rowOff>121920</xdr:rowOff>
    </xdr:from>
    <xdr:to>
      <xdr:col>7</xdr:col>
      <xdr:colOff>219076</xdr:colOff>
      <xdr:row>15</xdr:row>
      <xdr:rowOff>816</xdr:rowOff>
    </xdr:to>
    <xdr:graphicFrame macro="">
      <xdr:nvGraphicFramePr>
        <xdr:cNvPr id="10" name="GráficoCategorías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6</xdr:col>
      <xdr:colOff>762000</xdr:colOff>
      <xdr:row>17</xdr:row>
      <xdr:rowOff>118111</xdr:rowOff>
    </xdr:to>
    <xdr:graphicFrame macro="">
      <xdr:nvGraphicFramePr>
        <xdr:cNvPr id="7" name="GráficoEvolucionVentas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20</xdr:row>
      <xdr:rowOff>114299</xdr:rowOff>
    </xdr:from>
    <xdr:to>
      <xdr:col>13</xdr:col>
      <xdr:colOff>438150</xdr:colOff>
      <xdr:row>34</xdr:row>
      <xdr:rowOff>180974</xdr:rowOff>
    </xdr:to>
    <xdr:graphicFrame macro="">
      <xdr:nvGraphicFramePr>
        <xdr:cNvPr id="11" name="GráficoEvolucionVentas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19</xdr:row>
      <xdr:rowOff>85725</xdr:rowOff>
    </xdr:from>
    <xdr:to>
      <xdr:col>5</xdr:col>
      <xdr:colOff>209550</xdr:colOff>
      <xdr:row>33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</xdr:colOff>
      <xdr:row>5</xdr:row>
      <xdr:rowOff>66675</xdr:rowOff>
    </xdr:from>
    <xdr:to>
      <xdr:col>14</xdr:col>
      <xdr:colOff>638174</xdr:colOff>
      <xdr:row>18</xdr:row>
      <xdr:rowOff>57149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8E59CB-0234-4EDA-B163-426BFF7A3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Tagüico" refreshedDate="44449.582293634259" createdVersion="7" refreshedVersion="7" minRefreshableVersion="3" recordCount="100" xr:uid="{EC279656-37C1-40F2-99AC-2DB1757E77E4}">
  <cacheSource type="worksheet">
    <worksheetSource name="Sales"/>
  </cacheSource>
  <cacheFields count="14">
    <cacheField name="CodVenta" numFmtId="0">
      <sharedItems containsSemiMixedTypes="0" containsString="0" containsNumber="1" containsInteger="1" minValue="10088" maxValue="19985"/>
    </cacheField>
    <cacheField name="CodCliente" numFmtId="0">
      <sharedItems containsSemiMixedTypes="0" containsString="0" containsNumber="1" containsInteger="1" minValue="11027" maxValue="28961"/>
    </cacheField>
    <cacheField name="CodProducto" numFmtId="0">
      <sharedItems containsSemiMixedTypes="0" containsString="0" containsNumber="1" containsInteger="1" minValue="214" maxValue="606"/>
    </cacheField>
    <cacheField name="Fecha Orden" numFmtId="14">
      <sharedItems containsSemiMixedTypes="0" containsNonDate="0" containsDate="1" containsString="0" minDate="2020-09-10T00:00:00" maxDate="2021-02-24T00:00:00"/>
    </cacheField>
    <cacheField name="Cant Orden" numFmtId="0">
      <sharedItems containsSemiMixedTypes="0" containsString="0" containsNumber="1" containsInteger="1" minValue="1" maxValue="10"/>
    </cacheField>
    <cacheField name="Precio Unit." numFmtId="164">
      <sharedItems containsSemiMixedTypes="0" containsString="0" containsNumber="1" minValue="2.29" maxValue="3399.99"/>
    </cacheField>
    <cacheField name="Subtotal" numFmtId="165">
      <sharedItems containsSemiMixedTypes="0" containsString="0" containsNumber="1" minValue="4.99" maxValue="27199.919999999998"/>
    </cacheField>
    <cacheField name="Impuesto" numFmtId="165">
      <sharedItems containsSemiMixedTypes="0" containsString="0" containsNumber="1" minValue="0.49900000000000005" maxValue="2719.9920000000002"/>
    </cacheField>
    <cacheField name="Total" numFmtId="165">
      <sharedItems containsSemiMixedTypes="0" containsString="0" containsNumber="1" minValue="5.4889999999999999" maxValue="29919.911999999997"/>
    </cacheField>
    <cacheField name="Cliente" numFmtId="165">
      <sharedItems count="20">
        <s v="Jessie Zhao"/>
        <s v="Christopher Johnson"/>
        <s v="Tristan Henderson"/>
        <s v="Bruce Jordan"/>
        <s v="Damien Zhu"/>
        <s v="Lindsey Kumar"/>
        <s v="Casey Dominguez"/>
        <s v="Sydney Foster"/>
        <s v="Jonathan Nelson"/>
        <s v="Eric Russell"/>
        <s v="Jessica White"/>
        <s v="Johnathan McDonald"/>
        <s v="Arturo Shan"/>
        <s v="Chloe Wood"/>
        <s v="Stephanie Green"/>
        <s v="Alexandra Alexander"/>
        <s v="Roy Vazquez"/>
        <s v="Xavier Coleman"/>
        <s v="Hunter Jai"/>
        <s v="Mathew Ramos"/>
      </sharedItems>
    </cacheField>
    <cacheField name="Producto" numFmtId="165">
      <sharedItems count="39">
        <s v="AWC Logo Cap"/>
        <s v="Mountain-100 Silver, 48"/>
        <s v="Mountain-200 Black, 46"/>
        <s v="Patch Kit/8 Patches"/>
        <s v="Hydration Pack - 70 oz."/>
        <s v="Short-Sleeve Classic Jersey, L"/>
        <s v="Touring Tire Tube"/>
        <s v="Touring Tire"/>
        <s v="Touring-3000 Yellow, 58"/>
        <s v="Mountain-200 Silver, 38"/>
        <s v="Classic Vest, L"/>
        <s v="Water Bottle - 30 oz."/>
        <s v="Road Bottle Cage"/>
        <s v="Bike Wash - Dissolver"/>
        <s v="Fender Set - Mountain"/>
        <s v="Touring-1000 Blue, 60"/>
        <s v="Sport-100 Helmet, Red"/>
        <s v="Long-Sleeve Logo Jersey, M"/>
        <s v="Road Tire Tube"/>
        <s v="ML Road Tire"/>
        <s v="Road-250 Black, 44"/>
        <s v="Mountain Tire Tube"/>
        <s v="LL Mountain Tire"/>
        <s v="Mountain-500 Silver, 40"/>
        <s v="Classic Vest, S"/>
        <s v="Women's Mountain Shorts, M"/>
        <s v="Sport-100 Helmet, Black"/>
        <s v="Mountain-200 Silver, 46"/>
        <s v="HL Mountain Tire"/>
        <s v="Road-750 Black, 52"/>
        <s v="Road-350-W Yellow, 40"/>
        <s v="Road-550-W Yellow, 48"/>
        <s v="Road-250 Black, 48"/>
        <s v="HL Road Tire"/>
        <s v="Road-650 Red, 60"/>
        <s v="Road-550-W Yellow, 44"/>
        <s v="Long-Sleeve Logo Jersey, XL"/>
        <s v="Racing Socks, L"/>
        <s v="Touring-1000 Yellow, 54"/>
      </sharedItems>
    </cacheField>
    <cacheField name="Año" numFmtId="0">
      <sharedItems containsSemiMixedTypes="0" containsString="0" containsNumber="1" containsInteger="1" minValue="2020" maxValue="2021" count="2">
        <n v="2020"/>
        <n v="2021"/>
      </sharedItems>
    </cacheField>
    <cacheField name="Mes" numFmtId="0">
      <sharedItems count="6">
        <s v="noviembre"/>
        <s v="febrero"/>
        <s v="octubre"/>
        <s v="enero"/>
        <s v="diciembre"/>
        <s v="septiembre"/>
      </sharedItems>
    </cacheField>
    <cacheField name="Categoría" numFmtId="165">
      <sharedItems count="3">
        <s v="Clothing"/>
        <s v="Bikes"/>
        <s v="Accessori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5364"/>
    <n v="11027"/>
    <n v="225"/>
    <d v="2020-11-23T00:00:00"/>
    <n v="7"/>
    <n v="8.99"/>
    <n v="62.93"/>
    <n v="6.2930000000000001"/>
    <n v="69.222999999999999"/>
    <x v="0"/>
    <x v="0"/>
    <x v="0"/>
    <x v="0"/>
    <x v="0"/>
  </r>
  <r>
    <n v="17007"/>
    <n v="11027"/>
    <n v="347"/>
    <d v="2020-11-25T00:00:00"/>
    <n v="8"/>
    <n v="3399.99"/>
    <n v="27199.919999999998"/>
    <n v="2719.9920000000002"/>
    <n v="29919.911999999997"/>
    <x v="0"/>
    <x v="1"/>
    <x v="0"/>
    <x v="0"/>
    <x v="1"/>
  </r>
  <r>
    <n v="13874"/>
    <n v="11027"/>
    <n v="363"/>
    <d v="2021-02-04T00:00:00"/>
    <n v="5"/>
    <n v="2294.9899999999998"/>
    <n v="11474.949999999999"/>
    <n v="1147.4949999999999"/>
    <n v="12622.445"/>
    <x v="0"/>
    <x v="2"/>
    <x v="1"/>
    <x v="1"/>
    <x v="1"/>
  </r>
  <r>
    <n v="17472"/>
    <n v="11027"/>
    <n v="480"/>
    <d v="2020-11-14T00:00:00"/>
    <n v="8"/>
    <n v="2.29"/>
    <n v="18.32"/>
    <n v="1.8320000000000001"/>
    <n v="20.152000000000001"/>
    <x v="0"/>
    <x v="3"/>
    <x v="0"/>
    <x v="0"/>
    <x v="2"/>
  </r>
  <r>
    <n v="11457"/>
    <n v="11027"/>
    <n v="487"/>
    <d v="2020-10-09T00:00:00"/>
    <n v="8"/>
    <n v="54.99"/>
    <n v="439.92"/>
    <n v="43.992000000000004"/>
    <n v="483.91200000000003"/>
    <x v="0"/>
    <x v="4"/>
    <x v="0"/>
    <x v="2"/>
    <x v="2"/>
  </r>
  <r>
    <n v="10925"/>
    <n v="11027"/>
    <n v="490"/>
    <d v="2020-10-18T00:00:00"/>
    <n v="2"/>
    <n v="53.99"/>
    <n v="107.98"/>
    <n v="10.798000000000002"/>
    <n v="118.77800000000001"/>
    <x v="0"/>
    <x v="5"/>
    <x v="0"/>
    <x v="2"/>
    <x v="0"/>
  </r>
  <r>
    <n v="19585"/>
    <n v="11027"/>
    <n v="530"/>
    <d v="2021-01-31T00:00:00"/>
    <n v="4"/>
    <n v="4.99"/>
    <n v="19.96"/>
    <n v="1.9960000000000002"/>
    <n v="21.956"/>
    <x v="0"/>
    <x v="6"/>
    <x v="1"/>
    <x v="3"/>
    <x v="2"/>
  </r>
  <r>
    <n v="10828"/>
    <n v="11027"/>
    <n v="541"/>
    <d v="2020-12-06T00:00:00"/>
    <n v="1"/>
    <n v="28.99"/>
    <n v="28.99"/>
    <n v="2.899"/>
    <n v="31.888999999999999"/>
    <x v="0"/>
    <x v="7"/>
    <x v="0"/>
    <x v="4"/>
    <x v="2"/>
  </r>
  <r>
    <n v="19379"/>
    <n v="11027"/>
    <n v="571"/>
    <d v="2021-02-11T00:00:00"/>
    <n v="5"/>
    <n v="742.35"/>
    <n v="3711.75"/>
    <n v="371.17500000000001"/>
    <n v="4082.9250000000002"/>
    <x v="0"/>
    <x v="8"/>
    <x v="1"/>
    <x v="1"/>
    <x v="1"/>
  </r>
  <r>
    <n v="13710"/>
    <n v="11979"/>
    <n v="353"/>
    <d v="2021-01-14T00:00:00"/>
    <n v="1"/>
    <n v="2319.9899999999998"/>
    <n v="2319.9899999999998"/>
    <n v="231.999"/>
    <n v="2551.9889999999996"/>
    <x v="1"/>
    <x v="9"/>
    <x v="1"/>
    <x v="3"/>
    <x v="1"/>
  </r>
  <r>
    <n v="13463"/>
    <n v="11979"/>
    <n v="473"/>
    <d v="2021-02-11T00:00:00"/>
    <n v="2"/>
    <n v="63.5"/>
    <n v="127"/>
    <n v="12.700000000000001"/>
    <n v="139.69999999999999"/>
    <x v="1"/>
    <x v="10"/>
    <x v="1"/>
    <x v="1"/>
    <x v="0"/>
  </r>
  <r>
    <n v="12510"/>
    <n v="11979"/>
    <n v="477"/>
    <d v="2020-11-16T00:00:00"/>
    <n v="2"/>
    <n v="4.99"/>
    <n v="9.98"/>
    <n v="0.99800000000000011"/>
    <n v="10.978"/>
    <x v="1"/>
    <x v="11"/>
    <x v="0"/>
    <x v="0"/>
    <x v="2"/>
  </r>
  <r>
    <n v="10088"/>
    <n v="11979"/>
    <n v="479"/>
    <d v="2020-10-02T00:00:00"/>
    <n v="10"/>
    <n v="8.99"/>
    <n v="89.9"/>
    <n v="8.99"/>
    <n v="98.89"/>
    <x v="1"/>
    <x v="12"/>
    <x v="0"/>
    <x v="2"/>
    <x v="2"/>
  </r>
  <r>
    <n v="15451"/>
    <n v="11979"/>
    <n v="480"/>
    <d v="2021-01-31T00:00:00"/>
    <n v="4"/>
    <n v="2.29"/>
    <n v="9.16"/>
    <n v="0.91600000000000004"/>
    <n v="10.076000000000001"/>
    <x v="1"/>
    <x v="3"/>
    <x v="1"/>
    <x v="3"/>
    <x v="2"/>
  </r>
  <r>
    <n v="10948"/>
    <n v="11979"/>
    <n v="484"/>
    <d v="2021-01-10T00:00:00"/>
    <n v="7"/>
    <n v="7.95"/>
    <n v="55.65"/>
    <n v="5.5650000000000004"/>
    <n v="61.214999999999996"/>
    <x v="1"/>
    <x v="13"/>
    <x v="1"/>
    <x v="3"/>
    <x v="2"/>
  </r>
  <r>
    <n v="12124"/>
    <n v="11979"/>
    <n v="485"/>
    <d v="2020-12-02T00:00:00"/>
    <n v="2"/>
    <n v="21.98"/>
    <n v="43.96"/>
    <n v="4.3959999999999999"/>
    <n v="48.356000000000002"/>
    <x v="1"/>
    <x v="14"/>
    <x v="0"/>
    <x v="4"/>
    <x v="2"/>
  </r>
  <r>
    <n v="13890"/>
    <n v="11979"/>
    <n v="576"/>
    <d v="2020-10-18T00:00:00"/>
    <n v="5"/>
    <n v="2384.0700000000002"/>
    <n v="11920.35"/>
    <n v="1192.0350000000001"/>
    <n v="13112.385"/>
    <x v="1"/>
    <x v="15"/>
    <x v="0"/>
    <x v="2"/>
    <x v="1"/>
  </r>
  <r>
    <n v="14692"/>
    <n v="12224"/>
    <n v="214"/>
    <d v="2021-01-31T00:00:00"/>
    <n v="9"/>
    <n v="34.99"/>
    <n v="314.91000000000003"/>
    <n v="31.491000000000003"/>
    <n v="346.40100000000001"/>
    <x v="2"/>
    <x v="16"/>
    <x v="1"/>
    <x v="3"/>
    <x v="2"/>
  </r>
  <r>
    <n v="12202"/>
    <n v="12224"/>
    <n v="231"/>
    <d v="2020-10-10T00:00:00"/>
    <n v="7"/>
    <n v="49.99"/>
    <n v="349.93"/>
    <n v="34.993000000000002"/>
    <n v="384.923"/>
    <x v="2"/>
    <x v="17"/>
    <x v="0"/>
    <x v="2"/>
    <x v="0"/>
  </r>
  <r>
    <n v="16058"/>
    <n v="12544"/>
    <n v="225"/>
    <d v="2020-12-05T00:00:00"/>
    <n v="8"/>
    <n v="8.99"/>
    <n v="71.92"/>
    <n v="7.1920000000000002"/>
    <n v="79.111999999999995"/>
    <x v="3"/>
    <x v="0"/>
    <x v="0"/>
    <x v="4"/>
    <x v="0"/>
  </r>
  <r>
    <n v="19439"/>
    <n v="15822"/>
    <n v="480"/>
    <d v="2020-12-19T00:00:00"/>
    <n v="9"/>
    <n v="2.29"/>
    <n v="20.61"/>
    <n v="2.0609999999999999"/>
    <n v="22.670999999999999"/>
    <x v="4"/>
    <x v="3"/>
    <x v="0"/>
    <x v="4"/>
    <x v="2"/>
  </r>
  <r>
    <n v="14476"/>
    <n v="15822"/>
    <n v="484"/>
    <d v="2021-01-31T00:00:00"/>
    <n v="1"/>
    <n v="7.95"/>
    <n v="7.95"/>
    <n v="0.79500000000000004"/>
    <n v="8.745000000000001"/>
    <x v="4"/>
    <x v="13"/>
    <x v="1"/>
    <x v="3"/>
    <x v="2"/>
  </r>
  <r>
    <n v="12967"/>
    <n v="15822"/>
    <n v="529"/>
    <d v="2020-10-13T00:00:00"/>
    <n v="10"/>
    <n v="3.99"/>
    <n v="39.900000000000006"/>
    <n v="3.9900000000000007"/>
    <n v="43.890000000000008"/>
    <x v="4"/>
    <x v="18"/>
    <x v="0"/>
    <x v="2"/>
    <x v="2"/>
  </r>
  <r>
    <n v="19199"/>
    <n v="15822"/>
    <n v="529"/>
    <d v="2021-01-10T00:00:00"/>
    <n v="6"/>
    <n v="3.99"/>
    <n v="23.94"/>
    <n v="2.3940000000000001"/>
    <n v="26.334000000000003"/>
    <x v="4"/>
    <x v="18"/>
    <x v="1"/>
    <x v="3"/>
    <x v="2"/>
  </r>
  <r>
    <n v="13298"/>
    <n v="15822"/>
    <n v="539"/>
    <d v="2021-01-25T00:00:00"/>
    <n v="4"/>
    <n v="24.99"/>
    <n v="99.96"/>
    <n v="9.9960000000000004"/>
    <n v="109.95599999999999"/>
    <x v="4"/>
    <x v="19"/>
    <x v="1"/>
    <x v="3"/>
    <x v="2"/>
  </r>
  <r>
    <n v="11543"/>
    <n v="16268"/>
    <n v="373"/>
    <d v="2021-01-17T00:00:00"/>
    <n v="4"/>
    <n v="2181.5625"/>
    <n v="8726.25"/>
    <n v="872.625"/>
    <n v="9598.875"/>
    <x v="5"/>
    <x v="20"/>
    <x v="1"/>
    <x v="3"/>
    <x v="1"/>
  </r>
  <r>
    <n v="15013"/>
    <n v="16268"/>
    <n v="480"/>
    <d v="2020-10-18T00:00:00"/>
    <n v="9"/>
    <n v="2.29"/>
    <n v="20.61"/>
    <n v="2.0609999999999999"/>
    <n v="22.670999999999999"/>
    <x v="5"/>
    <x v="3"/>
    <x v="0"/>
    <x v="2"/>
    <x v="2"/>
  </r>
  <r>
    <n v="16008"/>
    <n v="16268"/>
    <n v="528"/>
    <d v="2020-12-18T00:00:00"/>
    <n v="4"/>
    <n v="4.99"/>
    <n v="19.96"/>
    <n v="1.9960000000000002"/>
    <n v="21.956"/>
    <x v="5"/>
    <x v="21"/>
    <x v="0"/>
    <x v="4"/>
    <x v="2"/>
  </r>
  <r>
    <n v="19116"/>
    <n v="16268"/>
    <n v="535"/>
    <d v="2020-10-19T00:00:00"/>
    <n v="1"/>
    <n v="24.99"/>
    <n v="24.99"/>
    <n v="2.4990000000000001"/>
    <n v="27.488999999999997"/>
    <x v="5"/>
    <x v="22"/>
    <x v="0"/>
    <x v="2"/>
    <x v="2"/>
  </r>
  <r>
    <n v="13111"/>
    <n v="16268"/>
    <n v="591"/>
    <d v="2020-11-28T00:00:00"/>
    <n v="1"/>
    <n v="564.99"/>
    <n v="564.99"/>
    <n v="56.499000000000002"/>
    <n v="621.48900000000003"/>
    <x v="5"/>
    <x v="23"/>
    <x v="0"/>
    <x v="0"/>
    <x v="1"/>
  </r>
  <r>
    <n v="11514"/>
    <n v="18810"/>
    <n v="471"/>
    <d v="2020-11-25T00:00:00"/>
    <n v="3"/>
    <n v="63.5"/>
    <n v="190.5"/>
    <n v="19.05"/>
    <n v="209.55"/>
    <x v="6"/>
    <x v="24"/>
    <x v="0"/>
    <x v="0"/>
    <x v="0"/>
  </r>
  <r>
    <n v="13804"/>
    <n v="18810"/>
    <n v="475"/>
    <d v="2020-12-19T00:00:00"/>
    <n v="9"/>
    <n v="69.989999999999995"/>
    <n v="629.91"/>
    <n v="62.991"/>
    <n v="692.90099999999995"/>
    <x v="6"/>
    <x v="25"/>
    <x v="0"/>
    <x v="4"/>
    <x v="0"/>
  </r>
  <r>
    <n v="19607"/>
    <n v="18860"/>
    <n v="217"/>
    <d v="2020-11-17T00:00:00"/>
    <n v="4"/>
    <n v="34.99"/>
    <n v="139.96"/>
    <n v="13.996000000000002"/>
    <n v="153.95600000000002"/>
    <x v="7"/>
    <x v="26"/>
    <x v="0"/>
    <x v="0"/>
    <x v="2"/>
  </r>
  <r>
    <n v="17024"/>
    <n v="18860"/>
    <n v="357"/>
    <d v="2021-01-27T00:00:00"/>
    <n v="5"/>
    <n v="2319.9899999999998"/>
    <n v="11599.949999999999"/>
    <n v="1159.9949999999999"/>
    <n v="12759.945"/>
    <x v="7"/>
    <x v="27"/>
    <x v="1"/>
    <x v="3"/>
    <x v="1"/>
  </r>
  <r>
    <n v="14030"/>
    <n v="18860"/>
    <n v="528"/>
    <d v="2021-01-24T00:00:00"/>
    <n v="4"/>
    <n v="4.99"/>
    <n v="19.96"/>
    <n v="1.9960000000000002"/>
    <n v="21.956"/>
    <x v="7"/>
    <x v="21"/>
    <x v="1"/>
    <x v="3"/>
    <x v="2"/>
  </r>
  <r>
    <n v="12132"/>
    <n v="18860"/>
    <n v="537"/>
    <d v="2021-01-07T00:00:00"/>
    <n v="10"/>
    <n v="35"/>
    <n v="350"/>
    <n v="35"/>
    <n v="385"/>
    <x v="7"/>
    <x v="28"/>
    <x v="1"/>
    <x v="3"/>
    <x v="2"/>
  </r>
  <r>
    <n v="16212"/>
    <n v="18917"/>
    <n v="477"/>
    <d v="2020-10-23T00:00:00"/>
    <n v="7"/>
    <n v="4.99"/>
    <n v="34.93"/>
    <n v="3.4930000000000003"/>
    <n v="38.423000000000002"/>
    <x v="8"/>
    <x v="11"/>
    <x v="0"/>
    <x v="2"/>
    <x v="2"/>
  </r>
  <r>
    <n v="17232"/>
    <n v="18917"/>
    <n v="479"/>
    <d v="2020-10-24T00:00:00"/>
    <n v="1"/>
    <n v="8.99"/>
    <n v="8.99"/>
    <n v="0.89900000000000002"/>
    <n v="9.8889999999999993"/>
    <x v="8"/>
    <x v="12"/>
    <x v="0"/>
    <x v="2"/>
    <x v="2"/>
  </r>
  <r>
    <n v="10317"/>
    <n v="18917"/>
    <n v="490"/>
    <d v="2021-01-14T00:00:00"/>
    <n v="8"/>
    <n v="53.99"/>
    <n v="431.92"/>
    <n v="43.192000000000007"/>
    <n v="475.11200000000002"/>
    <x v="8"/>
    <x v="5"/>
    <x v="1"/>
    <x v="3"/>
    <x v="0"/>
  </r>
  <r>
    <n v="16254"/>
    <n v="18917"/>
    <n v="606"/>
    <d v="2021-02-08T00:00:00"/>
    <n v="2"/>
    <n v="539.99"/>
    <n v="1079.98"/>
    <n v="107.998"/>
    <n v="1187.9780000000001"/>
    <x v="8"/>
    <x v="29"/>
    <x v="1"/>
    <x v="1"/>
    <x v="1"/>
  </r>
  <r>
    <n v="15824"/>
    <n v="19137"/>
    <n v="217"/>
    <d v="2021-02-17T00:00:00"/>
    <n v="5"/>
    <n v="34.99"/>
    <n v="174.95000000000002"/>
    <n v="17.495000000000001"/>
    <n v="192.44500000000002"/>
    <x v="9"/>
    <x v="26"/>
    <x v="1"/>
    <x v="1"/>
    <x v="2"/>
  </r>
  <r>
    <n v="12838"/>
    <n v="19137"/>
    <n v="580"/>
    <d v="2020-10-14T00:00:00"/>
    <n v="8"/>
    <n v="1700.99"/>
    <n v="13607.92"/>
    <n v="1360.7920000000001"/>
    <n v="14968.712"/>
    <x v="9"/>
    <x v="30"/>
    <x v="0"/>
    <x v="2"/>
    <x v="1"/>
  </r>
  <r>
    <n v="18791"/>
    <n v="20653"/>
    <n v="217"/>
    <d v="2020-10-02T00:00:00"/>
    <n v="4"/>
    <n v="34.99"/>
    <n v="139.96"/>
    <n v="13.996000000000002"/>
    <n v="153.95600000000002"/>
    <x v="10"/>
    <x v="26"/>
    <x v="0"/>
    <x v="2"/>
    <x v="2"/>
  </r>
  <r>
    <n v="18618"/>
    <n v="20653"/>
    <n v="390"/>
    <d v="2020-11-05T00:00:00"/>
    <n v="9"/>
    <n v="1120.49"/>
    <n v="10084.41"/>
    <n v="1008.441"/>
    <n v="11092.851000000001"/>
    <x v="10"/>
    <x v="31"/>
    <x v="0"/>
    <x v="0"/>
    <x v="1"/>
  </r>
  <r>
    <n v="12481"/>
    <n v="21043"/>
    <n v="217"/>
    <d v="2020-10-02T00:00:00"/>
    <n v="4"/>
    <n v="34.99"/>
    <n v="139.96"/>
    <n v="13.996000000000002"/>
    <n v="153.95600000000002"/>
    <x v="11"/>
    <x v="26"/>
    <x v="0"/>
    <x v="2"/>
    <x v="2"/>
  </r>
  <r>
    <n v="18173"/>
    <n v="21043"/>
    <n v="477"/>
    <d v="2021-02-11T00:00:00"/>
    <n v="9"/>
    <n v="4.99"/>
    <n v="44.910000000000004"/>
    <n v="4.4910000000000005"/>
    <n v="49.401000000000003"/>
    <x v="11"/>
    <x v="11"/>
    <x v="1"/>
    <x v="1"/>
    <x v="2"/>
  </r>
  <r>
    <n v="19985"/>
    <n v="22465"/>
    <n v="217"/>
    <d v="2020-11-27T00:00:00"/>
    <n v="8"/>
    <n v="34.99"/>
    <n v="279.92"/>
    <n v="27.992000000000004"/>
    <n v="307.91200000000003"/>
    <x v="12"/>
    <x v="26"/>
    <x v="0"/>
    <x v="0"/>
    <x v="2"/>
  </r>
  <r>
    <n v="17847"/>
    <n v="22465"/>
    <n v="376"/>
    <d v="2020-12-30T00:00:00"/>
    <n v="8"/>
    <n v="2443.35"/>
    <n v="19546.8"/>
    <n v="1954.68"/>
    <n v="21501.48"/>
    <x v="12"/>
    <x v="32"/>
    <x v="0"/>
    <x v="4"/>
    <x v="1"/>
  </r>
  <r>
    <n v="15000"/>
    <n v="22465"/>
    <n v="477"/>
    <d v="2021-02-10T00:00:00"/>
    <n v="7"/>
    <n v="4.99"/>
    <n v="34.93"/>
    <n v="3.4930000000000003"/>
    <n v="38.423000000000002"/>
    <x v="12"/>
    <x v="11"/>
    <x v="1"/>
    <x v="1"/>
    <x v="2"/>
  </r>
  <r>
    <n v="11643"/>
    <n v="22465"/>
    <n v="479"/>
    <d v="2020-10-22T00:00:00"/>
    <n v="2"/>
    <n v="8.99"/>
    <n v="17.98"/>
    <n v="1.798"/>
    <n v="19.777999999999999"/>
    <x v="12"/>
    <x v="12"/>
    <x v="0"/>
    <x v="2"/>
    <x v="2"/>
  </r>
  <r>
    <n v="16663"/>
    <n v="23878"/>
    <n v="214"/>
    <d v="2020-11-22T00:00:00"/>
    <n v="9"/>
    <n v="34.99"/>
    <n v="314.91000000000003"/>
    <n v="31.491000000000003"/>
    <n v="346.40100000000001"/>
    <x v="13"/>
    <x v="16"/>
    <x v="0"/>
    <x v="0"/>
    <x v="2"/>
  </r>
  <r>
    <n v="15422"/>
    <n v="23878"/>
    <n v="477"/>
    <d v="2020-12-09T00:00:00"/>
    <n v="6"/>
    <n v="4.99"/>
    <n v="29.94"/>
    <n v="2.9940000000000002"/>
    <n v="32.934000000000005"/>
    <x v="13"/>
    <x v="11"/>
    <x v="0"/>
    <x v="4"/>
    <x v="2"/>
  </r>
  <r>
    <n v="18985"/>
    <n v="23878"/>
    <n v="479"/>
    <d v="2021-02-11T00:00:00"/>
    <n v="10"/>
    <n v="8.99"/>
    <n v="89.9"/>
    <n v="8.99"/>
    <n v="98.89"/>
    <x v="13"/>
    <x v="12"/>
    <x v="1"/>
    <x v="1"/>
    <x v="2"/>
  </r>
  <r>
    <n v="16251"/>
    <n v="23878"/>
    <n v="606"/>
    <d v="2021-01-23T00:00:00"/>
    <n v="5"/>
    <n v="539.99"/>
    <n v="2699.95"/>
    <n v="269.995"/>
    <n v="2969.9449999999997"/>
    <x v="13"/>
    <x v="29"/>
    <x v="1"/>
    <x v="3"/>
    <x v="1"/>
  </r>
  <r>
    <n v="14210"/>
    <n v="24113"/>
    <n v="214"/>
    <d v="2021-01-13T00:00:00"/>
    <n v="2"/>
    <n v="34.99"/>
    <n v="69.98"/>
    <n v="6.9980000000000011"/>
    <n v="76.978000000000009"/>
    <x v="14"/>
    <x v="16"/>
    <x v="1"/>
    <x v="3"/>
    <x v="2"/>
  </r>
  <r>
    <n v="16912"/>
    <n v="24113"/>
    <n v="530"/>
    <d v="2020-09-29T00:00:00"/>
    <n v="9"/>
    <n v="4.99"/>
    <n v="44.910000000000004"/>
    <n v="4.4910000000000005"/>
    <n v="49.401000000000003"/>
    <x v="14"/>
    <x v="6"/>
    <x v="0"/>
    <x v="5"/>
    <x v="2"/>
  </r>
  <r>
    <n v="12633"/>
    <n v="24775"/>
    <n v="529"/>
    <d v="2021-01-26T00:00:00"/>
    <n v="7"/>
    <n v="3.99"/>
    <n v="27.93"/>
    <n v="2.7930000000000001"/>
    <n v="30.722999999999999"/>
    <x v="15"/>
    <x v="18"/>
    <x v="1"/>
    <x v="3"/>
    <x v="2"/>
  </r>
  <r>
    <n v="19333"/>
    <n v="24775"/>
    <n v="540"/>
    <d v="2020-09-27T00:00:00"/>
    <n v="9"/>
    <n v="32.6"/>
    <n v="293.40000000000003"/>
    <n v="29.340000000000003"/>
    <n v="322.74"/>
    <x v="15"/>
    <x v="33"/>
    <x v="0"/>
    <x v="5"/>
    <x v="2"/>
  </r>
  <r>
    <n v="17530"/>
    <n v="26029"/>
    <n v="323"/>
    <d v="2021-01-09T00:00:00"/>
    <n v="5"/>
    <n v="782.99"/>
    <n v="3914.95"/>
    <n v="391.495"/>
    <n v="4306.4449999999997"/>
    <x v="16"/>
    <x v="34"/>
    <x v="1"/>
    <x v="3"/>
    <x v="1"/>
  </r>
  <r>
    <n v="12818"/>
    <n v="26029"/>
    <n v="388"/>
    <d v="2020-09-29T00:00:00"/>
    <n v="10"/>
    <n v="1120.49"/>
    <n v="11204.9"/>
    <n v="1120.49"/>
    <n v="12325.39"/>
    <x v="16"/>
    <x v="35"/>
    <x v="0"/>
    <x v="5"/>
    <x v="1"/>
  </r>
  <r>
    <n v="18172"/>
    <n v="26029"/>
    <n v="480"/>
    <d v="2020-10-10T00:00:00"/>
    <n v="6"/>
    <n v="2.29"/>
    <n v="13.74"/>
    <n v="1.3740000000000001"/>
    <n v="15.114000000000001"/>
    <x v="16"/>
    <x v="3"/>
    <x v="0"/>
    <x v="2"/>
    <x v="2"/>
  </r>
  <r>
    <n v="14646"/>
    <n v="26029"/>
    <n v="539"/>
    <d v="2021-01-30T00:00:00"/>
    <n v="5"/>
    <n v="24.99"/>
    <n v="124.94999999999999"/>
    <n v="12.494999999999999"/>
    <n v="137.44499999999999"/>
    <x v="16"/>
    <x v="19"/>
    <x v="1"/>
    <x v="3"/>
    <x v="2"/>
  </r>
  <r>
    <n v="16448"/>
    <n v="27630"/>
    <n v="225"/>
    <d v="2020-12-30T00:00:00"/>
    <n v="2"/>
    <n v="8.99"/>
    <n v="17.98"/>
    <n v="1.798"/>
    <n v="19.777999999999999"/>
    <x v="17"/>
    <x v="0"/>
    <x v="0"/>
    <x v="4"/>
    <x v="0"/>
  </r>
  <r>
    <n v="16182"/>
    <n v="27630"/>
    <n v="530"/>
    <d v="2020-10-15T00:00:00"/>
    <n v="4"/>
    <n v="4.99"/>
    <n v="19.96"/>
    <n v="1.9960000000000002"/>
    <n v="21.956"/>
    <x v="17"/>
    <x v="6"/>
    <x v="0"/>
    <x v="2"/>
    <x v="2"/>
  </r>
  <r>
    <n v="16261"/>
    <n v="27630"/>
    <n v="541"/>
    <d v="2021-01-09T00:00:00"/>
    <n v="7"/>
    <n v="28.99"/>
    <n v="202.92999999999998"/>
    <n v="20.292999999999999"/>
    <n v="223.22299999999998"/>
    <x v="17"/>
    <x v="7"/>
    <x v="1"/>
    <x v="3"/>
    <x v="2"/>
  </r>
  <r>
    <n v="14423"/>
    <n v="28272"/>
    <n v="214"/>
    <d v="2021-02-17T00:00:00"/>
    <n v="5"/>
    <n v="34.99"/>
    <n v="174.95000000000002"/>
    <n v="17.495000000000001"/>
    <n v="192.44500000000002"/>
    <x v="18"/>
    <x v="16"/>
    <x v="1"/>
    <x v="1"/>
    <x v="2"/>
  </r>
  <r>
    <n v="14088"/>
    <n v="28272"/>
    <n v="237"/>
    <d v="2021-01-18T00:00:00"/>
    <n v="4"/>
    <n v="49.99"/>
    <n v="199.96"/>
    <n v="19.996000000000002"/>
    <n v="219.95600000000002"/>
    <x v="18"/>
    <x v="36"/>
    <x v="1"/>
    <x v="3"/>
    <x v="0"/>
  </r>
  <r>
    <n v="18389"/>
    <n v="28272"/>
    <n v="485"/>
    <d v="2021-01-27T00:00:00"/>
    <n v="3"/>
    <n v="21.98"/>
    <n v="65.94"/>
    <n v="6.5940000000000003"/>
    <n v="72.533999999999992"/>
    <x v="18"/>
    <x v="14"/>
    <x v="1"/>
    <x v="3"/>
    <x v="2"/>
  </r>
  <r>
    <n v="17776"/>
    <n v="28272"/>
    <n v="528"/>
    <d v="2020-11-04T00:00:00"/>
    <n v="1"/>
    <n v="4.99"/>
    <n v="4.99"/>
    <n v="0.49900000000000005"/>
    <n v="5.4889999999999999"/>
    <x v="18"/>
    <x v="21"/>
    <x v="0"/>
    <x v="0"/>
    <x v="2"/>
  </r>
  <r>
    <n v="12639"/>
    <n v="28961"/>
    <n v="217"/>
    <d v="2020-11-12T00:00:00"/>
    <n v="6"/>
    <n v="34.99"/>
    <n v="209.94"/>
    <n v="20.994"/>
    <n v="230.934"/>
    <x v="19"/>
    <x v="26"/>
    <x v="0"/>
    <x v="0"/>
    <x v="2"/>
  </r>
  <r>
    <n v="16520"/>
    <n v="28961"/>
    <n v="231"/>
    <d v="2020-12-16T00:00:00"/>
    <n v="5"/>
    <n v="49.99"/>
    <n v="249.95000000000002"/>
    <n v="24.995000000000005"/>
    <n v="274.94500000000005"/>
    <x v="19"/>
    <x v="17"/>
    <x v="0"/>
    <x v="4"/>
    <x v="0"/>
  </r>
  <r>
    <n v="11812"/>
    <n v="28961"/>
    <n v="482"/>
    <d v="2021-01-25T00:00:00"/>
    <n v="2"/>
    <n v="8.99"/>
    <n v="17.98"/>
    <n v="1.798"/>
    <n v="19.777999999999999"/>
    <x v="19"/>
    <x v="37"/>
    <x v="1"/>
    <x v="3"/>
    <x v="0"/>
  </r>
  <r>
    <n v="14331"/>
    <n v="28961"/>
    <n v="563"/>
    <d v="2020-11-07T00:00:00"/>
    <n v="8"/>
    <n v="2384.0700000000002"/>
    <n v="19072.560000000001"/>
    <n v="1907.2560000000003"/>
    <n v="20979.816000000003"/>
    <x v="19"/>
    <x v="38"/>
    <x v="0"/>
    <x v="0"/>
    <x v="1"/>
  </r>
  <r>
    <n v="12793"/>
    <n v="11979"/>
    <n v="530"/>
    <d v="2020-11-06T00:00:00"/>
    <n v="7"/>
    <n v="4.99"/>
    <n v="34.93"/>
    <n v="3.4930000000000003"/>
    <n v="38.423000000000002"/>
    <x v="1"/>
    <x v="6"/>
    <x v="0"/>
    <x v="0"/>
    <x v="2"/>
  </r>
  <r>
    <n v="12164"/>
    <n v="27630"/>
    <n v="217"/>
    <d v="2020-10-10T00:00:00"/>
    <n v="3"/>
    <n v="34.99"/>
    <n v="104.97"/>
    <n v="10.497"/>
    <n v="115.467"/>
    <x v="17"/>
    <x v="26"/>
    <x v="0"/>
    <x v="2"/>
    <x v="2"/>
  </r>
  <r>
    <n v="18951"/>
    <n v="24113"/>
    <n v="388"/>
    <d v="2021-01-09T00:00:00"/>
    <n v="9"/>
    <n v="1120.49"/>
    <n v="10084.41"/>
    <n v="1008.441"/>
    <n v="11092.851000000001"/>
    <x v="14"/>
    <x v="35"/>
    <x v="1"/>
    <x v="3"/>
    <x v="1"/>
  </r>
  <r>
    <n v="14177"/>
    <n v="27630"/>
    <n v="606"/>
    <d v="2021-01-16T00:00:00"/>
    <n v="1"/>
    <n v="539.99"/>
    <n v="539.99"/>
    <n v="53.999000000000002"/>
    <n v="593.98900000000003"/>
    <x v="17"/>
    <x v="29"/>
    <x v="1"/>
    <x v="3"/>
    <x v="1"/>
  </r>
  <r>
    <n v="10179"/>
    <n v="12224"/>
    <n v="479"/>
    <d v="2021-02-23T00:00:00"/>
    <n v="1"/>
    <n v="8.99"/>
    <n v="8.99"/>
    <n v="0.89900000000000002"/>
    <n v="9.8889999999999993"/>
    <x v="2"/>
    <x v="12"/>
    <x v="1"/>
    <x v="1"/>
    <x v="2"/>
  </r>
  <r>
    <n v="12484"/>
    <n v="11979"/>
    <n v="214"/>
    <d v="2020-11-25T00:00:00"/>
    <n v="6"/>
    <n v="34.99"/>
    <n v="209.94"/>
    <n v="20.994"/>
    <n v="230.934"/>
    <x v="1"/>
    <x v="16"/>
    <x v="0"/>
    <x v="0"/>
    <x v="2"/>
  </r>
  <r>
    <n v="11586"/>
    <n v="28272"/>
    <n v="541"/>
    <d v="2021-01-01T00:00:00"/>
    <n v="4"/>
    <n v="28.99"/>
    <n v="115.96"/>
    <n v="11.596"/>
    <n v="127.556"/>
    <x v="18"/>
    <x v="7"/>
    <x v="1"/>
    <x v="3"/>
    <x v="2"/>
  </r>
  <r>
    <n v="19528"/>
    <n v="21043"/>
    <n v="490"/>
    <d v="2021-01-19T00:00:00"/>
    <n v="10"/>
    <n v="53.99"/>
    <n v="539.9"/>
    <n v="53.99"/>
    <n v="593.89"/>
    <x v="11"/>
    <x v="5"/>
    <x v="1"/>
    <x v="3"/>
    <x v="0"/>
  </r>
  <r>
    <n v="18032"/>
    <n v="12544"/>
    <n v="606"/>
    <d v="2020-11-14T00:00:00"/>
    <n v="4"/>
    <n v="539.99"/>
    <n v="2159.96"/>
    <n v="215.99600000000001"/>
    <n v="2375.9560000000001"/>
    <x v="3"/>
    <x v="29"/>
    <x v="0"/>
    <x v="0"/>
    <x v="1"/>
  </r>
  <r>
    <n v="11838"/>
    <n v="22465"/>
    <n v="217"/>
    <d v="2020-10-18T00:00:00"/>
    <n v="7"/>
    <n v="34.99"/>
    <n v="244.93"/>
    <n v="24.493000000000002"/>
    <n v="269.423"/>
    <x v="12"/>
    <x v="26"/>
    <x v="0"/>
    <x v="2"/>
    <x v="2"/>
  </r>
  <r>
    <n v="10156"/>
    <n v="24113"/>
    <n v="580"/>
    <d v="2021-01-03T00:00:00"/>
    <n v="1"/>
    <n v="1700.99"/>
    <n v="1700.99"/>
    <n v="170.09900000000002"/>
    <n v="1871.0889999999999"/>
    <x v="14"/>
    <x v="30"/>
    <x v="1"/>
    <x v="3"/>
    <x v="1"/>
  </r>
  <r>
    <n v="13107"/>
    <n v="16268"/>
    <n v="529"/>
    <d v="2021-01-25T00:00:00"/>
    <n v="9"/>
    <n v="3.99"/>
    <n v="35.910000000000004"/>
    <n v="3.5910000000000006"/>
    <n v="39.501000000000005"/>
    <x v="5"/>
    <x v="18"/>
    <x v="1"/>
    <x v="3"/>
    <x v="2"/>
  </r>
  <r>
    <n v="11328"/>
    <n v="18917"/>
    <n v="529"/>
    <d v="2020-11-01T00:00:00"/>
    <n v="8"/>
    <n v="3.99"/>
    <n v="31.92"/>
    <n v="3.1920000000000002"/>
    <n v="35.112000000000002"/>
    <x v="8"/>
    <x v="18"/>
    <x v="0"/>
    <x v="0"/>
    <x v="2"/>
  </r>
  <r>
    <n v="13715"/>
    <n v="20653"/>
    <n v="539"/>
    <d v="2020-12-20T00:00:00"/>
    <n v="2"/>
    <n v="24.99"/>
    <n v="49.98"/>
    <n v="4.9980000000000002"/>
    <n v="54.977999999999994"/>
    <x v="10"/>
    <x v="19"/>
    <x v="0"/>
    <x v="4"/>
    <x v="2"/>
  </r>
  <r>
    <n v="14753"/>
    <n v="23878"/>
    <n v="373"/>
    <d v="2021-01-03T00:00:00"/>
    <n v="2"/>
    <n v="2181.5625"/>
    <n v="4363.125"/>
    <n v="436.3125"/>
    <n v="4799.4375"/>
    <x v="13"/>
    <x v="20"/>
    <x v="1"/>
    <x v="3"/>
    <x v="1"/>
  </r>
  <r>
    <n v="14969"/>
    <n v="19137"/>
    <n v="480"/>
    <d v="2020-11-10T00:00:00"/>
    <n v="9"/>
    <n v="2.29"/>
    <n v="20.61"/>
    <n v="2.0609999999999999"/>
    <n v="22.670999999999999"/>
    <x v="9"/>
    <x v="3"/>
    <x v="0"/>
    <x v="0"/>
    <x v="2"/>
  </r>
  <r>
    <n v="11622"/>
    <n v="18917"/>
    <n v="487"/>
    <d v="2021-01-26T00:00:00"/>
    <n v="1"/>
    <n v="54.99"/>
    <n v="54.99"/>
    <n v="5.4990000000000006"/>
    <n v="60.489000000000004"/>
    <x v="8"/>
    <x v="4"/>
    <x v="1"/>
    <x v="3"/>
    <x v="2"/>
  </r>
  <r>
    <n v="18062"/>
    <n v="19137"/>
    <n v="490"/>
    <d v="2020-11-06T00:00:00"/>
    <n v="9"/>
    <n v="53.99"/>
    <n v="485.91"/>
    <n v="48.591000000000008"/>
    <n v="534.50099999999998"/>
    <x v="9"/>
    <x v="5"/>
    <x v="0"/>
    <x v="0"/>
    <x v="0"/>
  </r>
  <r>
    <n v="17831"/>
    <n v="20653"/>
    <n v="530"/>
    <d v="2020-11-04T00:00:00"/>
    <n v="8"/>
    <n v="4.99"/>
    <n v="39.92"/>
    <n v="3.9920000000000004"/>
    <n v="43.911999999999999"/>
    <x v="10"/>
    <x v="6"/>
    <x v="0"/>
    <x v="0"/>
    <x v="2"/>
  </r>
  <r>
    <n v="11286"/>
    <n v="21043"/>
    <n v="541"/>
    <d v="2020-09-10T00:00:00"/>
    <n v="3"/>
    <n v="28.99"/>
    <n v="86.97"/>
    <n v="8.697000000000001"/>
    <n v="95.667000000000002"/>
    <x v="11"/>
    <x v="7"/>
    <x v="0"/>
    <x v="5"/>
    <x v="2"/>
  </r>
  <r>
    <n v="12839"/>
    <n v="22465"/>
    <n v="571"/>
    <d v="2021-01-10T00:00:00"/>
    <n v="7"/>
    <n v="742.35"/>
    <n v="5196.45"/>
    <n v="519.64499999999998"/>
    <n v="5716.0949999999993"/>
    <x v="12"/>
    <x v="8"/>
    <x v="1"/>
    <x v="3"/>
    <x v="1"/>
  </r>
  <r>
    <n v="12824"/>
    <n v="23878"/>
    <n v="237"/>
    <d v="2020-09-22T00:00:00"/>
    <n v="1"/>
    <n v="49.99"/>
    <n v="49.99"/>
    <n v="4.9990000000000006"/>
    <n v="54.989000000000004"/>
    <x v="13"/>
    <x v="36"/>
    <x v="0"/>
    <x v="5"/>
    <x v="0"/>
  </r>
  <r>
    <n v="18830"/>
    <n v="24113"/>
    <n v="485"/>
    <d v="2021-01-14T00:00:00"/>
    <n v="5"/>
    <n v="21.98"/>
    <n v="109.9"/>
    <n v="10.990000000000002"/>
    <n v="120.89000000000001"/>
    <x v="14"/>
    <x v="14"/>
    <x v="1"/>
    <x v="3"/>
    <x v="2"/>
  </r>
  <r>
    <n v="15473"/>
    <n v="24775"/>
    <n v="528"/>
    <d v="2020-11-19T00:00:00"/>
    <n v="5"/>
    <n v="4.99"/>
    <n v="24.950000000000003"/>
    <n v="2.4950000000000006"/>
    <n v="27.445000000000004"/>
    <x v="15"/>
    <x v="21"/>
    <x v="0"/>
    <x v="0"/>
    <x v="2"/>
  </r>
  <r>
    <n v="19592"/>
    <n v="23878"/>
    <n v="217"/>
    <d v="2020-10-04T00:00:00"/>
    <n v="7"/>
    <n v="34.99"/>
    <n v="244.93"/>
    <n v="24.493000000000002"/>
    <n v="269.423"/>
    <x v="13"/>
    <x v="26"/>
    <x v="0"/>
    <x v="2"/>
    <x v="2"/>
  </r>
  <r>
    <n v="10721"/>
    <n v="24775"/>
    <n v="231"/>
    <d v="2020-09-11T00:00:00"/>
    <n v="7"/>
    <n v="49.99"/>
    <n v="349.93"/>
    <n v="34.993000000000002"/>
    <n v="384.923"/>
    <x v="15"/>
    <x v="17"/>
    <x v="0"/>
    <x v="5"/>
    <x v="0"/>
  </r>
  <r>
    <n v="17166"/>
    <n v="27630"/>
    <n v="217"/>
    <d v="2020-12-11T00:00:00"/>
    <n v="9"/>
    <n v="34.99"/>
    <n v="314.91000000000003"/>
    <n v="31.491000000000003"/>
    <n v="346.40100000000001"/>
    <x v="17"/>
    <x v="26"/>
    <x v="0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DAED0-BC1E-483A-861F-782039A825EB}" name="TablaDinámica2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7" indent="0" outline="1" outlineData="1" multipleFieldFilters="0" chartFormat="1" rowHeaderCaption="Categoría" colHeaderCaption="Año">
  <location ref="A47:B52" firstHeaderRow="1" firstDataRow="1" firstDataCol="1" rowPageCount="1" colPageCount="1"/>
  <pivotFields count="14">
    <pivotField showAll="0"/>
    <pivotField showAll="0"/>
    <pivotField showAll="0"/>
    <pivotField numFmtId="14" showAll="0"/>
    <pivotField showAll="0"/>
    <pivotField numFmtId="164" showAll="0"/>
    <pivotField numFmtId="165" showAll="0"/>
    <pivotField numFmtId="165" showAll="0"/>
    <pivotField dataField="1" numFmtId="165" showAll="0"/>
    <pivotField axis="axisRow" showAll="0" measureFilter="1" sortType="descending">
      <items count="21">
        <item x="15"/>
        <item x="12"/>
        <item x="3"/>
        <item x="6"/>
        <item x="13"/>
        <item x="1"/>
        <item x="4"/>
        <item x="9"/>
        <item x="18"/>
        <item x="10"/>
        <item x="0"/>
        <item x="11"/>
        <item x="8"/>
        <item x="5"/>
        <item x="19"/>
        <item x="16"/>
        <item x="14"/>
        <item x="7"/>
        <item x="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0">
        <item x="0"/>
        <item x="13"/>
        <item x="10"/>
        <item x="24"/>
        <item x="14"/>
        <item x="28"/>
        <item x="33"/>
        <item x="4"/>
        <item x="22"/>
        <item x="17"/>
        <item x="36"/>
        <item x="19"/>
        <item x="21"/>
        <item x="1"/>
        <item x="2"/>
        <item x="9"/>
        <item x="27"/>
        <item x="23"/>
        <item x="3"/>
        <item x="37"/>
        <item x="12"/>
        <item x="18"/>
        <item x="20"/>
        <item x="32"/>
        <item x="30"/>
        <item x="35"/>
        <item x="31"/>
        <item x="34"/>
        <item x="29"/>
        <item x="5"/>
        <item x="26"/>
        <item x="16"/>
        <item x="7"/>
        <item x="6"/>
        <item x="15"/>
        <item x="38"/>
        <item x="8"/>
        <item x="11"/>
        <item x="25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7">
        <item x="3"/>
        <item x="1"/>
        <item x="5"/>
        <item x="2"/>
        <item x="0"/>
        <item x="4"/>
        <item t="default"/>
      </items>
    </pivotField>
    <pivotField showAll="0">
      <items count="4">
        <item x="2"/>
        <item x="1"/>
        <item x="0"/>
        <item t="default"/>
      </items>
    </pivotField>
  </pivotFields>
  <rowFields count="1">
    <field x="9"/>
  </rowFields>
  <rowItems count="5">
    <i>
      <x v="10"/>
    </i>
    <i>
      <x v="17"/>
    </i>
    <i>
      <x v="16"/>
    </i>
    <i>
      <x v="13"/>
    </i>
    <i>
      <x v="4"/>
    </i>
  </rowItems>
  <colItems count="1">
    <i/>
  </colItems>
  <pageFields count="1">
    <pageField fld="11" item="1" hier="-1"/>
  </pageFields>
  <dataFields count="1">
    <dataField name="Monto Ventas" fld="8" baseField="0" baseItem="0" numFmtId="165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C9074-E81C-455F-A343-BBD2322A8DF2}" name="TablaDinámica6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25" rowHeaderCaption="Categoría">
  <location ref="A14:C17" firstHeaderRow="0" firstDataRow="1" firstDataCol="1" rowPageCount="1" colPageCount="1"/>
  <pivotFields count="14">
    <pivotField showAll="0"/>
    <pivotField showAll="0"/>
    <pivotField showAll="0"/>
    <pivotField numFmtId="14" showAll="0"/>
    <pivotField dataField="1" showAll="0"/>
    <pivotField numFmtId="164" showAll="0"/>
    <pivotField numFmtId="165" showAll="0"/>
    <pivotField numFmtId="165" showAll="0"/>
    <pivotField dataField="1" numFmtId="165" showAll="0"/>
    <pivotField showAll="0"/>
    <pivotField showAll="0">
      <items count="40">
        <item x="0"/>
        <item x="13"/>
        <item x="10"/>
        <item x="24"/>
        <item x="14"/>
        <item x="28"/>
        <item x="33"/>
        <item x="4"/>
        <item x="22"/>
        <item x="17"/>
        <item x="36"/>
        <item x="19"/>
        <item x="21"/>
        <item x="1"/>
        <item x="2"/>
        <item x="9"/>
        <item x="27"/>
        <item x="23"/>
        <item x="3"/>
        <item x="37"/>
        <item x="12"/>
        <item x="18"/>
        <item x="20"/>
        <item x="32"/>
        <item x="30"/>
        <item x="35"/>
        <item x="31"/>
        <item x="34"/>
        <item x="29"/>
        <item x="5"/>
        <item x="26"/>
        <item x="16"/>
        <item x="7"/>
        <item x="6"/>
        <item x="15"/>
        <item x="38"/>
        <item x="8"/>
        <item x="11"/>
        <item x="25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7">
        <item x="3"/>
        <item x="1"/>
        <item x="5"/>
        <item x="2"/>
        <item x="0"/>
        <item x="4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1">
    <field x="13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pageFields count="1">
    <pageField fld="11" item="1" hier="-1"/>
  </pageFields>
  <dataFields count="2">
    <dataField name="Cant. Vendido" fld="4" baseField="0" baseItem="0"/>
    <dataField name="Venta Total" fld="8" baseField="0" baseItem="0" numFmtId="165"/>
  </dataFields>
  <formats count="2">
    <format dxfId="2">
      <pivotArea outline="0" collapsedLevelsAreSubtotals="1" fieldPosition="0"/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56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1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8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9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1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1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13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3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34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35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3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37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13" format="38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13" format="39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14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4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4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4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45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14" format="46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14" format="47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15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9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50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5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5" format="5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53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15" format="54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15" format="55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1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1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1" format="7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2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7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4" format="18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4" format="19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4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21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24" format="22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24" format="23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09120-4B06-415D-B189-5B0C5E48B41A}" name="TablaDinámica1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6" rowHeaderCaption="Categoría" colHeaderCaption="Año">
  <location ref="A3:C7" firstHeaderRow="1" firstDataRow="2" firstDataCol="1"/>
  <pivotFields count="14">
    <pivotField showAll="0"/>
    <pivotField showAll="0"/>
    <pivotField showAll="0"/>
    <pivotField numFmtId="14" showAll="0"/>
    <pivotField showAll="0"/>
    <pivotField numFmtId="164" showAll="0"/>
    <pivotField numFmtId="165" showAll="0"/>
    <pivotField numFmtId="165" showAll="0"/>
    <pivotField dataField="1" numFmtId="165" showAll="0"/>
    <pivotField showAll="0"/>
    <pivotField showAll="0">
      <items count="40">
        <item x="0"/>
        <item x="13"/>
        <item x="10"/>
        <item x="24"/>
        <item x="14"/>
        <item x="28"/>
        <item x="33"/>
        <item x="4"/>
        <item x="22"/>
        <item x="17"/>
        <item x="36"/>
        <item x="19"/>
        <item x="21"/>
        <item x="1"/>
        <item x="2"/>
        <item x="9"/>
        <item x="27"/>
        <item x="23"/>
        <item x="3"/>
        <item x="37"/>
        <item x="12"/>
        <item x="18"/>
        <item x="20"/>
        <item x="32"/>
        <item x="30"/>
        <item x="35"/>
        <item x="31"/>
        <item x="34"/>
        <item x="29"/>
        <item x="5"/>
        <item x="26"/>
        <item x="16"/>
        <item x="7"/>
        <item x="6"/>
        <item x="15"/>
        <item x="38"/>
        <item x="8"/>
        <item x="11"/>
        <item x="25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7">
        <item x="3"/>
        <item x="1"/>
        <item x="5"/>
        <item x="2"/>
        <item x="0"/>
        <item x="4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1">
    <field x="13"/>
  </rowFields>
  <rowItems count="3">
    <i>
      <x/>
    </i>
    <i>
      <x v="1"/>
    </i>
    <i>
      <x v="2"/>
    </i>
  </rowItems>
  <colFields count="1">
    <field x="11"/>
  </colFields>
  <colItems count="2">
    <i>
      <x/>
    </i>
    <i>
      <x v="1"/>
    </i>
  </colItems>
  <dataFields count="1">
    <dataField name="Ventas por Año" fld="8" baseField="0" baseItem="0" numFmtId="165"/>
  </dataFields>
  <formats count="1">
    <format dxfId="3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EDC090-45BA-4CA0-83B8-47FC03B38F6B}" name="Customers" displayName="Customers" ref="A1:G21" totalsRowShown="0" headerRowDxfId="34" dataDxfId="32" headerRowBorderDxfId="33" tableBorderDxfId="31">
  <autoFilter ref="A1:G21" xr:uid="{663282DA-BE6D-4BA1-AE11-FF6B8DD4BB08}"/>
  <sortState xmlns:xlrd2="http://schemas.microsoft.com/office/spreadsheetml/2017/richdata2" ref="A2:G21">
    <sortCondition ref="E1:E21"/>
  </sortState>
  <tableColumns count="7">
    <tableColumn id="1" xr3:uid="{FB3343D2-9B5C-4B08-B7E9-357FA59D1CBE}" name="CustomerKey" dataDxfId="30"/>
    <tableColumn id="2" xr3:uid="{7421F27D-03E2-444C-AA6E-90890FED1AE4}" name="Customer ID" dataDxfId="29"/>
    <tableColumn id="3" xr3:uid="{B3757213-A6EB-4CB4-850D-97295F99C216}" name="Customer" dataDxfId="28"/>
    <tableColumn id="4" xr3:uid="{9A5C0DE7-1242-45DC-958A-5F1C02447359}" name="City" dataDxfId="27"/>
    <tableColumn id="5" xr3:uid="{91101EEF-B098-4806-B67F-D335F5215EA8}" name="State-Province" dataDxfId="26"/>
    <tableColumn id="6" xr3:uid="{29EE5C18-19B4-49CF-A7CD-FBF847676B8F}" name="Country-Region" dataDxfId="25"/>
    <tableColumn id="7" xr3:uid="{67C5D7DB-BE0F-4C4E-85BA-61A2DA081541}" name="Postal Code" dataDxfId="24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59E6D5-2453-4DAB-80A1-4FC4B4C70A44}" name="Products" displayName="Products" ref="A1:H40" totalsRowShown="0">
  <autoFilter ref="A1:H40" xr:uid="{1A02645F-1E18-48AE-AC53-9ADE168823EC}"/>
  <tableColumns count="8">
    <tableColumn id="1" xr3:uid="{89193216-EAA1-4C6D-808E-49FA908614CD}" name="ProductKey"/>
    <tableColumn id="2" xr3:uid="{34D6E655-00A2-40E1-AD91-E237C6CCCDF3}" name="Product Name"/>
    <tableColumn id="4" xr3:uid="{AAFECB93-DD92-498F-BB63-BD5A138DE02E}" name="Color"/>
    <tableColumn id="5" xr3:uid="{8750A04A-C164-4578-90BA-9BEB4CC3FB7A}" name="Unit Price"/>
    <tableColumn id="6" xr3:uid="{80ED32D7-7472-44AF-856B-F5DE1E5DAA25}" name="Model"/>
    <tableColumn id="7" xr3:uid="{7042E449-C4D6-4C83-AF6F-FCBD758FC715}" name="Subcategory"/>
    <tableColumn id="8" xr3:uid="{137CBCEB-5A1A-4D4A-A8B5-4C78EA3D6BE9}" name="Category"/>
    <tableColumn id="9" xr3:uid="{9E1B126E-E822-4DDF-8739-1E1857D53A45}" name="SKU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09ADF3-C642-4892-A661-5409159CC6DD}" name="Sales" displayName="Sales" ref="A1:N101" totalsRowShown="0" headerRowDxfId="22" dataDxfId="20" headerRowBorderDxfId="21" tableBorderDxfId="19" totalsRowBorderDxfId="18">
  <autoFilter ref="A1:N101" xr:uid="{5713122C-A3A4-481F-87BC-68CF774F00A5}"/>
  <tableColumns count="14">
    <tableColumn id="1" xr3:uid="{315A4E82-D259-4937-942A-36FFD5C484FB}" name="CodVenta" dataDxfId="17"/>
    <tableColumn id="2" xr3:uid="{E8631656-3AB6-4F1B-9452-B004F5AD664D}" name="CodCliente" dataDxfId="16"/>
    <tableColumn id="3" xr3:uid="{BFBAE016-B4A0-488A-8A11-66E3FB1DA1FD}" name="CodProducto" dataDxfId="15"/>
    <tableColumn id="16" xr3:uid="{266CD5E5-7EDB-40BD-8E96-C35E91CD4DF8}" name="Fecha Orden" dataDxfId="14"/>
    <tableColumn id="8" xr3:uid="{4CB7987E-FAB5-44F1-9A19-38A4CB472863}" name="Cant Orden" dataDxfId="13"/>
    <tableColumn id="9" xr3:uid="{11D09D2B-06D7-4804-B8C3-6D080DC65EDB}" name="Precio Unit." dataDxfId="12"/>
    <tableColumn id="7" xr3:uid="{86D48D28-581E-4AD9-962A-166A8ABC54E3}" name="Subtotal" dataDxfId="11">
      <calculatedColumnFormula>Sales[[#This Row],[Precio Unit.]]*Sales[[#This Row],[Cant Orden]]</calculatedColumnFormula>
    </tableColumn>
    <tableColumn id="10" xr3:uid="{01359EF9-B9D5-470C-A877-338D15A43901}" name="Impuesto" dataDxfId="10">
      <calculatedColumnFormula>Sales[[#This Row],[Subtotal]]*DatosExtra!$B$2</calculatedColumnFormula>
    </tableColumn>
    <tableColumn id="11" xr3:uid="{BCD34393-A718-4B2C-82C4-8C974BF7388E}" name="Total" dataDxfId="9">
      <calculatedColumnFormula>+Sales[[#This Row],[Impuesto]]+Sales[[#This Row],[Subtotal]]</calculatedColumnFormula>
    </tableColumn>
    <tableColumn id="12" xr3:uid="{0364C283-2E7D-4270-AE0A-82A0EB096620}" name="Cliente" dataDxfId="8">
      <calculatedColumnFormula>VLOOKUP(Sales[[#This Row],[CodCliente]],Customers[#All],3,0)</calculatedColumnFormula>
    </tableColumn>
    <tableColumn id="13" xr3:uid="{F4FEE369-D989-4887-96C8-E627B49B443C}" name="Producto" dataDxfId="7">
      <calculatedColumnFormula>VLOOKUP(Sales[[#This Row],[CodProducto]],Products[#All],2,0)</calculatedColumnFormula>
    </tableColumn>
    <tableColumn id="14" xr3:uid="{8F08DC3E-72AE-4734-BC88-082396597102}" name="Año" dataDxfId="6">
      <calculatedColumnFormula>YEAR(Sales[[#This Row],[Fecha Orden]])</calculatedColumnFormula>
    </tableColumn>
    <tableColumn id="15" xr3:uid="{7D5BB195-6C46-46B6-9EC5-B7D4C4FFFB1A}" name="Mes" dataDxfId="5">
      <calculatedColumnFormula>TEXT(Sales[[#This Row],[Fecha Orden]],"mmmm")</calculatedColumnFormula>
    </tableColumn>
    <tableColumn id="17" xr3:uid="{618C5AF9-D038-4D6C-A293-FA20E6E5EDBC}" name="Categoría" dataDxfId="4">
      <calculatedColumnFormula>VLOOKUP(Sales[[#This Row],[CodProducto]],Products[#All],7,0)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C213-9B78-4BC4-AD2B-9CF5F3AF526B}">
  <dimension ref="A1:G21"/>
  <sheetViews>
    <sheetView workbookViewId="0">
      <selection activeCell="B8" sqref="B8"/>
    </sheetView>
  </sheetViews>
  <sheetFormatPr baseColWidth="10" defaultColWidth="8.85546875" defaultRowHeight="15" x14ac:dyDescent="0.25"/>
  <cols>
    <col min="1" max="1" width="14.42578125" bestFit="1" customWidth="1"/>
    <col min="2" max="2" width="13.5703125" bestFit="1" customWidth="1"/>
    <col min="3" max="3" width="18.28515625" bestFit="1" customWidth="1"/>
    <col min="4" max="4" width="13.5703125" bestFit="1" customWidth="1"/>
    <col min="5" max="5" width="15.5703125" customWidth="1"/>
    <col min="6" max="6" width="16.42578125" customWidth="1"/>
    <col min="7" max="7" width="13.140625" customWidth="1"/>
  </cols>
  <sheetData>
    <row r="1" spans="1:7" x14ac:dyDescent="0.25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6</v>
      </c>
    </row>
    <row r="2" spans="1:7" x14ac:dyDescent="0.25">
      <c r="A2" s="10">
        <v>11979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11" t="s">
        <v>45</v>
      </c>
    </row>
    <row r="3" spans="1:7" x14ac:dyDescent="0.25">
      <c r="A3">
        <v>28272</v>
      </c>
      <c r="B3" t="s">
        <v>46</v>
      </c>
      <c r="C3" t="s">
        <v>47</v>
      </c>
      <c r="D3" t="s">
        <v>48</v>
      </c>
      <c r="E3" t="s">
        <v>43</v>
      </c>
      <c r="F3" t="s">
        <v>44</v>
      </c>
      <c r="G3" t="s">
        <v>49</v>
      </c>
    </row>
    <row r="4" spans="1:7" x14ac:dyDescent="0.25">
      <c r="A4">
        <v>18917</v>
      </c>
      <c r="B4" t="s">
        <v>15</v>
      </c>
      <c r="C4" t="s">
        <v>16</v>
      </c>
      <c r="D4" t="s">
        <v>17</v>
      </c>
      <c r="E4" t="s">
        <v>7</v>
      </c>
      <c r="F4" t="s">
        <v>8</v>
      </c>
      <c r="G4">
        <v>91977</v>
      </c>
    </row>
    <row r="5" spans="1:7" x14ac:dyDescent="0.25">
      <c r="A5">
        <v>20653</v>
      </c>
      <c r="B5" t="s">
        <v>18</v>
      </c>
      <c r="C5" t="s">
        <v>19</v>
      </c>
      <c r="D5" t="s">
        <v>20</v>
      </c>
      <c r="E5" t="s">
        <v>7</v>
      </c>
      <c r="F5" t="s">
        <v>8</v>
      </c>
      <c r="G5">
        <v>94070</v>
      </c>
    </row>
    <row r="6" spans="1:7" x14ac:dyDescent="0.25">
      <c r="A6">
        <v>23878</v>
      </c>
      <c r="B6" t="s">
        <v>21</v>
      </c>
      <c r="C6" t="s">
        <v>22</v>
      </c>
      <c r="D6" t="s">
        <v>23</v>
      </c>
      <c r="E6" t="s">
        <v>7</v>
      </c>
      <c r="F6" t="s">
        <v>8</v>
      </c>
      <c r="G6">
        <v>94109</v>
      </c>
    </row>
    <row r="7" spans="1:7" x14ac:dyDescent="0.25">
      <c r="A7">
        <v>24775</v>
      </c>
      <c r="B7" t="s">
        <v>12</v>
      </c>
      <c r="C7" t="s">
        <v>13</v>
      </c>
      <c r="D7" t="s">
        <v>14</v>
      </c>
      <c r="E7" t="s">
        <v>7</v>
      </c>
      <c r="F7" t="s">
        <v>8</v>
      </c>
      <c r="G7">
        <v>94014</v>
      </c>
    </row>
    <row r="8" spans="1:7" x14ac:dyDescent="0.25">
      <c r="A8">
        <v>27630</v>
      </c>
      <c r="B8" t="s">
        <v>9</v>
      </c>
      <c r="C8" t="s">
        <v>10</v>
      </c>
      <c r="D8" t="s">
        <v>11</v>
      </c>
      <c r="E8" t="s">
        <v>7</v>
      </c>
      <c r="F8" t="s">
        <v>8</v>
      </c>
      <c r="G8">
        <v>91910</v>
      </c>
    </row>
    <row r="9" spans="1:7" x14ac:dyDescent="0.25">
      <c r="A9">
        <v>12224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</row>
    <row r="10" spans="1:7" x14ac:dyDescent="0.25">
      <c r="A10">
        <v>21043</v>
      </c>
      <c r="B10" t="s">
        <v>50</v>
      </c>
      <c r="C10" t="s">
        <v>51</v>
      </c>
      <c r="D10" t="s">
        <v>52</v>
      </c>
      <c r="E10" t="s">
        <v>53</v>
      </c>
      <c r="F10" t="s">
        <v>54</v>
      </c>
      <c r="G10">
        <v>12311</v>
      </c>
    </row>
    <row r="11" spans="1:7" x14ac:dyDescent="0.25">
      <c r="A11">
        <v>22465</v>
      </c>
      <c r="B11" t="s">
        <v>59</v>
      </c>
      <c r="C11" t="s">
        <v>60</v>
      </c>
      <c r="D11" t="s">
        <v>61</v>
      </c>
      <c r="E11" t="s">
        <v>62</v>
      </c>
      <c r="F11" t="s">
        <v>63</v>
      </c>
      <c r="G11">
        <v>92150</v>
      </c>
    </row>
    <row r="12" spans="1:7" x14ac:dyDescent="0.25">
      <c r="A12">
        <v>28961</v>
      </c>
      <c r="B12" t="s">
        <v>83</v>
      </c>
      <c r="C12" t="s">
        <v>84</v>
      </c>
      <c r="D12" t="s">
        <v>85</v>
      </c>
      <c r="E12" t="s">
        <v>86</v>
      </c>
      <c r="F12" t="s">
        <v>76</v>
      </c>
      <c r="G12">
        <v>2444</v>
      </c>
    </row>
    <row r="13" spans="1:7" x14ac:dyDescent="0.25">
      <c r="A13">
        <v>12544</v>
      </c>
      <c r="B13" t="s">
        <v>55</v>
      </c>
      <c r="C13" t="s">
        <v>56</v>
      </c>
      <c r="D13" t="s">
        <v>57</v>
      </c>
      <c r="E13" t="s">
        <v>58</v>
      </c>
      <c r="F13" t="s">
        <v>54</v>
      </c>
      <c r="G13">
        <v>24044</v>
      </c>
    </row>
    <row r="14" spans="1:7" x14ac:dyDescent="0.25">
      <c r="A14">
        <v>16268</v>
      </c>
      <c r="B14" t="s">
        <v>68</v>
      </c>
      <c r="C14" t="s">
        <v>69</v>
      </c>
      <c r="D14" t="s">
        <v>70</v>
      </c>
      <c r="E14" t="s">
        <v>71</v>
      </c>
      <c r="F14" t="s">
        <v>63</v>
      </c>
      <c r="G14">
        <v>77680</v>
      </c>
    </row>
    <row r="15" spans="1:7" x14ac:dyDescent="0.25">
      <c r="A15">
        <v>15822</v>
      </c>
      <c r="B15" t="s">
        <v>72</v>
      </c>
      <c r="C15" t="s">
        <v>73</v>
      </c>
      <c r="D15" t="s">
        <v>74</v>
      </c>
      <c r="E15" t="s">
        <v>75</v>
      </c>
      <c r="F15" t="s">
        <v>76</v>
      </c>
      <c r="G15">
        <v>5023</v>
      </c>
    </row>
    <row r="16" spans="1:7" x14ac:dyDescent="0.25">
      <c r="A16">
        <v>11027</v>
      </c>
      <c r="B16" t="s">
        <v>77</v>
      </c>
      <c r="C16" t="s">
        <v>78</v>
      </c>
      <c r="D16" t="s">
        <v>79</v>
      </c>
      <c r="E16" t="s">
        <v>42</v>
      </c>
      <c r="F16" t="s">
        <v>76</v>
      </c>
      <c r="G16">
        <v>3280</v>
      </c>
    </row>
    <row r="17" spans="1:7" x14ac:dyDescent="0.25">
      <c r="A17">
        <v>26029</v>
      </c>
      <c r="B17" t="s">
        <v>80</v>
      </c>
      <c r="C17" t="s">
        <v>81</v>
      </c>
      <c r="D17" t="s">
        <v>82</v>
      </c>
      <c r="E17" t="s">
        <v>42</v>
      </c>
      <c r="F17" t="s">
        <v>76</v>
      </c>
      <c r="G17">
        <v>3550</v>
      </c>
    </row>
    <row r="18" spans="1:7" x14ac:dyDescent="0.25">
      <c r="A18">
        <v>18810</v>
      </c>
      <c r="B18" t="s">
        <v>31</v>
      </c>
      <c r="C18" t="s">
        <v>32</v>
      </c>
      <c r="D18" t="s">
        <v>33</v>
      </c>
      <c r="E18" t="s">
        <v>27</v>
      </c>
      <c r="F18" t="s">
        <v>8</v>
      </c>
      <c r="G18">
        <v>98168</v>
      </c>
    </row>
    <row r="19" spans="1:7" x14ac:dyDescent="0.25">
      <c r="A19">
        <v>18860</v>
      </c>
      <c r="B19" t="s">
        <v>28</v>
      </c>
      <c r="C19" t="s">
        <v>29</v>
      </c>
      <c r="D19" t="s">
        <v>30</v>
      </c>
      <c r="E19" t="s">
        <v>27</v>
      </c>
      <c r="F19" t="s">
        <v>8</v>
      </c>
      <c r="G19">
        <v>98055</v>
      </c>
    </row>
    <row r="20" spans="1:7" x14ac:dyDescent="0.25">
      <c r="A20">
        <v>19137</v>
      </c>
      <c r="B20" t="s">
        <v>24</v>
      </c>
      <c r="C20" t="s">
        <v>25</v>
      </c>
      <c r="D20" t="s">
        <v>26</v>
      </c>
      <c r="E20" t="s">
        <v>27</v>
      </c>
      <c r="F20" t="s">
        <v>8</v>
      </c>
      <c r="G20">
        <v>98366</v>
      </c>
    </row>
    <row r="21" spans="1:7" x14ac:dyDescent="0.25">
      <c r="A21">
        <v>24113</v>
      </c>
      <c r="B21" t="s">
        <v>64</v>
      </c>
      <c r="C21" t="s">
        <v>65</v>
      </c>
      <c r="D21" t="s">
        <v>66</v>
      </c>
      <c r="E21" t="s">
        <v>67</v>
      </c>
      <c r="F21" t="s">
        <v>63</v>
      </c>
      <c r="G21">
        <v>78000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1929E-6A4F-4D60-9D33-FDBA3D289548}">
  <dimension ref="A1:H40"/>
  <sheetViews>
    <sheetView topLeftCell="A3" workbookViewId="0">
      <selection activeCell="G3" sqref="G3"/>
    </sheetView>
  </sheetViews>
  <sheetFormatPr baseColWidth="10" defaultColWidth="8.85546875" defaultRowHeight="15" x14ac:dyDescent="0.25"/>
  <cols>
    <col min="1" max="1" width="12.7109375" customWidth="1"/>
    <col min="2" max="2" width="27.42578125" bestFit="1" customWidth="1"/>
    <col min="4" max="4" width="12.85546875" customWidth="1"/>
    <col min="5" max="5" width="17.5703125" customWidth="1"/>
    <col min="6" max="6" width="19.28515625" customWidth="1"/>
    <col min="7" max="7" width="19" customWidth="1"/>
    <col min="8" max="8" width="14" customWidth="1"/>
  </cols>
  <sheetData>
    <row r="1" spans="1:8" x14ac:dyDescent="0.25">
      <c r="A1" t="s">
        <v>87</v>
      </c>
      <c r="B1" t="s">
        <v>216</v>
      </c>
      <c r="C1" t="s">
        <v>88</v>
      </c>
      <c r="D1" t="s">
        <v>123</v>
      </c>
      <c r="E1" t="s">
        <v>89</v>
      </c>
      <c r="F1" t="s">
        <v>90</v>
      </c>
      <c r="G1" t="s">
        <v>91</v>
      </c>
      <c r="H1" t="s">
        <v>92</v>
      </c>
    </row>
    <row r="2" spans="1:8" x14ac:dyDescent="0.25">
      <c r="A2">
        <v>217</v>
      </c>
      <c r="B2" t="s">
        <v>124</v>
      </c>
      <c r="C2" t="s">
        <v>93</v>
      </c>
      <c r="D2">
        <v>34.99</v>
      </c>
      <c r="E2" t="s">
        <v>101</v>
      </c>
      <c r="F2" t="s">
        <v>102</v>
      </c>
      <c r="G2" t="s">
        <v>103</v>
      </c>
      <c r="H2" t="s">
        <v>125</v>
      </c>
    </row>
    <row r="3" spans="1:8" x14ac:dyDescent="0.25">
      <c r="A3">
        <v>363</v>
      </c>
      <c r="B3" t="s">
        <v>126</v>
      </c>
      <c r="C3" t="s">
        <v>93</v>
      </c>
      <c r="D3">
        <v>2294.9899999999998</v>
      </c>
      <c r="E3" t="s">
        <v>97</v>
      </c>
      <c r="F3" t="s">
        <v>98</v>
      </c>
      <c r="G3" t="s">
        <v>96</v>
      </c>
      <c r="H3" t="s">
        <v>127</v>
      </c>
    </row>
    <row r="4" spans="1:8" x14ac:dyDescent="0.25">
      <c r="A4">
        <v>373</v>
      </c>
      <c r="B4" t="s">
        <v>128</v>
      </c>
      <c r="C4" t="s">
        <v>93</v>
      </c>
      <c r="D4">
        <v>2181.5625</v>
      </c>
      <c r="E4" t="s">
        <v>118</v>
      </c>
      <c r="F4" t="s">
        <v>95</v>
      </c>
      <c r="G4" t="s">
        <v>96</v>
      </c>
      <c r="H4" t="s">
        <v>129</v>
      </c>
    </row>
    <row r="5" spans="1:8" x14ac:dyDescent="0.25">
      <c r="A5">
        <v>376</v>
      </c>
      <c r="B5" t="s">
        <v>130</v>
      </c>
      <c r="C5" t="s">
        <v>93</v>
      </c>
      <c r="D5">
        <v>2443.35</v>
      </c>
      <c r="E5" t="s">
        <v>118</v>
      </c>
      <c r="F5" t="s">
        <v>95</v>
      </c>
      <c r="G5" t="s">
        <v>96</v>
      </c>
      <c r="H5" t="s">
        <v>131</v>
      </c>
    </row>
    <row r="6" spans="1:8" x14ac:dyDescent="0.25">
      <c r="A6">
        <v>475</v>
      </c>
      <c r="B6" t="s">
        <v>132</v>
      </c>
      <c r="C6" t="s">
        <v>93</v>
      </c>
      <c r="D6">
        <v>69.989999999999995</v>
      </c>
      <c r="E6" t="s">
        <v>133</v>
      </c>
      <c r="F6" t="s">
        <v>134</v>
      </c>
      <c r="G6" t="s">
        <v>99</v>
      </c>
      <c r="H6" t="s">
        <v>135</v>
      </c>
    </row>
    <row r="7" spans="1:8" x14ac:dyDescent="0.25">
      <c r="A7">
        <v>606</v>
      </c>
      <c r="B7" t="s">
        <v>136</v>
      </c>
      <c r="C7" t="s">
        <v>93</v>
      </c>
      <c r="D7">
        <v>539.99</v>
      </c>
      <c r="E7" t="s">
        <v>137</v>
      </c>
      <c r="F7" t="s">
        <v>95</v>
      </c>
      <c r="G7" t="s">
        <v>96</v>
      </c>
      <c r="H7" t="s">
        <v>138</v>
      </c>
    </row>
    <row r="8" spans="1:8" x14ac:dyDescent="0.25">
      <c r="A8">
        <v>214</v>
      </c>
      <c r="B8" t="s">
        <v>139</v>
      </c>
      <c r="C8" t="s">
        <v>112</v>
      </c>
      <c r="D8">
        <v>34.99</v>
      </c>
      <c r="E8" t="s">
        <v>101</v>
      </c>
      <c r="F8" t="s">
        <v>102</v>
      </c>
      <c r="G8" t="s">
        <v>103</v>
      </c>
      <c r="H8" t="s">
        <v>140</v>
      </c>
    </row>
    <row r="9" spans="1:8" x14ac:dyDescent="0.25">
      <c r="A9">
        <v>225</v>
      </c>
      <c r="B9" t="s">
        <v>104</v>
      </c>
      <c r="C9" t="s">
        <v>93</v>
      </c>
      <c r="D9">
        <v>8.99</v>
      </c>
      <c r="E9" t="s">
        <v>105</v>
      </c>
      <c r="F9" t="s">
        <v>106</v>
      </c>
      <c r="G9" t="s">
        <v>99</v>
      </c>
      <c r="H9" t="s">
        <v>107</v>
      </c>
    </row>
    <row r="10" spans="1:8" x14ac:dyDescent="0.25">
      <c r="A10">
        <v>231</v>
      </c>
      <c r="B10" t="s">
        <v>141</v>
      </c>
      <c r="C10" t="s">
        <v>93</v>
      </c>
      <c r="D10">
        <v>49.99</v>
      </c>
      <c r="E10" t="s">
        <v>108</v>
      </c>
      <c r="F10" t="s">
        <v>109</v>
      </c>
      <c r="G10" t="s">
        <v>99</v>
      </c>
      <c r="H10" t="s">
        <v>142</v>
      </c>
    </row>
    <row r="11" spans="1:8" x14ac:dyDescent="0.25">
      <c r="A11">
        <v>237</v>
      </c>
      <c r="B11" t="s">
        <v>110</v>
      </c>
      <c r="C11" t="s">
        <v>93</v>
      </c>
      <c r="D11">
        <v>49.99</v>
      </c>
      <c r="E11" t="s">
        <v>108</v>
      </c>
      <c r="F11" t="s">
        <v>109</v>
      </c>
      <c r="G11" t="s">
        <v>99</v>
      </c>
      <c r="H11" t="s">
        <v>111</v>
      </c>
    </row>
    <row r="12" spans="1:8" x14ac:dyDescent="0.25">
      <c r="A12">
        <v>323</v>
      </c>
      <c r="B12" t="s">
        <v>114</v>
      </c>
      <c r="C12" t="s">
        <v>112</v>
      </c>
      <c r="D12">
        <v>782.99</v>
      </c>
      <c r="E12" t="s">
        <v>94</v>
      </c>
      <c r="F12" t="s">
        <v>95</v>
      </c>
      <c r="G12" t="s">
        <v>96</v>
      </c>
      <c r="H12" t="s">
        <v>115</v>
      </c>
    </row>
    <row r="13" spans="1:8" x14ac:dyDescent="0.25">
      <c r="A13">
        <v>347</v>
      </c>
      <c r="B13" t="s">
        <v>143</v>
      </c>
      <c r="C13" t="s">
        <v>113</v>
      </c>
      <c r="D13">
        <v>3399.99</v>
      </c>
      <c r="E13" t="s">
        <v>144</v>
      </c>
      <c r="F13" t="s">
        <v>98</v>
      </c>
      <c r="G13" t="s">
        <v>96</v>
      </c>
      <c r="H13" t="s">
        <v>145</v>
      </c>
    </row>
    <row r="14" spans="1:8" x14ac:dyDescent="0.25">
      <c r="A14">
        <v>353</v>
      </c>
      <c r="B14" t="s">
        <v>146</v>
      </c>
      <c r="C14" t="s">
        <v>113</v>
      </c>
      <c r="D14">
        <v>2319.9899999999998</v>
      </c>
      <c r="E14" t="s">
        <v>97</v>
      </c>
      <c r="F14" t="s">
        <v>98</v>
      </c>
      <c r="G14" t="s">
        <v>96</v>
      </c>
      <c r="H14" t="s">
        <v>147</v>
      </c>
    </row>
    <row r="15" spans="1:8" x14ac:dyDescent="0.25">
      <c r="A15">
        <v>357</v>
      </c>
      <c r="B15" t="s">
        <v>116</v>
      </c>
      <c r="C15" t="s">
        <v>113</v>
      </c>
      <c r="D15">
        <v>2319.9899999999998</v>
      </c>
      <c r="E15" t="s">
        <v>97</v>
      </c>
      <c r="F15" t="s">
        <v>98</v>
      </c>
      <c r="G15" t="s">
        <v>96</v>
      </c>
      <c r="H15" t="s">
        <v>117</v>
      </c>
    </row>
    <row r="16" spans="1:8" x14ac:dyDescent="0.25">
      <c r="A16">
        <v>388</v>
      </c>
      <c r="B16" t="s">
        <v>148</v>
      </c>
      <c r="C16" t="s">
        <v>119</v>
      </c>
      <c r="D16">
        <v>1120.49</v>
      </c>
      <c r="E16" t="s">
        <v>120</v>
      </c>
      <c r="F16" t="s">
        <v>95</v>
      </c>
      <c r="G16" t="s">
        <v>96</v>
      </c>
      <c r="H16" t="s">
        <v>149</v>
      </c>
    </row>
    <row r="17" spans="1:8" x14ac:dyDescent="0.25">
      <c r="A17">
        <v>390</v>
      </c>
      <c r="B17" t="s">
        <v>150</v>
      </c>
      <c r="C17" t="s">
        <v>119</v>
      </c>
      <c r="D17">
        <v>1120.49</v>
      </c>
      <c r="E17" t="s">
        <v>120</v>
      </c>
      <c r="F17" t="s">
        <v>95</v>
      </c>
      <c r="G17" t="s">
        <v>96</v>
      </c>
      <c r="H17" t="s">
        <v>151</v>
      </c>
    </row>
    <row r="18" spans="1:8" x14ac:dyDescent="0.25">
      <c r="A18">
        <v>471</v>
      </c>
      <c r="B18" t="s">
        <v>152</v>
      </c>
      <c r="C18" t="s">
        <v>100</v>
      </c>
      <c r="D18">
        <v>63.5</v>
      </c>
      <c r="E18" t="s">
        <v>153</v>
      </c>
      <c r="F18" t="s">
        <v>154</v>
      </c>
      <c r="G18" t="s">
        <v>99</v>
      </c>
      <c r="H18" t="s">
        <v>155</v>
      </c>
    </row>
    <row r="19" spans="1:8" x14ac:dyDescent="0.25">
      <c r="A19">
        <v>473</v>
      </c>
      <c r="B19" t="s">
        <v>156</v>
      </c>
      <c r="C19" t="s">
        <v>100</v>
      </c>
      <c r="D19">
        <v>63.5</v>
      </c>
      <c r="E19" t="s">
        <v>153</v>
      </c>
      <c r="F19" t="s">
        <v>154</v>
      </c>
      <c r="G19" t="s">
        <v>99</v>
      </c>
      <c r="H19" t="s">
        <v>157</v>
      </c>
    </row>
    <row r="20" spans="1:8" x14ac:dyDescent="0.25">
      <c r="A20">
        <v>477</v>
      </c>
      <c r="B20" t="s">
        <v>158</v>
      </c>
      <c r="C20" t="s">
        <v>93</v>
      </c>
      <c r="D20">
        <v>4.99</v>
      </c>
      <c r="E20" t="s">
        <v>159</v>
      </c>
      <c r="F20" t="s">
        <v>160</v>
      </c>
      <c r="G20" t="s">
        <v>103</v>
      </c>
      <c r="H20" t="s">
        <v>161</v>
      </c>
    </row>
    <row r="21" spans="1:8" x14ac:dyDescent="0.25">
      <c r="A21">
        <v>479</v>
      </c>
      <c r="B21" t="s">
        <v>162</v>
      </c>
      <c r="C21" t="s">
        <v>93</v>
      </c>
      <c r="D21">
        <v>8.99</v>
      </c>
      <c r="E21" t="s">
        <v>162</v>
      </c>
      <c r="F21" t="s">
        <v>160</v>
      </c>
      <c r="G21" t="s">
        <v>103</v>
      </c>
      <c r="H21" t="s">
        <v>163</v>
      </c>
    </row>
    <row r="22" spans="1:8" x14ac:dyDescent="0.25">
      <c r="A22">
        <v>480</v>
      </c>
      <c r="B22" t="s">
        <v>164</v>
      </c>
      <c r="C22" t="s">
        <v>93</v>
      </c>
      <c r="D22">
        <v>2.29</v>
      </c>
      <c r="E22" t="s">
        <v>165</v>
      </c>
      <c r="F22" t="s">
        <v>166</v>
      </c>
      <c r="G22" t="s">
        <v>103</v>
      </c>
      <c r="H22" t="s">
        <v>167</v>
      </c>
    </row>
    <row r="23" spans="1:8" x14ac:dyDescent="0.25">
      <c r="A23">
        <v>482</v>
      </c>
      <c r="B23" t="s">
        <v>168</v>
      </c>
      <c r="C23" t="s">
        <v>169</v>
      </c>
      <c r="D23">
        <v>8.99</v>
      </c>
      <c r="E23" t="s">
        <v>170</v>
      </c>
      <c r="F23" t="s">
        <v>171</v>
      </c>
      <c r="G23" t="s">
        <v>99</v>
      </c>
      <c r="H23" t="s">
        <v>172</v>
      </c>
    </row>
    <row r="24" spans="1:8" x14ac:dyDescent="0.25">
      <c r="A24">
        <v>484</v>
      </c>
      <c r="B24" t="s">
        <v>173</v>
      </c>
      <c r="C24" t="s">
        <v>93</v>
      </c>
      <c r="D24">
        <v>7.95</v>
      </c>
      <c r="E24" t="s">
        <v>174</v>
      </c>
      <c r="F24" t="s">
        <v>175</v>
      </c>
      <c r="G24" t="s">
        <v>103</v>
      </c>
      <c r="H24" t="s">
        <v>176</v>
      </c>
    </row>
    <row r="25" spans="1:8" x14ac:dyDescent="0.25">
      <c r="A25">
        <v>485</v>
      </c>
      <c r="B25" t="s">
        <v>177</v>
      </c>
      <c r="C25" t="s">
        <v>93</v>
      </c>
      <c r="D25">
        <v>21.98</v>
      </c>
      <c r="E25" t="s">
        <v>177</v>
      </c>
      <c r="F25" t="s">
        <v>178</v>
      </c>
      <c r="G25" t="s">
        <v>103</v>
      </c>
      <c r="H25" t="s">
        <v>179</v>
      </c>
    </row>
    <row r="26" spans="1:8" x14ac:dyDescent="0.25">
      <c r="A26">
        <v>487</v>
      </c>
      <c r="B26" t="s">
        <v>180</v>
      </c>
      <c r="C26" t="s">
        <v>113</v>
      </c>
      <c r="D26">
        <v>54.99</v>
      </c>
      <c r="E26" t="s">
        <v>181</v>
      </c>
      <c r="F26" t="s">
        <v>182</v>
      </c>
      <c r="G26" t="s">
        <v>103</v>
      </c>
      <c r="H26" t="s">
        <v>183</v>
      </c>
    </row>
    <row r="27" spans="1:8" x14ac:dyDescent="0.25">
      <c r="A27">
        <v>490</v>
      </c>
      <c r="B27" t="s">
        <v>184</v>
      </c>
      <c r="C27" t="s">
        <v>119</v>
      </c>
      <c r="D27">
        <v>53.99</v>
      </c>
      <c r="E27" t="s">
        <v>185</v>
      </c>
      <c r="F27" t="s">
        <v>109</v>
      </c>
      <c r="G27" t="s">
        <v>99</v>
      </c>
      <c r="H27" t="s">
        <v>186</v>
      </c>
    </row>
    <row r="28" spans="1:8" x14ac:dyDescent="0.25">
      <c r="A28">
        <v>528</v>
      </c>
      <c r="B28" t="s">
        <v>187</v>
      </c>
      <c r="C28" t="s">
        <v>93</v>
      </c>
      <c r="D28">
        <v>4.99</v>
      </c>
      <c r="E28" t="s">
        <v>187</v>
      </c>
      <c r="F28" t="s">
        <v>166</v>
      </c>
      <c r="G28" t="s">
        <v>103</v>
      </c>
      <c r="H28" t="s">
        <v>188</v>
      </c>
    </row>
    <row r="29" spans="1:8" x14ac:dyDescent="0.25">
      <c r="A29">
        <v>529</v>
      </c>
      <c r="B29" t="s">
        <v>189</v>
      </c>
      <c r="C29" t="s">
        <v>93</v>
      </c>
      <c r="D29">
        <v>3.99</v>
      </c>
      <c r="E29" t="s">
        <v>189</v>
      </c>
      <c r="F29" t="s">
        <v>166</v>
      </c>
      <c r="G29" t="s">
        <v>103</v>
      </c>
      <c r="H29" t="s">
        <v>190</v>
      </c>
    </row>
    <row r="30" spans="1:8" x14ac:dyDescent="0.25">
      <c r="A30">
        <v>530</v>
      </c>
      <c r="B30" t="s">
        <v>191</v>
      </c>
      <c r="C30" t="s">
        <v>93</v>
      </c>
      <c r="D30">
        <v>4.99</v>
      </c>
      <c r="E30" t="s">
        <v>191</v>
      </c>
      <c r="F30" t="s">
        <v>166</v>
      </c>
      <c r="G30" t="s">
        <v>103</v>
      </c>
      <c r="H30" t="s">
        <v>192</v>
      </c>
    </row>
    <row r="31" spans="1:8" x14ac:dyDescent="0.25">
      <c r="A31">
        <v>535</v>
      </c>
      <c r="B31" t="s">
        <v>193</v>
      </c>
      <c r="C31" t="s">
        <v>93</v>
      </c>
      <c r="D31">
        <v>24.99</v>
      </c>
      <c r="E31" t="s">
        <v>193</v>
      </c>
      <c r="F31" t="s">
        <v>166</v>
      </c>
      <c r="G31" t="s">
        <v>103</v>
      </c>
      <c r="H31" t="s">
        <v>194</v>
      </c>
    </row>
    <row r="32" spans="1:8" x14ac:dyDescent="0.25">
      <c r="A32">
        <v>537</v>
      </c>
      <c r="B32" t="s">
        <v>195</v>
      </c>
      <c r="C32" t="s">
        <v>93</v>
      </c>
      <c r="D32">
        <v>35</v>
      </c>
      <c r="E32" t="s">
        <v>195</v>
      </c>
      <c r="F32" t="s">
        <v>166</v>
      </c>
      <c r="G32" t="s">
        <v>103</v>
      </c>
      <c r="H32" t="s">
        <v>196</v>
      </c>
    </row>
    <row r="33" spans="1:8" x14ac:dyDescent="0.25">
      <c r="A33">
        <v>539</v>
      </c>
      <c r="B33" t="s">
        <v>197</v>
      </c>
      <c r="C33" t="s">
        <v>93</v>
      </c>
      <c r="D33">
        <v>24.99</v>
      </c>
      <c r="E33" t="s">
        <v>197</v>
      </c>
      <c r="F33" t="s">
        <v>166</v>
      </c>
      <c r="G33" t="s">
        <v>103</v>
      </c>
      <c r="H33" t="s">
        <v>198</v>
      </c>
    </row>
    <row r="34" spans="1:8" x14ac:dyDescent="0.25">
      <c r="A34">
        <v>540</v>
      </c>
      <c r="B34" t="s">
        <v>199</v>
      </c>
      <c r="C34" t="s">
        <v>93</v>
      </c>
      <c r="D34">
        <v>32.6</v>
      </c>
      <c r="E34" t="s">
        <v>199</v>
      </c>
      <c r="F34" t="s">
        <v>166</v>
      </c>
      <c r="G34" t="s">
        <v>103</v>
      </c>
      <c r="H34" t="s">
        <v>200</v>
      </c>
    </row>
    <row r="35" spans="1:8" x14ac:dyDescent="0.25">
      <c r="A35">
        <v>541</v>
      </c>
      <c r="B35" t="s">
        <v>201</v>
      </c>
      <c r="C35" t="s">
        <v>93</v>
      </c>
      <c r="D35">
        <v>28.99</v>
      </c>
      <c r="E35" t="s">
        <v>201</v>
      </c>
      <c r="F35" t="s">
        <v>166</v>
      </c>
      <c r="G35" t="s">
        <v>103</v>
      </c>
      <c r="H35" t="s">
        <v>202</v>
      </c>
    </row>
    <row r="36" spans="1:8" x14ac:dyDescent="0.25">
      <c r="A36">
        <v>563</v>
      </c>
      <c r="B36" t="s">
        <v>203</v>
      </c>
      <c r="C36" t="s">
        <v>119</v>
      </c>
      <c r="D36">
        <v>2384.0700000000002</v>
      </c>
      <c r="E36" t="s">
        <v>204</v>
      </c>
      <c r="F36" t="s">
        <v>121</v>
      </c>
      <c r="G36" t="s">
        <v>96</v>
      </c>
      <c r="H36" t="s">
        <v>205</v>
      </c>
    </row>
    <row r="37" spans="1:8" x14ac:dyDescent="0.25">
      <c r="A37">
        <v>571</v>
      </c>
      <c r="B37" t="s">
        <v>206</v>
      </c>
      <c r="C37" t="s">
        <v>119</v>
      </c>
      <c r="D37">
        <v>742.35</v>
      </c>
      <c r="E37" t="s">
        <v>122</v>
      </c>
      <c r="F37" t="s">
        <v>121</v>
      </c>
      <c r="G37" t="s">
        <v>96</v>
      </c>
      <c r="H37" t="s">
        <v>207</v>
      </c>
    </row>
    <row r="38" spans="1:8" x14ac:dyDescent="0.25">
      <c r="A38">
        <v>576</v>
      </c>
      <c r="B38" t="s">
        <v>208</v>
      </c>
      <c r="C38" t="s">
        <v>100</v>
      </c>
      <c r="D38">
        <v>2384.0700000000002</v>
      </c>
      <c r="E38" t="s">
        <v>204</v>
      </c>
      <c r="F38" t="s">
        <v>121</v>
      </c>
      <c r="G38" t="s">
        <v>96</v>
      </c>
      <c r="H38" t="s">
        <v>209</v>
      </c>
    </row>
    <row r="39" spans="1:8" x14ac:dyDescent="0.25">
      <c r="A39">
        <v>580</v>
      </c>
      <c r="B39" t="s">
        <v>210</v>
      </c>
      <c r="C39" t="s">
        <v>119</v>
      </c>
      <c r="D39">
        <v>1700.99</v>
      </c>
      <c r="E39" t="s">
        <v>211</v>
      </c>
      <c r="F39" t="s">
        <v>95</v>
      </c>
      <c r="G39" t="s">
        <v>96</v>
      </c>
      <c r="H39" t="s">
        <v>212</v>
      </c>
    </row>
    <row r="40" spans="1:8" x14ac:dyDescent="0.25">
      <c r="A40">
        <v>591</v>
      </c>
      <c r="B40" t="s">
        <v>213</v>
      </c>
      <c r="C40" t="s">
        <v>113</v>
      </c>
      <c r="D40">
        <v>564.99</v>
      </c>
      <c r="E40" t="s">
        <v>214</v>
      </c>
      <c r="F40" t="s">
        <v>98</v>
      </c>
      <c r="G40" t="s">
        <v>96</v>
      </c>
      <c r="H40" t="s">
        <v>215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DB42-1AFD-4FC3-9FAC-597E4F088360}">
  <dimension ref="A1:N101"/>
  <sheetViews>
    <sheetView workbookViewId="0">
      <selection activeCell="M4" sqref="M4"/>
    </sheetView>
  </sheetViews>
  <sheetFormatPr baseColWidth="10" defaultColWidth="8.85546875" defaultRowHeight="15" x14ac:dyDescent="0.25"/>
  <cols>
    <col min="1" max="1" width="12" bestFit="1" customWidth="1"/>
    <col min="2" max="2" width="13.140625" bestFit="1" customWidth="1"/>
    <col min="3" max="3" width="14.7109375" bestFit="1" customWidth="1"/>
    <col min="4" max="4" width="14.42578125" style="7" bestFit="1" customWidth="1"/>
    <col min="5" max="5" width="13.28515625" bestFit="1" customWidth="1"/>
    <col min="6" max="6" width="13.7109375" bestFit="1" customWidth="1"/>
    <col min="7" max="7" width="11.42578125" bestFit="1" customWidth="1"/>
    <col min="8" max="8" width="11.85546875" bestFit="1" customWidth="1"/>
    <col min="9" max="9" width="12" bestFit="1" customWidth="1"/>
    <col min="10" max="10" width="20.85546875" bestFit="1" customWidth="1"/>
    <col min="11" max="11" width="28.5703125" bestFit="1" customWidth="1"/>
    <col min="12" max="12" width="10.42578125" bestFit="1" customWidth="1"/>
    <col min="13" max="13" width="11.28515625" bestFit="1" customWidth="1"/>
  </cols>
  <sheetData>
    <row r="1" spans="1:14" x14ac:dyDescent="0.25">
      <c r="A1" s="1" t="s">
        <v>222</v>
      </c>
      <c r="B1" s="1" t="s">
        <v>217</v>
      </c>
      <c r="C1" s="1" t="s">
        <v>218</v>
      </c>
      <c r="D1" s="4" t="s">
        <v>219</v>
      </c>
      <c r="E1" s="1" t="s">
        <v>220</v>
      </c>
      <c r="F1" s="1" t="s">
        <v>221</v>
      </c>
      <c r="G1" s="1" t="s">
        <v>223</v>
      </c>
      <c r="H1" s="1" t="s">
        <v>227</v>
      </c>
      <c r="I1" s="1" t="s">
        <v>224</v>
      </c>
      <c r="J1" s="1" t="s">
        <v>225</v>
      </c>
      <c r="K1" s="1" t="s">
        <v>226</v>
      </c>
      <c r="L1" s="1" t="s">
        <v>230</v>
      </c>
      <c r="M1" s="1" t="s">
        <v>231</v>
      </c>
      <c r="N1" s="1" t="s">
        <v>232</v>
      </c>
    </row>
    <row r="2" spans="1:14" x14ac:dyDescent="0.25">
      <c r="A2" s="2">
        <v>15364</v>
      </c>
      <c r="B2" s="2">
        <v>11027</v>
      </c>
      <c r="C2" s="2">
        <v>225</v>
      </c>
      <c r="D2" s="5">
        <v>44158</v>
      </c>
      <c r="E2" s="2">
        <v>7</v>
      </c>
      <c r="F2" s="12">
        <v>8.99</v>
      </c>
      <c r="G2" s="14">
        <f>Sales[[#This Row],[Precio Unit.]]*Sales[[#This Row],[Cant Orden]]</f>
        <v>62.93</v>
      </c>
      <c r="H2" s="14">
        <f>Sales[[#This Row],[Subtotal]]*DatosExtra!$B$2</f>
        <v>6.2930000000000001</v>
      </c>
      <c r="I2" s="14">
        <f>+Sales[[#This Row],[Impuesto]]+Sales[[#This Row],[Subtotal]]</f>
        <v>69.222999999999999</v>
      </c>
      <c r="J2" s="14" t="str">
        <f>VLOOKUP(Sales[[#This Row],[CodCliente]],Customers[#All],3,0)</f>
        <v>Jessie Zhao</v>
      </c>
      <c r="K2" s="14" t="str">
        <f>VLOOKUP(Sales[[#This Row],[CodProducto]],Products[#All],2,0)</f>
        <v>AWC Logo Cap</v>
      </c>
      <c r="L2">
        <f>YEAR(Sales[[#This Row],[Fecha Orden]])</f>
        <v>2020</v>
      </c>
      <c r="M2" t="str">
        <f>TEXT(Sales[[#This Row],[Fecha Orden]],"mmmm")</f>
        <v>noviembre</v>
      </c>
      <c r="N2" s="14" t="str">
        <f>VLOOKUP(Sales[[#This Row],[CodProducto]],Products[#All],7,0)</f>
        <v>Clothing</v>
      </c>
    </row>
    <row r="3" spans="1:14" x14ac:dyDescent="0.25">
      <c r="A3" s="2">
        <v>17007</v>
      </c>
      <c r="B3" s="2">
        <v>11027</v>
      </c>
      <c r="C3" s="2">
        <v>347</v>
      </c>
      <c r="D3" s="5">
        <v>44160</v>
      </c>
      <c r="E3" s="2">
        <v>8</v>
      </c>
      <c r="F3" s="12">
        <v>3399.99</v>
      </c>
      <c r="G3" s="14">
        <f>Sales[[#This Row],[Precio Unit.]]*Sales[[#This Row],[Cant Orden]]</f>
        <v>27199.919999999998</v>
      </c>
      <c r="H3" s="14">
        <f>Sales[[#This Row],[Subtotal]]*DatosExtra!$B$2</f>
        <v>2719.9920000000002</v>
      </c>
      <c r="I3" s="14">
        <f>+Sales[[#This Row],[Impuesto]]+Sales[[#This Row],[Subtotal]]</f>
        <v>29919.911999999997</v>
      </c>
      <c r="J3" s="14" t="str">
        <f>VLOOKUP(Sales[[#This Row],[CodCliente]],Customers[#All],3,0)</f>
        <v>Jessie Zhao</v>
      </c>
      <c r="K3" s="14" t="str">
        <f>VLOOKUP(Sales[[#This Row],[CodProducto]],Products[#All],2,0)</f>
        <v>Mountain-100 Silver, 48</v>
      </c>
      <c r="L3">
        <f>YEAR(Sales[[#This Row],[Fecha Orden]])</f>
        <v>2020</v>
      </c>
      <c r="M3" t="str">
        <f>TEXT(Sales[[#This Row],[Fecha Orden]],"mmmm")</f>
        <v>noviembre</v>
      </c>
      <c r="N3" s="14" t="str">
        <f>VLOOKUP(Sales[[#This Row],[CodProducto]],Products[#All],7,0)</f>
        <v>Bikes</v>
      </c>
    </row>
    <row r="4" spans="1:14" x14ac:dyDescent="0.25">
      <c r="A4" s="2">
        <v>13874</v>
      </c>
      <c r="B4" s="2">
        <v>11027</v>
      </c>
      <c r="C4" s="2">
        <v>363</v>
      </c>
      <c r="D4" s="5">
        <v>44231</v>
      </c>
      <c r="E4" s="2">
        <v>5</v>
      </c>
      <c r="F4" s="12">
        <v>2294.9899999999998</v>
      </c>
      <c r="G4" s="14">
        <f>Sales[[#This Row],[Precio Unit.]]*Sales[[#This Row],[Cant Orden]]</f>
        <v>11474.949999999999</v>
      </c>
      <c r="H4" s="14">
        <f>Sales[[#This Row],[Subtotal]]*DatosExtra!$B$2</f>
        <v>1147.4949999999999</v>
      </c>
      <c r="I4" s="14">
        <f>+Sales[[#This Row],[Impuesto]]+Sales[[#This Row],[Subtotal]]</f>
        <v>12622.445</v>
      </c>
      <c r="J4" s="14" t="str">
        <f>VLOOKUP(Sales[[#This Row],[CodCliente]],Customers[#All],3,0)</f>
        <v>Jessie Zhao</v>
      </c>
      <c r="K4" s="14" t="str">
        <f>VLOOKUP(Sales[[#This Row],[CodProducto]],Products[#All],2,0)</f>
        <v>Mountain-200 Black, 46</v>
      </c>
      <c r="L4">
        <f>YEAR(Sales[[#This Row],[Fecha Orden]])</f>
        <v>2021</v>
      </c>
      <c r="M4" t="str">
        <f>TEXT(Sales[[#This Row],[Fecha Orden]],"mmmm")</f>
        <v>febrero</v>
      </c>
      <c r="N4" s="14" t="str">
        <f>VLOOKUP(Sales[[#This Row],[CodProducto]],Products[#All],7,0)</f>
        <v>Bikes</v>
      </c>
    </row>
    <row r="5" spans="1:14" x14ac:dyDescent="0.25">
      <c r="A5" s="2">
        <v>17472</v>
      </c>
      <c r="B5" s="2">
        <v>11027</v>
      </c>
      <c r="C5" s="2">
        <v>480</v>
      </c>
      <c r="D5" s="5">
        <v>44149</v>
      </c>
      <c r="E5" s="2">
        <v>8</v>
      </c>
      <c r="F5" s="12">
        <v>2.29</v>
      </c>
      <c r="G5" s="14">
        <f>Sales[[#This Row],[Precio Unit.]]*Sales[[#This Row],[Cant Orden]]</f>
        <v>18.32</v>
      </c>
      <c r="H5" s="14">
        <f>Sales[[#This Row],[Subtotal]]*DatosExtra!$B$2</f>
        <v>1.8320000000000001</v>
      </c>
      <c r="I5" s="14">
        <f>+Sales[[#This Row],[Impuesto]]+Sales[[#This Row],[Subtotal]]</f>
        <v>20.152000000000001</v>
      </c>
      <c r="J5" s="14" t="str">
        <f>VLOOKUP(Sales[[#This Row],[CodCliente]],Customers[#All],3,0)</f>
        <v>Jessie Zhao</v>
      </c>
      <c r="K5" s="14" t="str">
        <f>VLOOKUP(Sales[[#This Row],[CodProducto]],Products[#All],2,0)</f>
        <v>Patch Kit/8 Patches</v>
      </c>
      <c r="L5">
        <f>YEAR(Sales[[#This Row],[Fecha Orden]])</f>
        <v>2020</v>
      </c>
      <c r="M5" t="str">
        <f>TEXT(Sales[[#This Row],[Fecha Orden]],"mmmm")</f>
        <v>noviembre</v>
      </c>
      <c r="N5" s="14" t="str">
        <f>VLOOKUP(Sales[[#This Row],[CodProducto]],Products[#All],7,0)</f>
        <v>Accessories</v>
      </c>
    </row>
    <row r="6" spans="1:14" x14ac:dyDescent="0.25">
      <c r="A6" s="2">
        <v>11457</v>
      </c>
      <c r="B6" s="2">
        <v>11027</v>
      </c>
      <c r="C6" s="2">
        <v>487</v>
      </c>
      <c r="D6" s="5">
        <v>44113</v>
      </c>
      <c r="E6" s="2">
        <v>8</v>
      </c>
      <c r="F6" s="12">
        <v>54.99</v>
      </c>
      <c r="G6" s="14">
        <f>Sales[[#This Row],[Precio Unit.]]*Sales[[#This Row],[Cant Orden]]</f>
        <v>439.92</v>
      </c>
      <c r="H6" s="14">
        <f>Sales[[#This Row],[Subtotal]]*DatosExtra!$B$2</f>
        <v>43.992000000000004</v>
      </c>
      <c r="I6" s="14">
        <f>+Sales[[#This Row],[Impuesto]]+Sales[[#This Row],[Subtotal]]</f>
        <v>483.91200000000003</v>
      </c>
      <c r="J6" s="14" t="str">
        <f>VLOOKUP(Sales[[#This Row],[CodCliente]],Customers[#All],3,0)</f>
        <v>Jessie Zhao</v>
      </c>
      <c r="K6" s="14" t="str">
        <f>VLOOKUP(Sales[[#This Row],[CodProducto]],Products[#All],2,0)</f>
        <v>Hydration Pack - 70 oz.</v>
      </c>
      <c r="L6">
        <f>YEAR(Sales[[#This Row],[Fecha Orden]])</f>
        <v>2020</v>
      </c>
      <c r="M6" t="str">
        <f>TEXT(Sales[[#This Row],[Fecha Orden]],"mmmm")</f>
        <v>octubre</v>
      </c>
      <c r="N6" s="14" t="str">
        <f>VLOOKUP(Sales[[#This Row],[CodProducto]],Products[#All],7,0)</f>
        <v>Accessories</v>
      </c>
    </row>
    <row r="7" spans="1:14" x14ac:dyDescent="0.25">
      <c r="A7" s="2">
        <v>10925</v>
      </c>
      <c r="B7" s="2">
        <v>11027</v>
      </c>
      <c r="C7" s="2">
        <v>490</v>
      </c>
      <c r="D7" s="5">
        <v>44122</v>
      </c>
      <c r="E7" s="2">
        <v>2</v>
      </c>
      <c r="F7" s="12">
        <v>53.99</v>
      </c>
      <c r="G7" s="14">
        <f>Sales[[#This Row],[Precio Unit.]]*Sales[[#This Row],[Cant Orden]]</f>
        <v>107.98</v>
      </c>
      <c r="H7" s="14">
        <f>Sales[[#This Row],[Subtotal]]*DatosExtra!$B$2</f>
        <v>10.798000000000002</v>
      </c>
      <c r="I7" s="14">
        <f>+Sales[[#This Row],[Impuesto]]+Sales[[#This Row],[Subtotal]]</f>
        <v>118.77800000000001</v>
      </c>
      <c r="J7" s="14" t="str">
        <f>VLOOKUP(Sales[[#This Row],[CodCliente]],Customers[#All],3,0)</f>
        <v>Jessie Zhao</v>
      </c>
      <c r="K7" s="14" t="str">
        <f>VLOOKUP(Sales[[#This Row],[CodProducto]],Products[#All],2,0)</f>
        <v>Short-Sleeve Classic Jersey, L</v>
      </c>
      <c r="L7">
        <f>YEAR(Sales[[#This Row],[Fecha Orden]])</f>
        <v>2020</v>
      </c>
      <c r="M7" t="str">
        <f>TEXT(Sales[[#This Row],[Fecha Orden]],"mmmm")</f>
        <v>octubre</v>
      </c>
      <c r="N7" s="14" t="str">
        <f>VLOOKUP(Sales[[#This Row],[CodProducto]],Products[#All],7,0)</f>
        <v>Clothing</v>
      </c>
    </row>
    <row r="8" spans="1:14" x14ac:dyDescent="0.25">
      <c r="A8" s="2">
        <v>19585</v>
      </c>
      <c r="B8" s="2">
        <v>11027</v>
      </c>
      <c r="C8" s="2">
        <v>530</v>
      </c>
      <c r="D8" s="5">
        <v>44227</v>
      </c>
      <c r="E8" s="2">
        <v>4</v>
      </c>
      <c r="F8" s="12">
        <v>4.99</v>
      </c>
      <c r="G8" s="14">
        <f>Sales[[#This Row],[Precio Unit.]]*Sales[[#This Row],[Cant Orden]]</f>
        <v>19.96</v>
      </c>
      <c r="H8" s="14">
        <f>Sales[[#This Row],[Subtotal]]*DatosExtra!$B$2</f>
        <v>1.9960000000000002</v>
      </c>
      <c r="I8" s="14">
        <f>+Sales[[#This Row],[Impuesto]]+Sales[[#This Row],[Subtotal]]</f>
        <v>21.956</v>
      </c>
      <c r="J8" s="14" t="str">
        <f>VLOOKUP(Sales[[#This Row],[CodCliente]],Customers[#All],3,0)</f>
        <v>Jessie Zhao</v>
      </c>
      <c r="K8" s="14" t="str">
        <f>VLOOKUP(Sales[[#This Row],[CodProducto]],Products[#All],2,0)</f>
        <v>Touring Tire Tube</v>
      </c>
      <c r="L8">
        <f>YEAR(Sales[[#This Row],[Fecha Orden]])</f>
        <v>2021</v>
      </c>
      <c r="M8" t="str">
        <f>TEXT(Sales[[#This Row],[Fecha Orden]],"mmmm")</f>
        <v>enero</v>
      </c>
      <c r="N8" s="14" t="str">
        <f>VLOOKUP(Sales[[#This Row],[CodProducto]],Products[#All],7,0)</f>
        <v>Accessories</v>
      </c>
    </row>
    <row r="9" spans="1:14" x14ac:dyDescent="0.25">
      <c r="A9" s="2">
        <v>10828</v>
      </c>
      <c r="B9" s="2">
        <v>11027</v>
      </c>
      <c r="C9" s="2">
        <v>541</v>
      </c>
      <c r="D9" s="5">
        <v>44171</v>
      </c>
      <c r="E9" s="2">
        <v>1</v>
      </c>
      <c r="F9" s="12">
        <v>28.99</v>
      </c>
      <c r="G9" s="14">
        <f>Sales[[#This Row],[Precio Unit.]]*Sales[[#This Row],[Cant Orden]]</f>
        <v>28.99</v>
      </c>
      <c r="H9" s="14">
        <f>Sales[[#This Row],[Subtotal]]*DatosExtra!$B$2</f>
        <v>2.899</v>
      </c>
      <c r="I9" s="14">
        <f>+Sales[[#This Row],[Impuesto]]+Sales[[#This Row],[Subtotal]]</f>
        <v>31.888999999999999</v>
      </c>
      <c r="J9" s="14" t="str">
        <f>VLOOKUP(Sales[[#This Row],[CodCliente]],Customers[#All],3,0)</f>
        <v>Jessie Zhao</v>
      </c>
      <c r="K9" s="14" t="str">
        <f>VLOOKUP(Sales[[#This Row],[CodProducto]],Products[#All],2,0)</f>
        <v>Touring Tire</v>
      </c>
      <c r="L9">
        <f>YEAR(Sales[[#This Row],[Fecha Orden]])</f>
        <v>2020</v>
      </c>
      <c r="M9" t="str">
        <f>TEXT(Sales[[#This Row],[Fecha Orden]],"mmmm")</f>
        <v>diciembre</v>
      </c>
      <c r="N9" s="14" t="str">
        <f>VLOOKUP(Sales[[#This Row],[CodProducto]],Products[#All],7,0)</f>
        <v>Accessories</v>
      </c>
    </row>
    <row r="10" spans="1:14" x14ac:dyDescent="0.25">
      <c r="A10" s="2">
        <v>19379</v>
      </c>
      <c r="B10" s="2">
        <v>11027</v>
      </c>
      <c r="C10" s="2">
        <v>571</v>
      </c>
      <c r="D10" s="5">
        <v>44238</v>
      </c>
      <c r="E10" s="2">
        <v>5</v>
      </c>
      <c r="F10" s="12">
        <v>742.35</v>
      </c>
      <c r="G10" s="14">
        <f>Sales[[#This Row],[Precio Unit.]]*Sales[[#This Row],[Cant Orden]]</f>
        <v>3711.75</v>
      </c>
      <c r="H10" s="14">
        <f>Sales[[#This Row],[Subtotal]]*DatosExtra!$B$2</f>
        <v>371.17500000000001</v>
      </c>
      <c r="I10" s="14">
        <f>+Sales[[#This Row],[Impuesto]]+Sales[[#This Row],[Subtotal]]</f>
        <v>4082.9250000000002</v>
      </c>
      <c r="J10" s="14" t="str">
        <f>VLOOKUP(Sales[[#This Row],[CodCliente]],Customers[#All],3,0)</f>
        <v>Jessie Zhao</v>
      </c>
      <c r="K10" s="14" t="str">
        <f>VLOOKUP(Sales[[#This Row],[CodProducto]],Products[#All],2,0)</f>
        <v>Touring-3000 Yellow, 58</v>
      </c>
      <c r="L10">
        <f>YEAR(Sales[[#This Row],[Fecha Orden]])</f>
        <v>2021</v>
      </c>
      <c r="M10" t="str">
        <f>TEXT(Sales[[#This Row],[Fecha Orden]],"mmmm")</f>
        <v>febrero</v>
      </c>
      <c r="N10" s="14" t="str">
        <f>VLOOKUP(Sales[[#This Row],[CodProducto]],Products[#All],7,0)</f>
        <v>Bikes</v>
      </c>
    </row>
    <row r="11" spans="1:14" x14ac:dyDescent="0.25">
      <c r="A11" s="2">
        <v>13710</v>
      </c>
      <c r="B11" s="2">
        <v>11979</v>
      </c>
      <c r="C11" s="2">
        <v>353</v>
      </c>
      <c r="D11" s="5">
        <v>44210</v>
      </c>
      <c r="E11" s="2">
        <v>1</v>
      </c>
      <c r="F11" s="12">
        <v>2319.9899999999998</v>
      </c>
      <c r="G11" s="14">
        <f>Sales[[#This Row],[Precio Unit.]]*Sales[[#This Row],[Cant Orden]]</f>
        <v>2319.9899999999998</v>
      </c>
      <c r="H11" s="14">
        <f>Sales[[#This Row],[Subtotal]]*DatosExtra!$B$2</f>
        <v>231.999</v>
      </c>
      <c r="I11" s="14">
        <f>+Sales[[#This Row],[Impuesto]]+Sales[[#This Row],[Subtotal]]</f>
        <v>2551.9889999999996</v>
      </c>
      <c r="J11" s="14" t="str">
        <f>VLOOKUP(Sales[[#This Row],[CodCliente]],Customers[#All],3,0)</f>
        <v>Christopher Johnson</v>
      </c>
      <c r="K11" s="14" t="str">
        <f>VLOOKUP(Sales[[#This Row],[CodProducto]],Products[#All],2,0)</f>
        <v>Mountain-200 Silver, 38</v>
      </c>
      <c r="L11">
        <f>YEAR(Sales[[#This Row],[Fecha Orden]])</f>
        <v>2021</v>
      </c>
      <c r="M11" t="str">
        <f>TEXT(Sales[[#This Row],[Fecha Orden]],"mmmm")</f>
        <v>enero</v>
      </c>
      <c r="N11" s="14" t="str">
        <f>VLOOKUP(Sales[[#This Row],[CodProducto]],Products[#All],7,0)</f>
        <v>Bikes</v>
      </c>
    </row>
    <row r="12" spans="1:14" x14ac:dyDescent="0.25">
      <c r="A12" s="2">
        <v>13463</v>
      </c>
      <c r="B12" s="2">
        <v>11979</v>
      </c>
      <c r="C12" s="2">
        <v>473</v>
      </c>
      <c r="D12" s="5">
        <v>44238</v>
      </c>
      <c r="E12" s="2">
        <v>2</v>
      </c>
      <c r="F12" s="12">
        <v>63.5</v>
      </c>
      <c r="G12" s="14">
        <f>Sales[[#This Row],[Precio Unit.]]*Sales[[#This Row],[Cant Orden]]</f>
        <v>127</v>
      </c>
      <c r="H12" s="14">
        <f>Sales[[#This Row],[Subtotal]]*DatosExtra!$B$2</f>
        <v>12.700000000000001</v>
      </c>
      <c r="I12" s="14">
        <f>+Sales[[#This Row],[Impuesto]]+Sales[[#This Row],[Subtotal]]</f>
        <v>139.69999999999999</v>
      </c>
      <c r="J12" s="14" t="str">
        <f>VLOOKUP(Sales[[#This Row],[CodCliente]],Customers[#All],3,0)</f>
        <v>Christopher Johnson</v>
      </c>
      <c r="K12" s="14" t="str">
        <f>VLOOKUP(Sales[[#This Row],[CodProducto]],Products[#All],2,0)</f>
        <v>Classic Vest, L</v>
      </c>
      <c r="L12">
        <f>YEAR(Sales[[#This Row],[Fecha Orden]])</f>
        <v>2021</v>
      </c>
      <c r="M12" t="str">
        <f>TEXT(Sales[[#This Row],[Fecha Orden]],"mmmm")</f>
        <v>febrero</v>
      </c>
      <c r="N12" s="14" t="str">
        <f>VLOOKUP(Sales[[#This Row],[CodProducto]],Products[#All],7,0)</f>
        <v>Clothing</v>
      </c>
    </row>
    <row r="13" spans="1:14" x14ac:dyDescent="0.25">
      <c r="A13" s="2">
        <v>12510</v>
      </c>
      <c r="B13" s="2">
        <v>11979</v>
      </c>
      <c r="C13" s="2">
        <v>477</v>
      </c>
      <c r="D13" s="5">
        <v>44151</v>
      </c>
      <c r="E13" s="2">
        <v>2</v>
      </c>
      <c r="F13" s="12">
        <v>4.99</v>
      </c>
      <c r="G13" s="14">
        <f>Sales[[#This Row],[Precio Unit.]]*Sales[[#This Row],[Cant Orden]]</f>
        <v>9.98</v>
      </c>
      <c r="H13" s="14">
        <f>Sales[[#This Row],[Subtotal]]*DatosExtra!$B$2</f>
        <v>0.99800000000000011</v>
      </c>
      <c r="I13" s="14">
        <f>+Sales[[#This Row],[Impuesto]]+Sales[[#This Row],[Subtotal]]</f>
        <v>10.978</v>
      </c>
      <c r="J13" s="14" t="str">
        <f>VLOOKUP(Sales[[#This Row],[CodCliente]],Customers[#All],3,0)</f>
        <v>Christopher Johnson</v>
      </c>
      <c r="K13" s="14" t="str">
        <f>VLOOKUP(Sales[[#This Row],[CodProducto]],Products[#All],2,0)</f>
        <v>Water Bottle - 30 oz.</v>
      </c>
      <c r="L13">
        <f>YEAR(Sales[[#This Row],[Fecha Orden]])</f>
        <v>2020</v>
      </c>
      <c r="M13" t="str">
        <f>TEXT(Sales[[#This Row],[Fecha Orden]],"mmmm")</f>
        <v>noviembre</v>
      </c>
      <c r="N13" s="14" t="str">
        <f>VLOOKUP(Sales[[#This Row],[CodProducto]],Products[#All],7,0)</f>
        <v>Accessories</v>
      </c>
    </row>
    <row r="14" spans="1:14" x14ac:dyDescent="0.25">
      <c r="A14" s="2">
        <v>10088</v>
      </c>
      <c r="B14" s="2">
        <v>11979</v>
      </c>
      <c r="C14" s="2">
        <v>479</v>
      </c>
      <c r="D14" s="5">
        <v>44106</v>
      </c>
      <c r="E14" s="2">
        <v>10</v>
      </c>
      <c r="F14" s="12">
        <v>8.99</v>
      </c>
      <c r="G14" s="14">
        <f>Sales[[#This Row],[Precio Unit.]]*Sales[[#This Row],[Cant Orden]]</f>
        <v>89.9</v>
      </c>
      <c r="H14" s="14">
        <f>Sales[[#This Row],[Subtotal]]*DatosExtra!$B$2</f>
        <v>8.99</v>
      </c>
      <c r="I14" s="14">
        <f>+Sales[[#This Row],[Impuesto]]+Sales[[#This Row],[Subtotal]]</f>
        <v>98.89</v>
      </c>
      <c r="J14" s="14" t="str">
        <f>VLOOKUP(Sales[[#This Row],[CodCliente]],Customers[#All],3,0)</f>
        <v>Christopher Johnson</v>
      </c>
      <c r="K14" s="14" t="str">
        <f>VLOOKUP(Sales[[#This Row],[CodProducto]],Products[#All],2,0)</f>
        <v>Road Bottle Cage</v>
      </c>
      <c r="L14">
        <f>YEAR(Sales[[#This Row],[Fecha Orden]])</f>
        <v>2020</v>
      </c>
      <c r="M14" t="str">
        <f>TEXT(Sales[[#This Row],[Fecha Orden]],"mmmm")</f>
        <v>octubre</v>
      </c>
      <c r="N14" s="14" t="str">
        <f>VLOOKUP(Sales[[#This Row],[CodProducto]],Products[#All],7,0)</f>
        <v>Accessories</v>
      </c>
    </row>
    <row r="15" spans="1:14" x14ac:dyDescent="0.25">
      <c r="A15" s="2">
        <v>15451</v>
      </c>
      <c r="B15" s="2">
        <v>11979</v>
      </c>
      <c r="C15" s="2">
        <v>480</v>
      </c>
      <c r="D15" s="5">
        <v>44227</v>
      </c>
      <c r="E15" s="2">
        <v>4</v>
      </c>
      <c r="F15" s="12">
        <v>2.29</v>
      </c>
      <c r="G15" s="14">
        <f>Sales[[#This Row],[Precio Unit.]]*Sales[[#This Row],[Cant Orden]]</f>
        <v>9.16</v>
      </c>
      <c r="H15" s="14">
        <f>Sales[[#This Row],[Subtotal]]*DatosExtra!$B$2</f>
        <v>0.91600000000000004</v>
      </c>
      <c r="I15" s="14">
        <f>+Sales[[#This Row],[Impuesto]]+Sales[[#This Row],[Subtotal]]</f>
        <v>10.076000000000001</v>
      </c>
      <c r="J15" s="14" t="str">
        <f>VLOOKUP(Sales[[#This Row],[CodCliente]],Customers[#All],3,0)</f>
        <v>Christopher Johnson</v>
      </c>
      <c r="K15" s="14" t="str">
        <f>VLOOKUP(Sales[[#This Row],[CodProducto]],Products[#All],2,0)</f>
        <v>Patch Kit/8 Patches</v>
      </c>
      <c r="L15">
        <f>YEAR(Sales[[#This Row],[Fecha Orden]])</f>
        <v>2021</v>
      </c>
      <c r="M15" t="str">
        <f>TEXT(Sales[[#This Row],[Fecha Orden]],"mmmm")</f>
        <v>enero</v>
      </c>
      <c r="N15" s="14" t="str">
        <f>VLOOKUP(Sales[[#This Row],[CodProducto]],Products[#All],7,0)</f>
        <v>Accessories</v>
      </c>
    </row>
    <row r="16" spans="1:14" x14ac:dyDescent="0.25">
      <c r="A16" s="2">
        <v>10948</v>
      </c>
      <c r="B16" s="2">
        <v>11979</v>
      </c>
      <c r="C16" s="2">
        <v>484</v>
      </c>
      <c r="D16" s="5">
        <v>44206</v>
      </c>
      <c r="E16" s="2">
        <v>7</v>
      </c>
      <c r="F16" s="12">
        <v>7.95</v>
      </c>
      <c r="G16" s="14">
        <f>Sales[[#This Row],[Precio Unit.]]*Sales[[#This Row],[Cant Orden]]</f>
        <v>55.65</v>
      </c>
      <c r="H16" s="14">
        <f>Sales[[#This Row],[Subtotal]]*DatosExtra!$B$2</f>
        <v>5.5650000000000004</v>
      </c>
      <c r="I16" s="14">
        <f>+Sales[[#This Row],[Impuesto]]+Sales[[#This Row],[Subtotal]]</f>
        <v>61.214999999999996</v>
      </c>
      <c r="J16" s="14" t="str">
        <f>VLOOKUP(Sales[[#This Row],[CodCliente]],Customers[#All],3,0)</f>
        <v>Christopher Johnson</v>
      </c>
      <c r="K16" s="14" t="str">
        <f>VLOOKUP(Sales[[#This Row],[CodProducto]],Products[#All],2,0)</f>
        <v>Bike Wash - Dissolver</v>
      </c>
      <c r="L16">
        <f>YEAR(Sales[[#This Row],[Fecha Orden]])</f>
        <v>2021</v>
      </c>
      <c r="M16" t="str">
        <f>TEXT(Sales[[#This Row],[Fecha Orden]],"mmmm")</f>
        <v>enero</v>
      </c>
      <c r="N16" s="14" t="str">
        <f>VLOOKUP(Sales[[#This Row],[CodProducto]],Products[#All],7,0)</f>
        <v>Accessories</v>
      </c>
    </row>
    <row r="17" spans="1:14" x14ac:dyDescent="0.25">
      <c r="A17" s="2">
        <v>12124</v>
      </c>
      <c r="B17" s="2">
        <v>11979</v>
      </c>
      <c r="C17" s="2">
        <v>485</v>
      </c>
      <c r="D17" s="5">
        <v>44167</v>
      </c>
      <c r="E17" s="2">
        <v>2</v>
      </c>
      <c r="F17" s="12">
        <v>21.98</v>
      </c>
      <c r="G17" s="14">
        <f>Sales[[#This Row],[Precio Unit.]]*Sales[[#This Row],[Cant Orden]]</f>
        <v>43.96</v>
      </c>
      <c r="H17" s="14">
        <f>Sales[[#This Row],[Subtotal]]*DatosExtra!$B$2</f>
        <v>4.3959999999999999</v>
      </c>
      <c r="I17" s="14">
        <f>+Sales[[#This Row],[Impuesto]]+Sales[[#This Row],[Subtotal]]</f>
        <v>48.356000000000002</v>
      </c>
      <c r="J17" s="14" t="str">
        <f>VLOOKUP(Sales[[#This Row],[CodCliente]],Customers[#All],3,0)</f>
        <v>Christopher Johnson</v>
      </c>
      <c r="K17" s="14" t="str">
        <f>VLOOKUP(Sales[[#This Row],[CodProducto]],Products[#All],2,0)</f>
        <v>Fender Set - Mountain</v>
      </c>
      <c r="L17">
        <f>YEAR(Sales[[#This Row],[Fecha Orden]])</f>
        <v>2020</v>
      </c>
      <c r="M17" t="str">
        <f>TEXT(Sales[[#This Row],[Fecha Orden]],"mmmm")</f>
        <v>diciembre</v>
      </c>
      <c r="N17" s="14" t="str">
        <f>VLOOKUP(Sales[[#This Row],[CodProducto]],Products[#All],7,0)</f>
        <v>Accessories</v>
      </c>
    </row>
    <row r="18" spans="1:14" x14ac:dyDescent="0.25">
      <c r="A18" s="2">
        <v>13890</v>
      </c>
      <c r="B18" s="2">
        <v>11979</v>
      </c>
      <c r="C18" s="2">
        <v>576</v>
      </c>
      <c r="D18" s="5">
        <v>44122</v>
      </c>
      <c r="E18" s="2">
        <v>5</v>
      </c>
      <c r="F18" s="12">
        <v>2384.0700000000002</v>
      </c>
      <c r="G18" s="14">
        <f>Sales[[#This Row],[Precio Unit.]]*Sales[[#This Row],[Cant Orden]]</f>
        <v>11920.35</v>
      </c>
      <c r="H18" s="14">
        <f>Sales[[#This Row],[Subtotal]]*DatosExtra!$B$2</f>
        <v>1192.0350000000001</v>
      </c>
      <c r="I18" s="14">
        <f>+Sales[[#This Row],[Impuesto]]+Sales[[#This Row],[Subtotal]]</f>
        <v>13112.385</v>
      </c>
      <c r="J18" s="14" t="str">
        <f>VLOOKUP(Sales[[#This Row],[CodCliente]],Customers[#All],3,0)</f>
        <v>Christopher Johnson</v>
      </c>
      <c r="K18" s="14" t="str">
        <f>VLOOKUP(Sales[[#This Row],[CodProducto]],Products[#All],2,0)</f>
        <v>Touring-1000 Blue, 60</v>
      </c>
      <c r="L18">
        <f>YEAR(Sales[[#This Row],[Fecha Orden]])</f>
        <v>2020</v>
      </c>
      <c r="M18" t="str">
        <f>TEXT(Sales[[#This Row],[Fecha Orden]],"mmmm")</f>
        <v>octubre</v>
      </c>
      <c r="N18" s="14" t="str">
        <f>VLOOKUP(Sales[[#This Row],[CodProducto]],Products[#All],7,0)</f>
        <v>Bikes</v>
      </c>
    </row>
    <row r="19" spans="1:14" x14ac:dyDescent="0.25">
      <c r="A19" s="2">
        <v>14692</v>
      </c>
      <c r="B19" s="2">
        <v>12224</v>
      </c>
      <c r="C19" s="2">
        <v>214</v>
      </c>
      <c r="D19" s="5">
        <v>44227</v>
      </c>
      <c r="E19" s="2">
        <v>9</v>
      </c>
      <c r="F19" s="12">
        <v>34.99</v>
      </c>
      <c r="G19" s="14">
        <f>Sales[[#This Row],[Precio Unit.]]*Sales[[#This Row],[Cant Orden]]</f>
        <v>314.91000000000003</v>
      </c>
      <c r="H19" s="14">
        <f>Sales[[#This Row],[Subtotal]]*DatosExtra!$B$2</f>
        <v>31.491000000000003</v>
      </c>
      <c r="I19" s="14">
        <f>+Sales[[#This Row],[Impuesto]]+Sales[[#This Row],[Subtotal]]</f>
        <v>346.40100000000001</v>
      </c>
      <c r="J19" s="14" t="str">
        <f>VLOOKUP(Sales[[#This Row],[CodCliente]],Customers[#All],3,0)</f>
        <v>Tristan Henderson</v>
      </c>
      <c r="K19" s="14" t="str">
        <f>VLOOKUP(Sales[[#This Row],[CodProducto]],Products[#All],2,0)</f>
        <v>Sport-100 Helmet, Red</v>
      </c>
      <c r="L19">
        <f>YEAR(Sales[[#This Row],[Fecha Orden]])</f>
        <v>2021</v>
      </c>
      <c r="M19" t="str">
        <f>TEXT(Sales[[#This Row],[Fecha Orden]],"mmmm")</f>
        <v>enero</v>
      </c>
      <c r="N19" s="14" t="str">
        <f>VLOOKUP(Sales[[#This Row],[CodProducto]],Products[#All],7,0)</f>
        <v>Accessories</v>
      </c>
    </row>
    <row r="20" spans="1:14" x14ac:dyDescent="0.25">
      <c r="A20" s="2">
        <v>12202</v>
      </c>
      <c r="B20" s="2">
        <v>12224</v>
      </c>
      <c r="C20" s="2">
        <v>231</v>
      </c>
      <c r="D20" s="5">
        <v>44114</v>
      </c>
      <c r="E20" s="2">
        <v>7</v>
      </c>
      <c r="F20" s="12">
        <v>49.99</v>
      </c>
      <c r="G20" s="14">
        <f>Sales[[#This Row],[Precio Unit.]]*Sales[[#This Row],[Cant Orden]]</f>
        <v>349.93</v>
      </c>
      <c r="H20" s="14">
        <f>Sales[[#This Row],[Subtotal]]*DatosExtra!$B$2</f>
        <v>34.993000000000002</v>
      </c>
      <c r="I20" s="14">
        <f>+Sales[[#This Row],[Impuesto]]+Sales[[#This Row],[Subtotal]]</f>
        <v>384.923</v>
      </c>
      <c r="J20" s="14" t="str">
        <f>VLOOKUP(Sales[[#This Row],[CodCliente]],Customers[#All],3,0)</f>
        <v>Tristan Henderson</v>
      </c>
      <c r="K20" s="14" t="str">
        <f>VLOOKUP(Sales[[#This Row],[CodProducto]],Products[#All],2,0)</f>
        <v>Long-Sleeve Logo Jersey, M</v>
      </c>
      <c r="L20">
        <f>YEAR(Sales[[#This Row],[Fecha Orden]])</f>
        <v>2020</v>
      </c>
      <c r="M20" t="str">
        <f>TEXT(Sales[[#This Row],[Fecha Orden]],"mmmm")</f>
        <v>octubre</v>
      </c>
      <c r="N20" s="14" t="str">
        <f>VLOOKUP(Sales[[#This Row],[CodProducto]],Products[#All],7,0)</f>
        <v>Clothing</v>
      </c>
    </row>
    <row r="21" spans="1:14" x14ac:dyDescent="0.25">
      <c r="A21" s="2">
        <v>16058</v>
      </c>
      <c r="B21" s="2">
        <v>12544</v>
      </c>
      <c r="C21" s="2">
        <v>225</v>
      </c>
      <c r="D21" s="5">
        <v>44170</v>
      </c>
      <c r="E21" s="2">
        <v>8</v>
      </c>
      <c r="F21" s="12">
        <v>8.99</v>
      </c>
      <c r="G21" s="14">
        <f>Sales[[#This Row],[Precio Unit.]]*Sales[[#This Row],[Cant Orden]]</f>
        <v>71.92</v>
      </c>
      <c r="H21" s="14">
        <f>Sales[[#This Row],[Subtotal]]*DatosExtra!$B$2</f>
        <v>7.1920000000000002</v>
      </c>
      <c r="I21" s="14">
        <f>+Sales[[#This Row],[Impuesto]]+Sales[[#This Row],[Subtotal]]</f>
        <v>79.111999999999995</v>
      </c>
      <c r="J21" s="14" t="str">
        <f>VLOOKUP(Sales[[#This Row],[CodCliente]],Customers[#All],3,0)</f>
        <v>Bruce Jordan</v>
      </c>
      <c r="K21" s="14" t="str">
        <f>VLOOKUP(Sales[[#This Row],[CodProducto]],Products[#All],2,0)</f>
        <v>AWC Logo Cap</v>
      </c>
      <c r="L21">
        <f>YEAR(Sales[[#This Row],[Fecha Orden]])</f>
        <v>2020</v>
      </c>
      <c r="M21" t="str">
        <f>TEXT(Sales[[#This Row],[Fecha Orden]],"mmmm")</f>
        <v>diciembre</v>
      </c>
      <c r="N21" s="14" t="str">
        <f>VLOOKUP(Sales[[#This Row],[CodProducto]],Products[#All],7,0)</f>
        <v>Clothing</v>
      </c>
    </row>
    <row r="22" spans="1:14" x14ac:dyDescent="0.25">
      <c r="A22" s="2">
        <v>19439</v>
      </c>
      <c r="B22" s="2">
        <v>15822</v>
      </c>
      <c r="C22" s="2">
        <v>480</v>
      </c>
      <c r="D22" s="5">
        <v>44184</v>
      </c>
      <c r="E22" s="2">
        <v>9</v>
      </c>
      <c r="F22" s="12">
        <v>2.29</v>
      </c>
      <c r="G22" s="14">
        <f>Sales[[#This Row],[Precio Unit.]]*Sales[[#This Row],[Cant Orden]]</f>
        <v>20.61</v>
      </c>
      <c r="H22" s="14">
        <f>Sales[[#This Row],[Subtotal]]*DatosExtra!$B$2</f>
        <v>2.0609999999999999</v>
      </c>
      <c r="I22" s="14">
        <f>+Sales[[#This Row],[Impuesto]]+Sales[[#This Row],[Subtotal]]</f>
        <v>22.670999999999999</v>
      </c>
      <c r="J22" s="14" t="str">
        <f>VLOOKUP(Sales[[#This Row],[CodCliente]],Customers[#All],3,0)</f>
        <v>Damien Zhu</v>
      </c>
      <c r="K22" s="14" t="str">
        <f>VLOOKUP(Sales[[#This Row],[CodProducto]],Products[#All],2,0)</f>
        <v>Patch Kit/8 Patches</v>
      </c>
      <c r="L22">
        <f>YEAR(Sales[[#This Row],[Fecha Orden]])</f>
        <v>2020</v>
      </c>
      <c r="M22" t="str">
        <f>TEXT(Sales[[#This Row],[Fecha Orden]],"mmmm")</f>
        <v>diciembre</v>
      </c>
      <c r="N22" s="14" t="str">
        <f>VLOOKUP(Sales[[#This Row],[CodProducto]],Products[#All],7,0)</f>
        <v>Accessories</v>
      </c>
    </row>
    <row r="23" spans="1:14" x14ac:dyDescent="0.25">
      <c r="A23" s="2">
        <v>14476</v>
      </c>
      <c r="B23" s="2">
        <v>15822</v>
      </c>
      <c r="C23" s="2">
        <v>484</v>
      </c>
      <c r="D23" s="5">
        <v>44227</v>
      </c>
      <c r="E23" s="2">
        <v>1</v>
      </c>
      <c r="F23" s="12">
        <v>7.95</v>
      </c>
      <c r="G23" s="14">
        <f>Sales[[#This Row],[Precio Unit.]]*Sales[[#This Row],[Cant Orden]]</f>
        <v>7.95</v>
      </c>
      <c r="H23" s="14">
        <f>Sales[[#This Row],[Subtotal]]*DatosExtra!$B$2</f>
        <v>0.79500000000000004</v>
      </c>
      <c r="I23" s="14">
        <f>+Sales[[#This Row],[Impuesto]]+Sales[[#This Row],[Subtotal]]</f>
        <v>8.745000000000001</v>
      </c>
      <c r="J23" s="14" t="str">
        <f>VLOOKUP(Sales[[#This Row],[CodCliente]],Customers[#All],3,0)</f>
        <v>Damien Zhu</v>
      </c>
      <c r="K23" s="14" t="str">
        <f>VLOOKUP(Sales[[#This Row],[CodProducto]],Products[#All],2,0)</f>
        <v>Bike Wash - Dissolver</v>
      </c>
      <c r="L23">
        <f>YEAR(Sales[[#This Row],[Fecha Orden]])</f>
        <v>2021</v>
      </c>
      <c r="M23" t="str">
        <f>TEXT(Sales[[#This Row],[Fecha Orden]],"mmmm")</f>
        <v>enero</v>
      </c>
      <c r="N23" s="14" t="str">
        <f>VLOOKUP(Sales[[#This Row],[CodProducto]],Products[#All],7,0)</f>
        <v>Accessories</v>
      </c>
    </row>
    <row r="24" spans="1:14" x14ac:dyDescent="0.25">
      <c r="A24" s="2">
        <v>12967</v>
      </c>
      <c r="B24" s="2">
        <v>15822</v>
      </c>
      <c r="C24" s="2">
        <v>529</v>
      </c>
      <c r="D24" s="5">
        <v>44117</v>
      </c>
      <c r="E24" s="2">
        <v>10</v>
      </c>
      <c r="F24" s="12">
        <v>3.99</v>
      </c>
      <c r="G24" s="14">
        <f>Sales[[#This Row],[Precio Unit.]]*Sales[[#This Row],[Cant Orden]]</f>
        <v>39.900000000000006</v>
      </c>
      <c r="H24" s="14">
        <f>Sales[[#This Row],[Subtotal]]*DatosExtra!$B$2</f>
        <v>3.9900000000000007</v>
      </c>
      <c r="I24" s="14">
        <f>+Sales[[#This Row],[Impuesto]]+Sales[[#This Row],[Subtotal]]</f>
        <v>43.890000000000008</v>
      </c>
      <c r="J24" s="14" t="str">
        <f>VLOOKUP(Sales[[#This Row],[CodCliente]],Customers[#All],3,0)</f>
        <v>Damien Zhu</v>
      </c>
      <c r="K24" s="14" t="str">
        <f>VLOOKUP(Sales[[#This Row],[CodProducto]],Products[#All],2,0)</f>
        <v>Road Tire Tube</v>
      </c>
      <c r="L24">
        <f>YEAR(Sales[[#This Row],[Fecha Orden]])</f>
        <v>2020</v>
      </c>
      <c r="M24" t="str">
        <f>TEXT(Sales[[#This Row],[Fecha Orden]],"mmmm")</f>
        <v>octubre</v>
      </c>
      <c r="N24" s="14" t="str">
        <f>VLOOKUP(Sales[[#This Row],[CodProducto]],Products[#All],7,0)</f>
        <v>Accessories</v>
      </c>
    </row>
    <row r="25" spans="1:14" x14ac:dyDescent="0.25">
      <c r="A25" s="3">
        <v>19199</v>
      </c>
      <c r="B25" s="3">
        <v>15822</v>
      </c>
      <c r="C25" s="3">
        <v>529</v>
      </c>
      <c r="D25" s="6">
        <v>44206</v>
      </c>
      <c r="E25" s="3">
        <v>6</v>
      </c>
      <c r="F25" s="13">
        <v>3.99</v>
      </c>
      <c r="G25" s="14">
        <f>Sales[[#This Row],[Precio Unit.]]*Sales[[#This Row],[Cant Orden]]</f>
        <v>23.94</v>
      </c>
      <c r="H25" s="14">
        <f>Sales[[#This Row],[Subtotal]]*DatosExtra!$B$2</f>
        <v>2.3940000000000001</v>
      </c>
      <c r="I25" s="14">
        <f>+Sales[[#This Row],[Impuesto]]+Sales[[#This Row],[Subtotal]]</f>
        <v>26.334000000000003</v>
      </c>
      <c r="J25" s="14" t="str">
        <f>VLOOKUP(Sales[[#This Row],[CodCliente]],Customers[#All],3,0)</f>
        <v>Damien Zhu</v>
      </c>
      <c r="K25" s="14" t="str">
        <f>VLOOKUP(Sales[[#This Row],[CodProducto]],Products[#All],2,0)</f>
        <v>Road Tire Tube</v>
      </c>
      <c r="L25">
        <f>YEAR(Sales[[#This Row],[Fecha Orden]])</f>
        <v>2021</v>
      </c>
      <c r="M25" t="str">
        <f>TEXT(Sales[[#This Row],[Fecha Orden]],"mmmm")</f>
        <v>enero</v>
      </c>
      <c r="N25" s="14" t="str">
        <f>VLOOKUP(Sales[[#This Row],[CodProducto]],Products[#All],7,0)</f>
        <v>Accessories</v>
      </c>
    </row>
    <row r="26" spans="1:14" x14ac:dyDescent="0.25">
      <c r="A26" s="2">
        <v>13298</v>
      </c>
      <c r="B26" s="2">
        <v>15822</v>
      </c>
      <c r="C26" s="2">
        <v>539</v>
      </c>
      <c r="D26" s="5">
        <v>44221</v>
      </c>
      <c r="E26" s="2">
        <v>4</v>
      </c>
      <c r="F26" s="12">
        <v>24.99</v>
      </c>
      <c r="G26" s="14">
        <f>Sales[[#This Row],[Precio Unit.]]*Sales[[#This Row],[Cant Orden]]</f>
        <v>99.96</v>
      </c>
      <c r="H26" s="14">
        <f>Sales[[#This Row],[Subtotal]]*DatosExtra!$B$2</f>
        <v>9.9960000000000004</v>
      </c>
      <c r="I26" s="14">
        <f>+Sales[[#This Row],[Impuesto]]+Sales[[#This Row],[Subtotal]]</f>
        <v>109.95599999999999</v>
      </c>
      <c r="J26" s="14" t="str">
        <f>VLOOKUP(Sales[[#This Row],[CodCliente]],Customers[#All],3,0)</f>
        <v>Damien Zhu</v>
      </c>
      <c r="K26" s="14" t="str">
        <f>VLOOKUP(Sales[[#This Row],[CodProducto]],Products[#All],2,0)</f>
        <v>ML Road Tire</v>
      </c>
      <c r="L26">
        <f>YEAR(Sales[[#This Row],[Fecha Orden]])</f>
        <v>2021</v>
      </c>
      <c r="M26" t="str">
        <f>TEXT(Sales[[#This Row],[Fecha Orden]],"mmmm")</f>
        <v>enero</v>
      </c>
      <c r="N26" s="14" t="str">
        <f>VLOOKUP(Sales[[#This Row],[CodProducto]],Products[#All],7,0)</f>
        <v>Accessories</v>
      </c>
    </row>
    <row r="27" spans="1:14" x14ac:dyDescent="0.25">
      <c r="A27" s="2">
        <v>11543</v>
      </c>
      <c r="B27" s="2">
        <v>16268</v>
      </c>
      <c r="C27" s="2">
        <v>373</v>
      </c>
      <c r="D27" s="5">
        <v>44213</v>
      </c>
      <c r="E27" s="2">
        <v>4</v>
      </c>
      <c r="F27" s="12">
        <v>2181.5625</v>
      </c>
      <c r="G27" s="14">
        <f>Sales[[#This Row],[Precio Unit.]]*Sales[[#This Row],[Cant Orden]]</f>
        <v>8726.25</v>
      </c>
      <c r="H27" s="14">
        <f>Sales[[#This Row],[Subtotal]]*DatosExtra!$B$2</f>
        <v>872.625</v>
      </c>
      <c r="I27" s="14">
        <f>+Sales[[#This Row],[Impuesto]]+Sales[[#This Row],[Subtotal]]</f>
        <v>9598.875</v>
      </c>
      <c r="J27" s="14" t="str">
        <f>VLOOKUP(Sales[[#This Row],[CodCliente]],Customers[#All],3,0)</f>
        <v>Lindsey Kumar</v>
      </c>
      <c r="K27" s="14" t="str">
        <f>VLOOKUP(Sales[[#This Row],[CodProducto]],Products[#All],2,0)</f>
        <v>Road-250 Black, 44</v>
      </c>
      <c r="L27">
        <f>YEAR(Sales[[#This Row],[Fecha Orden]])</f>
        <v>2021</v>
      </c>
      <c r="M27" t="str">
        <f>TEXT(Sales[[#This Row],[Fecha Orden]],"mmmm")</f>
        <v>enero</v>
      </c>
      <c r="N27" s="14" t="str">
        <f>VLOOKUP(Sales[[#This Row],[CodProducto]],Products[#All],7,0)</f>
        <v>Bikes</v>
      </c>
    </row>
    <row r="28" spans="1:14" x14ac:dyDescent="0.25">
      <c r="A28" s="2">
        <v>15013</v>
      </c>
      <c r="B28" s="2">
        <v>16268</v>
      </c>
      <c r="C28" s="2">
        <v>480</v>
      </c>
      <c r="D28" s="5">
        <v>44122</v>
      </c>
      <c r="E28" s="2">
        <v>9</v>
      </c>
      <c r="F28" s="12">
        <v>2.29</v>
      </c>
      <c r="G28" s="14">
        <f>Sales[[#This Row],[Precio Unit.]]*Sales[[#This Row],[Cant Orden]]</f>
        <v>20.61</v>
      </c>
      <c r="H28" s="14">
        <f>Sales[[#This Row],[Subtotal]]*DatosExtra!$B$2</f>
        <v>2.0609999999999999</v>
      </c>
      <c r="I28" s="14">
        <f>+Sales[[#This Row],[Impuesto]]+Sales[[#This Row],[Subtotal]]</f>
        <v>22.670999999999999</v>
      </c>
      <c r="J28" s="14" t="str">
        <f>VLOOKUP(Sales[[#This Row],[CodCliente]],Customers[#All],3,0)</f>
        <v>Lindsey Kumar</v>
      </c>
      <c r="K28" s="14" t="str">
        <f>VLOOKUP(Sales[[#This Row],[CodProducto]],Products[#All],2,0)</f>
        <v>Patch Kit/8 Patches</v>
      </c>
      <c r="L28">
        <f>YEAR(Sales[[#This Row],[Fecha Orden]])</f>
        <v>2020</v>
      </c>
      <c r="M28" t="str">
        <f>TEXT(Sales[[#This Row],[Fecha Orden]],"mmmm")</f>
        <v>octubre</v>
      </c>
      <c r="N28" s="14" t="str">
        <f>VLOOKUP(Sales[[#This Row],[CodProducto]],Products[#All],7,0)</f>
        <v>Accessories</v>
      </c>
    </row>
    <row r="29" spans="1:14" x14ac:dyDescent="0.25">
      <c r="A29" s="2">
        <v>16008</v>
      </c>
      <c r="B29" s="2">
        <v>16268</v>
      </c>
      <c r="C29" s="2">
        <v>528</v>
      </c>
      <c r="D29" s="5">
        <v>44183</v>
      </c>
      <c r="E29" s="2">
        <v>4</v>
      </c>
      <c r="F29" s="12">
        <v>4.99</v>
      </c>
      <c r="G29" s="14">
        <f>Sales[[#This Row],[Precio Unit.]]*Sales[[#This Row],[Cant Orden]]</f>
        <v>19.96</v>
      </c>
      <c r="H29" s="14">
        <f>Sales[[#This Row],[Subtotal]]*DatosExtra!$B$2</f>
        <v>1.9960000000000002</v>
      </c>
      <c r="I29" s="14">
        <f>+Sales[[#This Row],[Impuesto]]+Sales[[#This Row],[Subtotal]]</f>
        <v>21.956</v>
      </c>
      <c r="J29" s="14" t="str">
        <f>VLOOKUP(Sales[[#This Row],[CodCliente]],Customers[#All],3,0)</f>
        <v>Lindsey Kumar</v>
      </c>
      <c r="K29" s="14" t="str">
        <f>VLOOKUP(Sales[[#This Row],[CodProducto]],Products[#All],2,0)</f>
        <v>Mountain Tire Tube</v>
      </c>
      <c r="L29">
        <f>YEAR(Sales[[#This Row],[Fecha Orden]])</f>
        <v>2020</v>
      </c>
      <c r="M29" t="str">
        <f>TEXT(Sales[[#This Row],[Fecha Orden]],"mmmm")</f>
        <v>diciembre</v>
      </c>
      <c r="N29" s="14" t="str">
        <f>VLOOKUP(Sales[[#This Row],[CodProducto]],Products[#All],7,0)</f>
        <v>Accessories</v>
      </c>
    </row>
    <row r="30" spans="1:14" x14ac:dyDescent="0.25">
      <c r="A30" s="2">
        <v>19116</v>
      </c>
      <c r="B30" s="2">
        <v>16268</v>
      </c>
      <c r="C30" s="2">
        <v>535</v>
      </c>
      <c r="D30" s="5">
        <v>44123</v>
      </c>
      <c r="E30" s="2">
        <v>1</v>
      </c>
      <c r="F30" s="12">
        <v>24.99</v>
      </c>
      <c r="G30" s="14">
        <f>Sales[[#This Row],[Precio Unit.]]*Sales[[#This Row],[Cant Orden]]</f>
        <v>24.99</v>
      </c>
      <c r="H30" s="14">
        <f>Sales[[#This Row],[Subtotal]]*DatosExtra!$B$2</f>
        <v>2.4990000000000001</v>
      </c>
      <c r="I30" s="14">
        <f>+Sales[[#This Row],[Impuesto]]+Sales[[#This Row],[Subtotal]]</f>
        <v>27.488999999999997</v>
      </c>
      <c r="J30" s="14" t="str">
        <f>VLOOKUP(Sales[[#This Row],[CodCliente]],Customers[#All],3,0)</f>
        <v>Lindsey Kumar</v>
      </c>
      <c r="K30" s="14" t="str">
        <f>VLOOKUP(Sales[[#This Row],[CodProducto]],Products[#All],2,0)</f>
        <v>LL Mountain Tire</v>
      </c>
      <c r="L30">
        <f>YEAR(Sales[[#This Row],[Fecha Orden]])</f>
        <v>2020</v>
      </c>
      <c r="M30" t="str">
        <f>TEXT(Sales[[#This Row],[Fecha Orden]],"mmmm")</f>
        <v>octubre</v>
      </c>
      <c r="N30" s="14" t="str">
        <f>VLOOKUP(Sales[[#This Row],[CodProducto]],Products[#All],7,0)</f>
        <v>Accessories</v>
      </c>
    </row>
    <row r="31" spans="1:14" x14ac:dyDescent="0.25">
      <c r="A31" s="2">
        <v>13111</v>
      </c>
      <c r="B31" s="2">
        <v>16268</v>
      </c>
      <c r="C31" s="2">
        <v>591</v>
      </c>
      <c r="D31" s="5">
        <v>44163</v>
      </c>
      <c r="E31" s="2">
        <v>1</v>
      </c>
      <c r="F31" s="12">
        <v>564.99</v>
      </c>
      <c r="G31" s="14">
        <f>Sales[[#This Row],[Precio Unit.]]*Sales[[#This Row],[Cant Orden]]</f>
        <v>564.99</v>
      </c>
      <c r="H31" s="14">
        <f>Sales[[#This Row],[Subtotal]]*DatosExtra!$B$2</f>
        <v>56.499000000000002</v>
      </c>
      <c r="I31" s="14">
        <f>+Sales[[#This Row],[Impuesto]]+Sales[[#This Row],[Subtotal]]</f>
        <v>621.48900000000003</v>
      </c>
      <c r="J31" s="14" t="str">
        <f>VLOOKUP(Sales[[#This Row],[CodCliente]],Customers[#All],3,0)</f>
        <v>Lindsey Kumar</v>
      </c>
      <c r="K31" s="14" t="str">
        <f>VLOOKUP(Sales[[#This Row],[CodProducto]],Products[#All],2,0)</f>
        <v>Mountain-500 Silver, 40</v>
      </c>
      <c r="L31">
        <f>YEAR(Sales[[#This Row],[Fecha Orden]])</f>
        <v>2020</v>
      </c>
      <c r="M31" t="str">
        <f>TEXT(Sales[[#This Row],[Fecha Orden]],"mmmm")</f>
        <v>noviembre</v>
      </c>
      <c r="N31" s="14" t="str">
        <f>VLOOKUP(Sales[[#This Row],[CodProducto]],Products[#All],7,0)</f>
        <v>Bikes</v>
      </c>
    </row>
    <row r="32" spans="1:14" x14ac:dyDescent="0.25">
      <c r="A32" s="2">
        <v>11514</v>
      </c>
      <c r="B32" s="2">
        <v>18810</v>
      </c>
      <c r="C32" s="2">
        <v>471</v>
      </c>
      <c r="D32" s="5">
        <v>44160</v>
      </c>
      <c r="E32" s="2">
        <v>3</v>
      </c>
      <c r="F32" s="12">
        <v>63.5</v>
      </c>
      <c r="G32" s="14">
        <f>Sales[[#This Row],[Precio Unit.]]*Sales[[#This Row],[Cant Orden]]</f>
        <v>190.5</v>
      </c>
      <c r="H32" s="14">
        <f>Sales[[#This Row],[Subtotal]]*DatosExtra!$B$2</f>
        <v>19.05</v>
      </c>
      <c r="I32" s="14">
        <f>+Sales[[#This Row],[Impuesto]]+Sales[[#This Row],[Subtotal]]</f>
        <v>209.55</v>
      </c>
      <c r="J32" s="14" t="str">
        <f>VLOOKUP(Sales[[#This Row],[CodCliente]],Customers[#All],3,0)</f>
        <v>Casey Dominguez</v>
      </c>
      <c r="K32" s="14" t="str">
        <f>VLOOKUP(Sales[[#This Row],[CodProducto]],Products[#All],2,0)</f>
        <v>Classic Vest, S</v>
      </c>
      <c r="L32">
        <f>YEAR(Sales[[#This Row],[Fecha Orden]])</f>
        <v>2020</v>
      </c>
      <c r="M32" t="str">
        <f>TEXT(Sales[[#This Row],[Fecha Orden]],"mmmm")</f>
        <v>noviembre</v>
      </c>
      <c r="N32" s="14" t="str">
        <f>VLOOKUP(Sales[[#This Row],[CodProducto]],Products[#All],7,0)</f>
        <v>Clothing</v>
      </c>
    </row>
    <row r="33" spans="1:14" x14ac:dyDescent="0.25">
      <c r="A33" s="2">
        <v>13804</v>
      </c>
      <c r="B33" s="2">
        <v>18810</v>
      </c>
      <c r="C33" s="2">
        <v>475</v>
      </c>
      <c r="D33" s="5">
        <v>44184</v>
      </c>
      <c r="E33" s="2">
        <v>9</v>
      </c>
      <c r="F33" s="12">
        <v>69.989999999999995</v>
      </c>
      <c r="G33" s="14">
        <f>Sales[[#This Row],[Precio Unit.]]*Sales[[#This Row],[Cant Orden]]</f>
        <v>629.91</v>
      </c>
      <c r="H33" s="14">
        <f>Sales[[#This Row],[Subtotal]]*DatosExtra!$B$2</f>
        <v>62.991</v>
      </c>
      <c r="I33" s="14">
        <f>+Sales[[#This Row],[Impuesto]]+Sales[[#This Row],[Subtotal]]</f>
        <v>692.90099999999995</v>
      </c>
      <c r="J33" s="14" t="str">
        <f>VLOOKUP(Sales[[#This Row],[CodCliente]],Customers[#All],3,0)</f>
        <v>Casey Dominguez</v>
      </c>
      <c r="K33" s="14" t="str">
        <f>VLOOKUP(Sales[[#This Row],[CodProducto]],Products[#All],2,0)</f>
        <v>Women's Mountain Shorts, M</v>
      </c>
      <c r="L33">
        <f>YEAR(Sales[[#This Row],[Fecha Orden]])</f>
        <v>2020</v>
      </c>
      <c r="M33" t="str">
        <f>TEXT(Sales[[#This Row],[Fecha Orden]],"mmmm")</f>
        <v>diciembre</v>
      </c>
      <c r="N33" s="14" t="str">
        <f>VLOOKUP(Sales[[#This Row],[CodProducto]],Products[#All],7,0)</f>
        <v>Clothing</v>
      </c>
    </row>
    <row r="34" spans="1:14" x14ac:dyDescent="0.25">
      <c r="A34" s="2">
        <v>19607</v>
      </c>
      <c r="B34" s="2">
        <v>18860</v>
      </c>
      <c r="C34" s="2">
        <v>217</v>
      </c>
      <c r="D34" s="5">
        <v>44152</v>
      </c>
      <c r="E34" s="2">
        <v>4</v>
      </c>
      <c r="F34" s="12">
        <v>34.99</v>
      </c>
      <c r="G34" s="14">
        <f>Sales[[#This Row],[Precio Unit.]]*Sales[[#This Row],[Cant Orden]]</f>
        <v>139.96</v>
      </c>
      <c r="H34" s="14">
        <f>Sales[[#This Row],[Subtotal]]*DatosExtra!$B$2</f>
        <v>13.996000000000002</v>
      </c>
      <c r="I34" s="14">
        <f>+Sales[[#This Row],[Impuesto]]+Sales[[#This Row],[Subtotal]]</f>
        <v>153.95600000000002</v>
      </c>
      <c r="J34" s="14" t="str">
        <f>VLOOKUP(Sales[[#This Row],[CodCliente]],Customers[#All],3,0)</f>
        <v>Sydney Foster</v>
      </c>
      <c r="K34" s="14" t="str">
        <f>VLOOKUP(Sales[[#This Row],[CodProducto]],Products[#All],2,0)</f>
        <v>Sport-100 Helmet, Black</v>
      </c>
      <c r="L34">
        <f>YEAR(Sales[[#This Row],[Fecha Orden]])</f>
        <v>2020</v>
      </c>
      <c r="M34" t="str">
        <f>TEXT(Sales[[#This Row],[Fecha Orden]],"mmmm")</f>
        <v>noviembre</v>
      </c>
      <c r="N34" s="14" t="str">
        <f>VLOOKUP(Sales[[#This Row],[CodProducto]],Products[#All],7,0)</f>
        <v>Accessories</v>
      </c>
    </row>
    <row r="35" spans="1:14" x14ac:dyDescent="0.25">
      <c r="A35" s="2">
        <v>17024</v>
      </c>
      <c r="B35" s="2">
        <v>18860</v>
      </c>
      <c r="C35" s="2">
        <v>357</v>
      </c>
      <c r="D35" s="5">
        <v>44223</v>
      </c>
      <c r="E35" s="2">
        <v>5</v>
      </c>
      <c r="F35" s="12">
        <v>2319.9899999999998</v>
      </c>
      <c r="G35" s="14">
        <f>Sales[[#This Row],[Precio Unit.]]*Sales[[#This Row],[Cant Orden]]</f>
        <v>11599.949999999999</v>
      </c>
      <c r="H35" s="14">
        <f>Sales[[#This Row],[Subtotal]]*DatosExtra!$B$2</f>
        <v>1159.9949999999999</v>
      </c>
      <c r="I35" s="14">
        <f>+Sales[[#This Row],[Impuesto]]+Sales[[#This Row],[Subtotal]]</f>
        <v>12759.945</v>
      </c>
      <c r="J35" s="14" t="str">
        <f>VLOOKUP(Sales[[#This Row],[CodCliente]],Customers[#All],3,0)</f>
        <v>Sydney Foster</v>
      </c>
      <c r="K35" s="14" t="str">
        <f>VLOOKUP(Sales[[#This Row],[CodProducto]],Products[#All],2,0)</f>
        <v>Mountain-200 Silver, 46</v>
      </c>
      <c r="L35">
        <f>YEAR(Sales[[#This Row],[Fecha Orden]])</f>
        <v>2021</v>
      </c>
      <c r="M35" t="str">
        <f>TEXT(Sales[[#This Row],[Fecha Orden]],"mmmm")</f>
        <v>enero</v>
      </c>
      <c r="N35" s="14" t="str">
        <f>VLOOKUP(Sales[[#This Row],[CodProducto]],Products[#All],7,0)</f>
        <v>Bikes</v>
      </c>
    </row>
    <row r="36" spans="1:14" x14ac:dyDescent="0.25">
      <c r="A36" s="2">
        <v>14030</v>
      </c>
      <c r="B36" s="2">
        <v>18860</v>
      </c>
      <c r="C36" s="2">
        <v>528</v>
      </c>
      <c r="D36" s="5">
        <v>44220</v>
      </c>
      <c r="E36" s="2">
        <v>4</v>
      </c>
      <c r="F36" s="12">
        <v>4.99</v>
      </c>
      <c r="G36" s="14">
        <f>Sales[[#This Row],[Precio Unit.]]*Sales[[#This Row],[Cant Orden]]</f>
        <v>19.96</v>
      </c>
      <c r="H36" s="14">
        <f>Sales[[#This Row],[Subtotal]]*DatosExtra!$B$2</f>
        <v>1.9960000000000002</v>
      </c>
      <c r="I36" s="14">
        <f>+Sales[[#This Row],[Impuesto]]+Sales[[#This Row],[Subtotal]]</f>
        <v>21.956</v>
      </c>
      <c r="J36" s="14" t="str">
        <f>VLOOKUP(Sales[[#This Row],[CodCliente]],Customers[#All],3,0)</f>
        <v>Sydney Foster</v>
      </c>
      <c r="K36" s="14" t="str">
        <f>VLOOKUP(Sales[[#This Row],[CodProducto]],Products[#All],2,0)</f>
        <v>Mountain Tire Tube</v>
      </c>
      <c r="L36">
        <f>YEAR(Sales[[#This Row],[Fecha Orden]])</f>
        <v>2021</v>
      </c>
      <c r="M36" t="str">
        <f>TEXT(Sales[[#This Row],[Fecha Orden]],"mmmm")</f>
        <v>enero</v>
      </c>
      <c r="N36" s="14" t="str">
        <f>VLOOKUP(Sales[[#This Row],[CodProducto]],Products[#All],7,0)</f>
        <v>Accessories</v>
      </c>
    </row>
    <row r="37" spans="1:14" x14ac:dyDescent="0.25">
      <c r="A37" s="2">
        <v>12132</v>
      </c>
      <c r="B37" s="2">
        <v>18860</v>
      </c>
      <c r="C37" s="2">
        <v>537</v>
      </c>
      <c r="D37" s="5">
        <v>44203</v>
      </c>
      <c r="E37" s="2">
        <v>10</v>
      </c>
      <c r="F37" s="12">
        <v>35</v>
      </c>
      <c r="G37" s="14">
        <f>Sales[[#This Row],[Precio Unit.]]*Sales[[#This Row],[Cant Orden]]</f>
        <v>350</v>
      </c>
      <c r="H37" s="14">
        <f>Sales[[#This Row],[Subtotal]]*DatosExtra!$B$2</f>
        <v>35</v>
      </c>
      <c r="I37" s="14">
        <f>+Sales[[#This Row],[Impuesto]]+Sales[[#This Row],[Subtotal]]</f>
        <v>385</v>
      </c>
      <c r="J37" s="14" t="str">
        <f>VLOOKUP(Sales[[#This Row],[CodCliente]],Customers[#All],3,0)</f>
        <v>Sydney Foster</v>
      </c>
      <c r="K37" s="14" t="str">
        <f>VLOOKUP(Sales[[#This Row],[CodProducto]],Products[#All],2,0)</f>
        <v>HL Mountain Tire</v>
      </c>
      <c r="L37">
        <f>YEAR(Sales[[#This Row],[Fecha Orden]])</f>
        <v>2021</v>
      </c>
      <c r="M37" t="str">
        <f>TEXT(Sales[[#This Row],[Fecha Orden]],"mmmm")</f>
        <v>enero</v>
      </c>
      <c r="N37" s="14" t="str">
        <f>VLOOKUP(Sales[[#This Row],[CodProducto]],Products[#All],7,0)</f>
        <v>Accessories</v>
      </c>
    </row>
    <row r="38" spans="1:14" x14ac:dyDescent="0.25">
      <c r="A38" s="2">
        <v>16212</v>
      </c>
      <c r="B38" s="2">
        <v>18917</v>
      </c>
      <c r="C38" s="2">
        <v>477</v>
      </c>
      <c r="D38" s="5">
        <v>44127</v>
      </c>
      <c r="E38" s="2">
        <v>7</v>
      </c>
      <c r="F38" s="12">
        <v>4.99</v>
      </c>
      <c r="G38" s="14">
        <f>Sales[[#This Row],[Precio Unit.]]*Sales[[#This Row],[Cant Orden]]</f>
        <v>34.93</v>
      </c>
      <c r="H38" s="14">
        <f>Sales[[#This Row],[Subtotal]]*DatosExtra!$B$2</f>
        <v>3.4930000000000003</v>
      </c>
      <c r="I38" s="14">
        <f>+Sales[[#This Row],[Impuesto]]+Sales[[#This Row],[Subtotal]]</f>
        <v>38.423000000000002</v>
      </c>
      <c r="J38" s="14" t="str">
        <f>VLOOKUP(Sales[[#This Row],[CodCliente]],Customers[#All],3,0)</f>
        <v>Jonathan Nelson</v>
      </c>
      <c r="K38" s="14" t="str">
        <f>VLOOKUP(Sales[[#This Row],[CodProducto]],Products[#All],2,0)</f>
        <v>Water Bottle - 30 oz.</v>
      </c>
      <c r="L38">
        <f>YEAR(Sales[[#This Row],[Fecha Orden]])</f>
        <v>2020</v>
      </c>
      <c r="M38" t="str">
        <f>TEXT(Sales[[#This Row],[Fecha Orden]],"mmmm")</f>
        <v>octubre</v>
      </c>
      <c r="N38" s="14" t="str">
        <f>VLOOKUP(Sales[[#This Row],[CodProducto]],Products[#All],7,0)</f>
        <v>Accessories</v>
      </c>
    </row>
    <row r="39" spans="1:14" x14ac:dyDescent="0.25">
      <c r="A39" s="2">
        <v>17232</v>
      </c>
      <c r="B39" s="2">
        <v>18917</v>
      </c>
      <c r="C39" s="2">
        <v>479</v>
      </c>
      <c r="D39" s="5">
        <v>44128</v>
      </c>
      <c r="E39" s="2">
        <v>1</v>
      </c>
      <c r="F39" s="12">
        <v>8.99</v>
      </c>
      <c r="G39" s="14">
        <f>Sales[[#This Row],[Precio Unit.]]*Sales[[#This Row],[Cant Orden]]</f>
        <v>8.99</v>
      </c>
      <c r="H39" s="14">
        <f>Sales[[#This Row],[Subtotal]]*DatosExtra!$B$2</f>
        <v>0.89900000000000002</v>
      </c>
      <c r="I39" s="14">
        <f>+Sales[[#This Row],[Impuesto]]+Sales[[#This Row],[Subtotal]]</f>
        <v>9.8889999999999993</v>
      </c>
      <c r="J39" s="14" t="str">
        <f>VLOOKUP(Sales[[#This Row],[CodCliente]],Customers[#All],3,0)</f>
        <v>Jonathan Nelson</v>
      </c>
      <c r="K39" s="14" t="str">
        <f>VLOOKUP(Sales[[#This Row],[CodProducto]],Products[#All],2,0)</f>
        <v>Road Bottle Cage</v>
      </c>
      <c r="L39">
        <f>YEAR(Sales[[#This Row],[Fecha Orden]])</f>
        <v>2020</v>
      </c>
      <c r="M39" t="str">
        <f>TEXT(Sales[[#This Row],[Fecha Orden]],"mmmm")</f>
        <v>octubre</v>
      </c>
      <c r="N39" s="14" t="str">
        <f>VLOOKUP(Sales[[#This Row],[CodProducto]],Products[#All],7,0)</f>
        <v>Accessories</v>
      </c>
    </row>
    <row r="40" spans="1:14" x14ac:dyDescent="0.25">
      <c r="A40" s="2">
        <v>10317</v>
      </c>
      <c r="B40" s="2">
        <v>18917</v>
      </c>
      <c r="C40" s="2">
        <v>490</v>
      </c>
      <c r="D40" s="5">
        <v>44210</v>
      </c>
      <c r="E40" s="2">
        <v>8</v>
      </c>
      <c r="F40" s="12">
        <v>53.99</v>
      </c>
      <c r="G40" s="14">
        <f>Sales[[#This Row],[Precio Unit.]]*Sales[[#This Row],[Cant Orden]]</f>
        <v>431.92</v>
      </c>
      <c r="H40" s="14">
        <f>Sales[[#This Row],[Subtotal]]*DatosExtra!$B$2</f>
        <v>43.192000000000007</v>
      </c>
      <c r="I40" s="14">
        <f>+Sales[[#This Row],[Impuesto]]+Sales[[#This Row],[Subtotal]]</f>
        <v>475.11200000000002</v>
      </c>
      <c r="J40" s="14" t="str">
        <f>VLOOKUP(Sales[[#This Row],[CodCliente]],Customers[#All],3,0)</f>
        <v>Jonathan Nelson</v>
      </c>
      <c r="K40" s="14" t="str">
        <f>VLOOKUP(Sales[[#This Row],[CodProducto]],Products[#All],2,0)</f>
        <v>Short-Sleeve Classic Jersey, L</v>
      </c>
      <c r="L40">
        <f>YEAR(Sales[[#This Row],[Fecha Orden]])</f>
        <v>2021</v>
      </c>
      <c r="M40" t="str">
        <f>TEXT(Sales[[#This Row],[Fecha Orden]],"mmmm")</f>
        <v>enero</v>
      </c>
      <c r="N40" s="14" t="str">
        <f>VLOOKUP(Sales[[#This Row],[CodProducto]],Products[#All],7,0)</f>
        <v>Clothing</v>
      </c>
    </row>
    <row r="41" spans="1:14" x14ac:dyDescent="0.25">
      <c r="A41" s="2">
        <v>16254</v>
      </c>
      <c r="B41" s="2">
        <v>18917</v>
      </c>
      <c r="C41" s="2">
        <v>606</v>
      </c>
      <c r="D41" s="5">
        <v>44235</v>
      </c>
      <c r="E41" s="2">
        <v>2</v>
      </c>
      <c r="F41" s="12">
        <v>539.99</v>
      </c>
      <c r="G41" s="14">
        <f>Sales[[#This Row],[Precio Unit.]]*Sales[[#This Row],[Cant Orden]]</f>
        <v>1079.98</v>
      </c>
      <c r="H41" s="14">
        <f>Sales[[#This Row],[Subtotal]]*DatosExtra!$B$2</f>
        <v>107.998</v>
      </c>
      <c r="I41" s="14">
        <f>+Sales[[#This Row],[Impuesto]]+Sales[[#This Row],[Subtotal]]</f>
        <v>1187.9780000000001</v>
      </c>
      <c r="J41" s="14" t="str">
        <f>VLOOKUP(Sales[[#This Row],[CodCliente]],Customers[#All],3,0)</f>
        <v>Jonathan Nelson</v>
      </c>
      <c r="K41" s="14" t="str">
        <f>VLOOKUP(Sales[[#This Row],[CodProducto]],Products[#All],2,0)</f>
        <v>Road-750 Black, 52</v>
      </c>
      <c r="L41">
        <f>YEAR(Sales[[#This Row],[Fecha Orden]])</f>
        <v>2021</v>
      </c>
      <c r="M41" t="str">
        <f>TEXT(Sales[[#This Row],[Fecha Orden]],"mmmm")</f>
        <v>febrero</v>
      </c>
      <c r="N41" s="14" t="str">
        <f>VLOOKUP(Sales[[#This Row],[CodProducto]],Products[#All],7,0)</f>
        <v>Bikes</v>
      </c>
    </row>
    <row r="42" spans="1:14" x14ac:dyDescent="0.25">
      <c r="A42" s="2">
        <v>15824</v>
      </c>
      <c r="B42" s="2">
        <v>19137</v>
      </c>
      <c r="C42" s="2">
        <v>217</v>
      </c>
      <c r="D42" s="5">
        <v>44244</v>
      </c>
      <c r="E42" s="2">
        <v>5</v>
      </c>
      <c r="F42" s="12">
        <v>34.99</v>
      </c>
      <c r="G42" s="14">
        <f>Sales[[#This Row],[Precio Unit.]]*Sales[[#This Row],[Cant Orden]]</f>
        <v>174.95000000000002</v>
      </c>
      <c r="H42" s="14">
        <f>Sales[[#This Row],[Subtotal]]*DatosExtra!$B$2</f>
        <v>17.495000000000001</v>
      </c>
      <c r="I42" s="14">
        <f>+Sales[[#This Row],[Impuesto]]+Sales[[#This Row],[Subtotal]]</f>
        <v>192.44500000000002</v>
      </c>
      <c r="J42" s="14" t="str">
        <f>VLOOKUP(Sales[[#This Row],[CodCliente]],Customers[#All],3,0)</f>
        <v>Eric Russell</v>
      </c>
      <c r="K42" s="14" t="str">
        <f>VLOOKUP(Sales[[#This Row],[CodProducto]],Products[#All],2,0)</f>
        <v>Sport-100 Helmet, Black</v>
      </c>
      <c r="L42">
        <f>YEAR(Sales[[#This Row],[Fecha Orden]])</f>
        <v>2021</v>
      </c>
      <c r="M42" t="str">
        <f>TEXT(Sales[[#This Row],[Fecha Orden]],"mmmm")</f>
        <v>febrero</v>
      </c>
      <c r="N42" s="14" t="str">
        <f>VLOOKUP(Sales[[#This Row],[CodProducto]],Products[#All],7,0)</f>
        <v>Accessories</v>
      </c>
    </row>
    <row r="43" spans="1:14" x14ac:dyDescent="0.25">
      <c r="A43" s="2">
        <v>12838</v>
      </c>
      <c r="B43" s="2">
        <v>19137</v>
      </c>
      <c r="C43" s="2">
        <v>580</v>
      </c>
      <c r="D43" s="5">
        <v>44118</v>
      </c>
      <c r="E43" s="2">
        <v>8</v>
      </c>
      <c r="F43" s="12">
        <v>1700.99</v>
      </c>
      <c r="G43" s="14">
        <f>Sales[[#This Row],[Precio Unit.]]*Sales[[#This Row],[Cant Orden]]</f>
        <v>13607.92</v>
      </c>
      <c r="H43" s="14">
        <f>Sales[[#This Row],[Subtotal]]*DatosExtra!$B$2</f>
        <v>1360.7920000000001</v>
      </c>
      <c r="I43" s="14">
        <f>+Sales[[#This Row],[Impuesto]]+Sales[[#This Row],[Subtotal]]</f>
        <v>14968.712</v>
      </c>
      <c r="J43" s="14" t="str">
        <f>VLOOKUP(Sales[[#This Row],[CodCliente]],Customers[#All],3,0)</f>
        <v>Eric Russell</v>
      </c>
      <c r="K43" s="14" t="str">
        <f>VLOOKUP(Sales[[#This Row],[CodProducto]],Products[#All],2,0)</f>
        <v>Road-350-W Yellow, 40</v>
      </c>
      <c r="L43">
        <f>YEAR(Sales[[#This Row],[Fecha Orden]])</f>
        <v>2020</v>
      </c>
      <c r="M43" t="str">
        <f>TEXT(Sales[[#This Row],[Fecha Orden]],"mmmm")</f>
        <v>octubre</v>
      </c>
      <c r="N43" s="14" t="str">
        <f>VLOOKUP(Sales[[#This Row],[CodProducto]],Products[#All],7,0)</f>
        <v>Bikes</v>
      </c>
    </row>
    <row r="44" spans="1:14" x14ac:dyDescent="0.25">
      <c r="A44" s="3">
        <v>18791</v>
      </c>
      <c r="B44" s="3">
        <v>20653</v>
      </c>
      <c r="C44" s="3">
        <v>217</v>
      </c>
      <c r="D44" s="6">
        <v>44106</v>
      </c>
      <c r="E44" s="3">
        <v>4</v>
      </c>
      <c r="F44" s="13">
        <v>34.99</v>
      </c>
      <c r="G44" s="14">
        <f>Sales[[#This Row],[Precio Unit.]]*Sales[[#This Row],[Cant Orden]]</f>
        <v>139.96</v>
      </c>
      <c r="H44" s="14">
        <f>Sales[[#This Row],[Subtotal]]*DatosExtra!$B$2</f>
        <v>13.996000000000002</v>
      </c>
      <c r="I44" s="14">
        <f>+Sales[[#This Row],[Impuesto]]+Sales[[#This Row],[Subtotal]]</f>
        <v>153.95600000000002</v>
      </c>
      <c r="J44" s="14" t="str">
        <f>VLOOKUP(Sales[[#This Row],[CodCliente]],Customers[#All],3,0)</f>
        <v>Jessica White</v>
      </c>
      <c r="K44" s="14" t="str">
        <f>VLOOKUP(Sales[[#This Row],[CodProducto]],Products[#All],2,0)</f>
        <v>Sport-100 Helmet, Black</v>
      </c>
      <c r="L44">
        <f>YEAR(Sales[[#This Row],[Fecha Orden]])</f>
        <v>2020</v>
      </c>
      <c r="M44" t="str">
        <f>TEXT(Sales[[#This Row],[Fecha Orden]],"mmmm")</f>
        <v>octubre</v>
      </c>
      <c r="N44" s="14" t="str">
        <f>VLOOKUP(Sales[[#This Row],[CodProducto]],Products[#All],7,0)</f>
        <v>Accessories</v>
      </c>
    </row>
    <row r="45" spans="1:14" x14ac:dyDescent="0.25">
      <c r="A45" s="3">
        <v>18618</v>
      </c>
      <c r="B45" s="3">
        <v>20653</v>
      </c>
      <c r="C45" s="3">
        <v>390</v>
      </c>
      <c r="D45" s="6">
        <v>44140</v>
      </c>
      <c r="E45" s="3">
        <v>9</v>
      </c>
      <c r="F45" s="13">
        <v>1120.49</v>
      </c>
      <c r="G45" s="14">
        <f>Sales[[#This Row],[Precio Unit.]]*Sales[[#This Row],[Cant Orden]]</f>
        <v>10084.41</v>
      </c>
      <c r="H45" s="14">
        <f>Sales[[#This Row],[Subtotal]]*DatosExtra!$B$2</f>
        <v>1008.441</v>
      </c>
      <c r="I45" s="14">
        <f>+Sales[[#This Row],[Impuesto]]+Sales[[#This Row],[Subtotal]]</f>
        <v>11092.851000000001</v>
      </c>
      <c r="J45" s="14" t="str">
        <f>VLOOKUP(Sales[[#This Row],[CodCliente]],Customers[#All],3,0)</f>
        <v>Jessica White</v>
      </c>
      <c r="K45" s="14" t="str">
        <f>VLOOKUP(Sales[[#This Row],[CodProducto]],Products[#All],2,0)</f>
        <v>Road-550-W Yellow, 48</v>
      </c>
      <c r="L45">
        <f>YEAR(Sales[[#This Row],[Fecha Orden]])</f>
        <v>2020</v>
      </c>
      <c r="M45" t="str">
        <f>TEXT(Sales[[#This Row],[Fecha Orden]],"mmmm")</f>
        <v>noviembre</v>
      </c>
      <c r="N45" s="14" t="str">
        <f>VLOOKUP(Sales[[#This Row],[CodProducto]],Products[#All],7,0)</f>
        <v>Bikes</v>
      </c>
    </row>
    <row r="46" spans="1:14" x14ac:dyDescent="0.25">
      <c r="A46" s="3">
        <v>12481</v>
      </c>
      <c r="B46" s="3">
        <v>21043</v>
      </c>
      <c r="C46" s="3">
        <v>217</v>
      </c>
      <c r="D46" s="6">
        <v>44106</v>
      </c>
      <c r="E46" s="3">
        <v>4</v>
      </c>
      <c r="F46" s="13">
        <v>34.99</v>
      </c>
      <c r="G46" s="14">
        <f>Sales[[#This Row],[Precio Unit.]]*Sales[[#This Row],[Cant Orden]]</f>
        <v>139.96</v>
      </c>
      <c r="H46" s="14">
        <f>Sales[[#This Row],[Subtotal]]*DatosExtra!$B$2</f>
        <v>13.996000000000002</v>
      </c>
      <c r="I46" s="14">
        <f>+Sales[[#This Row],[Impuesto]]+Sales[[#This Row],[Subtotal]]</f>
        <v>153.95600000000002</v>
      </c>
      <c r="J46" s="14" t="str">
        <f>VLOOKUP(Sales[[#This Row],[CodCliente]],Customers[#All],3,0)</f>
        <v>Johnathan McDonald</v>
      </c>
      <c r="K46" s="14" t="str">
        <f>VLOOKUP(Sales[[#This Row],[CodProducto]],Products[#All],2,0)</f>
        <v>Sport-100 Helmet, Black</v>
      </c>
      <c r="L46">
        <f>YEAR(Sales[[#This Row],[Fecha Orden]])</f>
        <v>2020</v>
      </c>
      <c r="M46" t="str">
        <f>TEXT(Sales[[#This Row],[Fecha Orden]],"mmmm")</f>
        <v>octubre</v>
      </c>
      <c r="N46" s="14" t="str">
        <f>VLOOKUP(Sales[[#This Row],[CodProducto]],Products[#All],7,0)</f>
        <v>Accessories</v>
      </c>
    </row>
    <row r="47" spans="1:14" x14ac:dyDescent="0.25">
      <c r="A47" s="3">
        <v>18173</v>
      </c>
      <c r="B47" s="3">
        <v>21043</v>
      </c>
      <c r="C47" s="3">
        <v>477</v>
      </c>
      <c r="D47" s="6">
        <v>44238</v>
      </c>
      <c r="E47" s="3">
        <v>9</v>
      </c>
      <c r="F47" s="13">
        <v>4.99</v>
      </c>
      <c r="G47" s="14">
        <f>Sales[[#This Row],[Precio Unit.]]*Sales[[#This Row],[Cant Orden]]</f>
        <v>44.910000000000004</v>
      </c>
      <c r="H47" s="14">
        <f>Sales[[#This Row],[Subtotal]]*DatosExtra!$B$2</f>
        <v>4.4910000000000005</v>
      </c>
      <c r="I47" s="14">
        <f>+Sales[[#This Row],[Impuesto]]+Sales[[#This Row],[Subtotal]]</f>
        <v>49.401000000000003</v>
      </c>
      <c r="J47" s="14" t="str">
        <f>VLOOKUP(Sales[[#This Row],[CodCliente]],Customers[#All],3,0)</f>
        <v>Johnathan McDonald</v>
      </c>
      <c r="K47" s="14" t="str">
        <f>VLOOKUP(Sales[[#This Row],[CodProducto]],Products[#All],2,0)</f>
        <v>Water Bottle - 30 oz.</v>
      </c>
      <c r="L47">
        <f>YEAR(Sales[[#This Row],[Fecha Orden]])</f>
        <v>2021</v>
      </c>
      <c r="M47" t="str">
        <f>TEXT(Sales[[#This Row],[Fecha Orden]],"mmmm")</f>
        <v>febrero</v>
      </c>
      <c r="N47" s="14" t="str">
        <f>VLOOKUP(Sales[[#This Row],[CodProducto]],Products[#All],7,0)</f>
        <v>Accessories</v>
      </c>
    </row>
    <row r="48" spans="1:14" x14ac:dyDescent="0.25">
      <c r="A48" s="3">
        <v>19985</v>
      </c>
      <c r="B48" s="3">
        <v>22465</v>
      </c>
      <c r="C48" s="3">
        <v>217</v>
      </c>
      <c r="D48" s="6">
        <v>44162</v>
      </c>
      <c r="E48" s="3">
        <v>8</v>
      </c>
      <c r="F48" s="13">
        <v>34.99</v>
      </c>
      <c r="G48" s="14">
        <f>Sales[[#This Row],[Precio Unit.]]*Sales[[#This Row],[Cant Orden]]</f>
        <v>279.92</v>
      </c>
      <c r="H48" s="14">
        <f>Sales[[#This Row],[Subtotal]]*DatosExtra!$B$2</f>
        <v>27.992000000000004</v>
      </c>
      <c r="I48" s="14">
        <f>+Sales[[#This Row],[Impuesto]]+Sales[[#This Row],[Subtotal]]</f>
        <v>307.91200000000003</v>
      </c>
      <c r="J48" s="14" t="str">
        <f>VLOOKUP(Sales[[#This Row],[CodCliente]],Customers[#All],3,0)</f>
        <v>Arturo Shan</v>
      </c>
      <c r="K48" s="14" t="str">
        <f>VLOOKUP(Sales[[#This Row],[CodProducto]],Products[#All],2,0)</f>
        <v>Sport-100 Helmet, Black</v>
      </c>
      <c r="L48">
        <f>YEAR(Sales[[#This Row],[Fecha Orden]])</f>
        <v>2020</v>
      </c>
      <c r="M48" t="str">
        <f>TEXT(Sales[[#This Row],[Fecha Orden]],"mmmm")</f>
        <v>noviembre</v>
      </c>
      <c r="N48" s="14" t="str">
        <f>VLOOKUP(Sales[[#This Row],[CodProducto]],Products[#All],7,0)</f>
        <v>Accessories</v>
      </c>
    </row>
    <row r="49" spans="1:14" x14ac:dyDescent="0.25">
      <c r="A49" s="3">
        <v>17847</v>
      </c>
      <c r="B49" s="3">
        <v>22465</v>
      </c>
      <c r="C49" s="3">
        <v>376</v>
      </c>
      <c r="D49" s="6">
        <v>44195</v>
      </c>
      <c r="E49" s="3">
        <v>8</v>
      </c>
      <c r="F49" s="13">
        <v>2443.35</v>
      </c>
      <c r="G49" s="14">
        <f>Sales[[#This Row],[Precio Unit.]]*Sales[[#This Row],[Cant Orden]]</f>
        <v>19546.8</v>
      </c>
      <c r="H49" s="14">
        <f>Sales[[#This Row],[Subtotal]]*DatosExtra!$B$2</f>
        <v>1954.68</v>
      </c>
      <c r="I49" s="14">
        <f>+Sales[[#This Row],[Impuesto]]+Sales[[#This Row],[Subtotal]]</f>
        <v>21501.48</v>
      </c>
      <c r="J49" s="14" t="str">
        <f>VLOOKUP(Sales[[#This Row],[CodCliente]],Customers[#All],3,0)</f>
        <v>Arturo Shan</v>
      </c>
      <c r="K49" s="14" t="str">
        <f>VLOOKUP(Sales[[#This Row],[CodProducto]],Products[#All],2,0)</f>
        <v>Road-250 Black, 48</v>
      </c>
      <c r="L49">
        <f>YEAR(Sales[[#This Row],[Fecha Orden]])</f>
        <v>2020</v>
      </c>
      <c r="M49" t="str">
        <f>TEXT(Sales[[#This Row],[Fecha Orden]],"mmmm")</f>
        <v>diciembre</v>
      </c>
      <c r="N49" s="14" t="str">
        <f>VLOOKUP(Sales[[#This Row],[CodProducto]],Products[#All],7,0)</f>
        <v>Bikes</v>
      </c>
    </row>
    <row r="50" spans="1:14" x14ac:dyDescent="0.25">
      <c r="A50" s="3">
        <v>15000</v>
      </c>
      <c r="B50" s="3">
        <v>22465</v>
      </c>
      <c r="C50" s="3">
        <v>477</v>
      </c>
      <c r="D50" s="6">
        <v>44237</v>
      </c>
      <c r="E50" s="3">
        <v>7</v>
      </c>
      <c r="F50" s="13">
        <v>4.99</v>
      </c>
      <c r="G50" s="14">
        <f>Sales[[#This Row],[Precio Unit.]]*Sales[[#This Row],[Cant Orden]]</f>
        <v>34.93</v>
      </c>
      <c r="H50" s="14">
        <f>Sales[[#This Row],[Subtotal]]*DatosExtra!$B$2</f>
        <v>3.4930000000000003</v>
      </c>
      <c r="I50" s="14">
        <f>+Sales[[#This Row],[Impuesto]]+Sales[[#This Row],[Subtotal]]</f>
        <v>38.423000000000002</v>
      </c>
      <c r="J50" s="14" t="str">
        <f>VLOOKUP(Sales[[#This Row],[CodCliente]],Customers[#All],3,0)</f>
        <v>Arturo Shan</v>
      </c>
      <c r="K50" s="14" t="str">
        <f>VLOOKUP(Sales[[#This Row],[CodProducto]],Products[#All],2,0)</f>
        <v>Water Bottle - 30 oz.</v>
      </c>
      <c r="L50">
        <f>YEAR(Sales[[#This Row],[Fecha Orden]])</f>
        <v>2021</v>
      </c>
      <c r="M50" t="str">
        <f>TEXT(Sales[[#This Row],[Fecha Orden]],"mmmm")</f>
        <v>febrero</v>
      </c>
      <c r="N50" s="14" t="str">
        <f>VLOOKUP(Sales[[#This Row],[CodProducto]],Products[#All],7,0)</f>
        <v>Accessories</v>
      </c>
    </row>
    <row r="51" spans="1:14" x14ac:dyDescent="0.25">
      <c r="A51" s="3">
        <v>11643</v>
      </c>
      <c r="B51" s="3">
        <v>22465</v>
      </c>
      <c r="C51" s="3">
        <v>479</v>
      </c>
      <c r="D51" s="6">
        <v>44126</v>
      </c>
      <c r="E51" s="3">
        <v>2</v>
      </c>
      <c r="F51" s="13">
        <v>8.99</v>
      </c>
      <c r="G51" s="14">
        <f>Sales[[#This Row],[Precio Unit.]]*Sales[[#This Row],[Cant Orden]]</f>
        <v>17.98</v>
      </c>
      <c r="H51" s="14">
        <f>Sales[[#This Row],[Subtotal]]*DatosExtra!$B$2</f>
        <v>1.798</v>
      </c>
      <c r="I51" s="14">
        <f>+Sales[[#This Row],[Impuesto]]+Sales[[#This Row],[Subtotal]]</f>
        <v>19.777999999999999</v>
      </c>
      <c r="J51" s="14" t="str">
        <f>VLOOKUP(Sales[[#This Row],[CodCliente]],Customers[#All],3,0)</f>
        <v>Arturo Shan</v>
      </c>
      <c r="K51" s="14" t="str">
        <f>VLOOKUP(Sales[[#This Row],[CodProducto]],Products[#All],2,0)</f>
        <v>Road Bottle Cage</v>
      </c>
      <c r="L51">
        <f>YEAR(Sales[[#This Row],[Fecha Orden]])</f>
        <v>2020</v>
      </c>
      <c r="M51" t="str">
        <f>TEXT(Sales[[#This Row],[Fecha Orden]],"mmmm")</f>
        <v>octubre</v>
      </c>
      <c r="N51" s="14" t="str">
        <f>VLOOKUP(Sales[[#This Row],[CodProducto]],Products[#All],7,0)</f>
        <v>Accessories</v>
      </c>
    </row>
    <row r="52" spans="1:14" x14ac:dyDescent="0.25">
      <c r="A52" s="3">
        <v>16663</v>
      </c>
      <c r="B52" s="3">
        <v>23878</v>
      </c>
      <c r="C52" s="3">
        <v>214</v>
      </c>
      <c r="D52" s="6">
        <v>44157</v>
      </c>
      <c r="E52" s="3">
        <v>9</v>
      </c>
      <c r="F52" s="13">
        <v>34.99</v>
      </c>
      <c r="G52" s="14">
        <f>Sales[[#This Row],[Precio Unit.]]*Sales[[#This Row],[Cant Orden]]</f>
        <v>314.91000000000003</v>
      </c>
      <c r="H52" s="14">
        <f>Sales[[#This Row],[Subtotal]]*DatosExtra!$B$2</f>
        <v>31.491000000000003</v>
      </c>
      <c r="I52" s="14">
        <f>+Sales[[#This Row],[Impuesto]]+Sales[[#This Row],[Subtotal]]</f>
        <v>346.40100000000001</v>
      </c>
      <c r="J52" s="14" t="str">
        <f>VLOOKUP(Sales[[#This Row],[CodCliente]],Customers[#All],3,0)</f>
        <v>Chloe Wood</v>
      </c>
      <c r="K52" s="14" t="str">
        <f>VLOOKUP(Sales[[#This Row],[CodProducto]],Products[#All],2,0)</f>
        <v>Sport-100 Helmet, Red</v>
      </c>
      <c r="L52">
        <f>YEAR(Sales[[#This Row],[Fecha Orden]])</f>
        <v>2020</v>
      </c>
      <c r="M52" t="str">
        <f>TEXT(Sales[[#This Row],[Fecha Orden]],"mmmm")</f>
        <v>noviembre</v>
      </c>
      <c r="N52" s="14" t="str">
        <f>VLOOKUP(Sales[[#This Row],[CodProducto]],Products[#All],7,0)</f>
        <v>Accessories</v>
      </c>
    </row>
    <row r="53" spans="1:14" x14ac:dyDescent="0.25">
      <c r="A53" s="3">
        <v>15422</v>
      </c>
      <c r="B53" s="3">
        <v>23878</v>
      </c>
      <c r="C53" s="3">
        <v>477</v>
      </c>
      <c r="D53" s="6">
        <v>44174</v>
      </c>
      <c r="E53" s="3">
        <v>6</v>
      </c>
      <c r="F53" s="13">
        <v>4.99</v>
      </c>
      <c r="G53" s="14">
        <f>Sales[[#This Row],[Precio Unit.]]*Sales[[#This Row],[Cant Orden]]</f>
        <v>29.94</v>
      </c>
      <c r="H53" s="14">
        <f>Sales[[#This Row],[Subtotal]]*DatosExtra!$B$2</f>
        <v>2.9940000000000002</v>
      </c>
      <c r="I53" s="14">
        <f>+Sales[[#This Row],[Impuesto]]+Sales[[#This Row],[Subtotal]]</f>
        <v>32.934000000000005</v>
      </c>
      <c r="J53" s="14" t="str">
        <f>VLOOKUP(Sales[[#This Row],[CodCliente]],Customers[#All],3,0)</f>
        <v>Chloe Wood</v>
      </c>
      <c r="K53" s="14" t="str">
        <f>VLOOKUP(Sales[[#This Row],[CodProducto]],Products[#All],2,0)</f>
        <v>Water Bottle - 30 oz.</v>
      </c>
      <c r="L53">
        <f>YEAR(Sales[[#This Row],[Fecha Orden]])</f>
        <v>2020</v>
      </c>
      <c r="M53" t="str">
        <f>TEXT(Sales[[#This Row],[Fecha Orden]],"mmmm")</f>
        <v>diciembre</v>
      </c>
      <c r="N53" s="14" t="str">
        <f>VLOOKUP(Sales[[#This Row],[CodProducto]],Products[#All],7,0)</f>
        <v>Accessories</v>
      </c>
    </row>
    <row r="54" spans="1:14" x14ac:dyDescent="0.25">
      <c r="A54" s="3">
        <v>18985</v>
      </c>
      <c r="B54" s="3">
        <v>23878</v>
      </c>
      <c r="C54" s="3">
        <v>479</v>
      </c>
      <c r="D54" s="6">
        <v>44238</v>
      </c>
      <c r="E54" s="3">
        <v>10</v>
      </c>
      <c r="F54" s="13">
        <v>8.99</v>
      </c>
      <c r="G54" s="14">
        <f>Sales[[#This Row],[Precio Unit.]]*Sales[[#This Row],[Cant Orden]]</f>
        <v>89.9</v>
      </c>
      <c r="H54" s="14">
        <f>Sales[[#This Row],[Subtotal]]*DatosExtra!$B$2</f>
        <v>8.99</v>
      </c>
      <c r="I54" s="14">
        <f>+Sales[[#This Row],[Impuesto]]+Sales[[#This Row],[Subtotal]]</f>
        <v>98.89</v>
      </c>
      <c r="J54" s="14" t="str">
        <f>VLOOKUP(Sales[[#This Row],[CodCliente]],Customers[#All],3,0)</f>
        <v>Chloe Wood</v>
      </c>
      <c r="K54" s="14" t="str">
        <f>VLOOKUP(Sales[[#This Row],[CodProducto]],Products[#All],2,0)</f>
        <v>Road Bottle Cage</v>
      </c>
      <c r="L54">
        <f>YEAR(Sales[[#This Row],[Fecha Orden]])</f>
        <v>2021</v>
      </c>
      <c r="M54" t="str">
        <f>TEXT(Sales[[#This Row],[Fecha Orden]],"mmmm")</f>
        <v>febrero</v>
      </c>
      <c r="N54" s="14" t="str">
        <f>VLOOKUP(Sales[[#This Row],[CodProducto]],Products[#All],7,0)</f>
        <v>Accessories</v>
      </c>
    </row>
    <row r="55" spans="1:14" x14ac:dyDescent="0.25">
      <c r="A55" s="3">
        <v>16251</v>
      </c>
      <c r="B55" s="3">
        <v>23878</v>
      </c>
      <c r="C55" s="3">
        <v>606</v>
      </c>
      <c r="D55" s="6">
        <v>44219</v>
      </c>
      <c r="E55" s="3">
        <v>5</v>
      </c>
      <c r="F55" s="13">
        <v>539.99</v>
      </c>
      <c r="G55" s="14">
        <f>Sales[[#This Row],[Precio Unit.]]*Sales[[#This Row],[Cant Orden]]</f>
        <v>2699.95</v>
      </c>
      <c r="H55" s="14">
        <f>Sales[[#This Row],[Subtotal]]*DatosExtra!$B$2</f>
        <v>269.995</v>
      </c>
      <c r="I55" s="14">
        <f>+Sales[[#This Row],[Impuesto]]+Sales[[#This Row],[Subtotal]]</f>
        <v>2969.9449999999997</v>
      </c>
      <c r="J55" s="14" t="str">
        <f>VLOOKUP(Sales[[#This Row],[CodCliente]],Customers[#All],3,0)</f>
        <v>Chloe Wood</v>
      </c>
      <c r="K55" s="14" t="str">
        <f>VLOOKUP(Sales[[#This Row],[CodProducto]],Products[#All],2,0)</f>
        <v>Road-750 Black, 52</v>
      </c>
      <c r="L55">
        <f>YEAR(Sales[[#This Row],[Fecha Orden]])</f>
        <v>2021</v>
      </c>
      <c r="M55" t="str">
        <f>TEXT(Sales[[#This Row],[Fecha Orden]],"mmmm")</f>
        <v>enero</v>
      </c>
      <c r="N55" s="14" t="str">
        <f>VLOOKUP(Sales[[#This Row],[CodProducto]],Products[#All],7,0)</f>
        <v>Bikes</v>
      </c>
    </row>
    <row r="56" spans="1:14" x14ac:dyDescent="0.25">
      <c r="A56" s="3">
        <v>14210</v>
      </c>
      <c r="B56" s="3">
        <v>24113</v>
      </c>
      <c r="C56" s="3">
        <v>214</v>
      </c>
      <c r="D56" s="6">
        <v>44209</v>
      </c>
      <c r="E56" s="3">
        <v>2</v>
      </c>
      <c r="F56" s="13">
        <v>34.99</v>
      </c>
      <c r="G56" s="14">
        <f>Sales[[#This Row],[Precio Unit.]]*Sales[[#This Row],[Cant Orden]]</f>
        <v>69.98</v>
      </c>
      <c r="H56" s="14">
        <f>Sales[[#This Row],[Subtotal]]*DatosExtra!$B$2</f>
        <v>6.9980000000000011</v>
      </c>
      <c r="I56" s="14">
        <f>+Sales[[#This Row],[Impuesto]]+Sales[[#This Row],[Subtotal]]</f>
        <v>76.978000000000009</v>
      </c>
      <c r="J56" s="14" t="str">
        <f>VLOOKUP(Sales[[#This Row],[CodCliente]],Customers[#All],3,0)</f>
        <v>Stephanie Green</v>
      </c>
      <c r="K56" s="14" t="str">
        <f>VLOOKUP(Sales[[#This Row],[CodProducto]],Products[#All],2,0)</f>
        <v>Sport-100 Helmet, Red</v>
      </c>
      <c r="L56">
        <f>YEAR(Sales[[#This Row],[Fecha Orden]])</f>
        <v>2021</v>
      </c>
      <c r="M56" t="str">
        <f>TEXT(Sales[[#This Row],[Fecha Orden]],"mmmm")</f>
        <v>enero</v>
      </c>
      <c r="N56" s="14" t="str">
        <f>VLOOKUP(Sales[[#This Row],[CodProducto]],Products[#All],7,0)</f>
        <v>Accessories</v>
      </c>
    </row>
    <row r="57" spans="1:14" x14ac:dyDescent="0.25">
      <c r="A57" s="3">
        <v>16912</v>
      </c>
      <c r="B57" s="3">
        <v>24113</v>
      </c>
      <c r="C57" s="3">
        <v>530</v>
      </c>
      <c r="D57" s="6">
        <v>44103</v>
      </c>
      <c r="E57" s="3">
        <v>9</v>
      </c>
      <c r="F57" s="13">
        <v>4.99</v>
      </c>
      <c r="G57" s="14">
        <f>Sales[[#This Row],[Precio Unit.]]*Sales[[#This Row],[Cant Orden]]</f>
        <v>44.910000000000004</v>
      </c>
      <c r="H57" s="14">
        <f>Sales[[#This Row],[Subtotal]]*DatosExtra!$B$2</f>
        <v>4.4910000000000005</v>
      </c>
      <c r="I57" s="14">
        <f>+Sales[[#This Row],[Impuesto]]+Sales[[#This Row],[Subtotal]]</f>
        <v>49.401000000000003</v>
      </c>
      <c r="J57" s="14" t="str">
        <f>VLOOKUP(Sales[[#This Row],[CodCliente]],Customers[#All],3,0)</f>
        <v>Stephanie Green</v>
      </c>
      <c r="K57" s="14" t="str">
        <f>VLOOKUP(Sales[[#This Row],[CodProducto]],Products[#All],2,0)</f>
        <v>Touring Tire Tube</v>
      </c>
      <c r="L57">
        <f>YEAR(Sales[[#This Row],[Fecha Orden]])</f>
        <v>2020</v>
      </c>
      <c r="M57" t="str">
        <f>TEXT(Sales[[#This Row],[Fecha Orden]],"mmmm")</f>
        <v>septiembre</v>
      </c>
      <c r="N57" s="14" t="str">
        <f>VLOOKUP(Sales[[#This Row],[CodProducto]],Products[#All],7,0)</f>
        <v>Accessories</v>
      </c>
    </row>
    <row r="58" spans="1:14" x14ac:dyDescent="0.25">
      <c r="A58" s="3">
        <v>12633</v>
      </c>
      <c r="B58" s="3">
        <v>24775</v>
      </c>
      <c r="C58" s="3">
        <v>529</v>
      </c>
      <c r="D58" s="6">
        <v>44222</v>
      </c>
      <c r="E58" s="3">
        <v>7</v>
      </c>
      <c r="F58" s="13">
        <v>3.99</v>
      </c>
      <c r="G58" s="14">
        <f>Sales[[#This Row],[Precio Unit.]]*Sales[[#This Row],[Cant Orden]]</f>
        <v>27.93</v>
      </c>
      <c r="H58" s="14">
        <f>Sales[[#This Row],[Subtotal]]*DatosExtra!$B$2</f>
        <v>2.7930000000000001</v>
      </c>
      <c r="I58" s="14">
        <f>+Sales[[#This Row],[Impuesto]]+Sales[[#This Row],[Subtotal]]</f>
        <v>30.722999999999999</v>
      </c>
      <c r="J58" s="14" t="str">
        <f>VLOOKUP(Sales[[#This Row],[CodCliente]],Customers[#All],3,0)</f>
        <v>Alexandra Alexander</v>
      </c>
      <c r="K58" s="14" t="str">
        <f>VLOOKUP(Sales[[#This Row],[CodProducto]],Products[#All],2,0)</f>
        <v>Road Tire Tube</v>
      </c>
      <c r="L58">
        <f>YEAR(Sales[[#This Row],[Fecha Orden]])</f>
        <v>2021</v>
      </c>
      <c r="M58" t="str">
        <f>TEXT(Sales[[#This Row],[Fecha Orden]],"mmmm")</f>
        <v>enero</v>
      </c>
      <c r="N58" s="14" t="str">
        <f>VLOOKUP(Sales[[#This Row],[CodProducto]],Products[#All],7,0)</f>
        <v>Accessories</v>
      </c>
    </row>
    <row r="59" spans="1:14" x14ac:dyDescent="0.25">
      <c r="A59" s="3">
        <v>19333</v>
      </c>
      <c r="B59" s="3">
        <v>24775</v>
      </c>
      <c r="C59" s="3">
        <v>540</v>
      </c>
      <c r="D59" s="6">
        <v>44101</v>
      </c>
      <c r="E59" s="3">
        <v>9</v>
      </c>
      <c r="F59" s="13">
        <v>32.6</v>
      </c>
      <c r="G59" s="14">
        <f>Sales[[#This Row],[Precio Unit.]]*Sales[[#This Row],[Cant Orden]]</f>
        <v>293.40000000000003</v>
      </c>
      <c r="H59" s="14">
        <f>Sales[[#This Row],[Subtotal]]*DatosExtra!$B$2</f>
        <v>29.340000000000003</v>
      </c>
      <c r="I59" s="14">
        <f>+Sales[[#This Row],[Impuesto]]+Sales[[#This Row],[Subtotal]]</f>
        <v>322.74</v>
      </c>
      <c r="J59" s="14" t="str">
        <f>VLOOKUP(Sales[[#This Row],[CodCliente]],Customers[#All],3,0)</f>
        <v>Alexandra Alexander</v>
      </c>
      <c r="K59" s="14" t="str">
        <f>VLOOKUP(Sales[[#This Row],[CodProducto]],Products[#All],2,0)</f>
        <v>HL Road Tire</v>
      </c>
      <c r="L59">
        <f>YEAR(Sales[[#This Row],[Fecha Orden]])</f>
        <v>2020</v>
      </c>
      <c r="M59" t="str">
        <f>TEXT(Sales[[#This Row],[Fecha Orden]],"mmmm")</f>
        <v>septiembre</v>
      </c>
      <c r="N59" s="14" t="str">
        <f>VLOOKUP(Sales[[#This Row],[CodProducto]],Products[#All],7,0)</f>
        <v>Accessories</v>
      </c>
    </row>
    <row r="60" spans="1:14" x14ac:dyDescent="0.25">
      <c r="A60" s="3">
        <v>17530</v>
      </c>
      <c r="B60" s="3">
        <v>26029</v>
      </c>
      <c r="C60" s="3">
        <v>323</v>
      </c>
      <c r="D60" s="6">
        <v>44205</v>
      </c>
      <c r="E60" s="3">
        <v>5</v>
      </c>
      <c r="F60" s="13">
        <v>782.99</v>
      </c>
      <c r="G60" s="14">
        <f>Sales[[#This Row],[Precio Unit.]]*Sales[[#This Row],[Cant Orden]]</f>
        <v>3914.95</v>
      </c>
      <c r="H60" s="14">
        <f>Sales[[#This Row],[Subtotal]]*DatosExtra!$B$2</f>
        <v>391.495</v>
      </c>
      <c r="I60" s="14">
        <f>+Sales[[#This Row],[Impuesto]]+Sales[[#This Row],[Subtotal]]</f>
        <v>4306.4449999999997</v>
      </c>
      <c r="J60" s="14" t="str">
        <f>VLOOKUP(Sales[[#This Row],[CodCliente]],Customers[#All],3,0)</f>
        <v>Roy Vazquez</v>
      </c>
      <c r="K60" s="14" t="str">
        <f>VLOOKUP(Sales[[#This Row],[CodProducto]],Products[#All],2,0)</f>
        <v>Road-650 Red, 60</v>
      </c>
      <c r="L60">
        <f>YEAR(Sales[[#This Row],[Fecha Orden]])</f>
        <v>2021</v>
      </c>
      <c r="M60" t="str">
        <f>TEXT(Sales[[#This Row],[Fecha Orden]],"mmmm")</f>
        <v>enero</v>
      </c>
      <c r="N60" s="14" t="str">
        <f>VLOOKUP(Sales[[#This Row],[CodProducto]],Products[#All],7,0)</f>
        <v>Bikes</v>
      </c>
    </row>
    <row r="61" spans="1:14" x14ac:dyDescent="0.25">
      <c r="A61" s="3">
        <v>12818</v>
      </c>
      <c r="B61" s="3">
        <v>26029</v>
      </c>
      <c r="C61" s="3">
        <v>388</v>
      </c>
      <c r="D61" s="6">
        <v>44103</v>
      </c>
      <c r="E61" s="3">
        <v>10</v>
      </c>
      <c r="F61" s="13">
        <v>1120.49</v>
      </c>
      <c r="G61" s="14">
        <f>Sales[[#This Row],[Precio Unit.]]*Sales[[#This Row],[Cant Orden]]</f>
        <v>11204.9</v>
      </c>
      <c r="H61" s="14">
        <f>Sales[[#This Row],[Subtotal]]*DatosExtra!$B$2</f>
        <v>1120.49</v>
      </c>
      <c r="I61" s="14">
        <f>+Sales[[#This Row],[Impuesto]]+Sales[[#This Row],[Subtotal]]</f>
        <v>12325.39</v>
      </c>
      <c r="J61" s="14" t="str">
        <f>VLOOKUP(Sales[[#This Row],[CodCliente]],Customers[#All],3,0)</f>
        <v>Roy Vazquez</v>
      </c>
      <c r="K61" s="14" t="str">
        <f>VLOOKUP(Sales[[#This Row],[CodProducto]],Products[#All],2,0)</f>
        <v>Road-550-W Yellow, 44</v>
      </c>
      <c r="L61">
        <f>YEAR(Sales[[#This Row],[Fecha Orden]])</f>
        <v>2020</v>
      </c>
      <c r="M61" t="str">
        <f>TEXT(Sales[[#This Row],[Fecha Orden]],"mmmm")</f>
        <v>septiembre</v>
      </c>
      <c r="N61" s="14" t="str">
        <f>VLOOKUP(Sales[[#This Row],[CodProducto]],Products[#All],7,0)</f>
        <v>Bikes</v>
      </c>
    </row>
    <row r="62" spans="1:14" x14ac:dyDescent="0.25">
      <c r="A62" s="3">
        <v>18172</v>
      </c>
      <c r="B62" s="3">
        <v>26029</v>
      </c>
      <c r="C62" s="3">
        <v>480</v>
      </c>
      <c r="D62" s="6">
        <v>44114</v>
      </c>
      <c r="E62" s="3">
        <v>6</v>
      </c>
      <c r="F62" s="13">
        <v>2.29</v>
      </c>
      <c r="G62" s="14">
        <f>Sales[[#This Row],[Precio Unit.]]*Sales[[#This Row],[Cant Orden]]</f>
        <v>13.74</v>
      </c>
      <c r="H62" s="14">
        <f>Sales[[#This Row],[Subtotal]]*DatosExtra!$B$2</f>
        <v>1.3740000000000001</v>
      </c>
      <c r="I62" s="14">
        <f>+Sales[[#This Row],[Impuesto]]+Sales[[#This Row],[Subtotal]]</f>
        <v>15.114000000000001</v>
      </c>
      <c r="J62" s="14" t="str">
        <f>VLOOKUP(Sales[[#This Row],[CodCliente]],Customers[#All],3,0)</f>
        <v>Roy Vazquez</v>
      </c>
      <c r="K62" s="14" t="str">
        <f>VLOOKUP(Sales[[#This Row],[CodProducto]],Products[#All],2,0)</f>
        <v>Patch Kit/8 Patches</v>
      </c>
      <c r="L62">
        <f>YEAR(Sales[[#This Row],[Fecha Orden]])</f>
        <v>2020</v>
      </c>
      <c r="M62" t="str">
        <f>TEXT(Sales[[#This Row],[Fecha Orden]],"mmmm")</f>
        <v>octubre</v>
      </c>
      <c r="N62" s="14" t="str">
        <f>VLOOKUP(Sales[[#This Row],[CodProducto]],Products[#All],7,0)</f>
        <v>Accessories</v>
      </c>
    </row>
    <row r="63" spans="1:14" x14ac:dyDescent="0.25">
      <c r="A63" s="3">
        <v>14646</v>
      </c>
      <c r="B63" s="3">
        <v>26029</v>
      </c>
      <c r="C63" s="3">
        <v>539</v>
      </c>
      <c r="D63" s="6">
        <v>44226</v>
      </c>
      <c r="E63" s="3">
        <v>5</v>
      </c>
      <c r="F63" s="13">
        <v>24.99</v>
      </c>
      <c r="G63" s="14">
        <f>Sales[[#This Row],[Precio Unit.]]*Sales[[#This Row],[Cant Orden]]</f>
        <v>124.94999999999999</v>
      </c>
      <c r="H63" s="14">
        <f>Sales[[#This Row],[Subtotal]]*DatosExtra!$B$2</f>
        <v>12.494999999999999</v>
      </c>
      <c r="I63" s="14">
        <f>+Sales[[#This Row],[Impuesto]]+Sales[[#This Row],[Subtotal]]</f>
        <v>137.44499999999999</v>
      </c>
      <c r="J63" s="14" t="str">
        <f>VLOOKUP(Sales[[#This Row],[CodCliente]],Customers[#All],3,0)</f>
        <v>Roy Vazquez</v>
      </c>
      <c r="K63" s="14" t="str">
        <f>VLOOKUP(Sales[[#This Row],[CodProducto]],Products[#All],2,0)</f>
        <v>ML Road Tire</v>
      </c>
      <c r="L63">
        <f>YEAR(Sales[[#This Row],[Fecha Orden]])</f>
        <v>2021</v>
      </c>
      <c r="M63" t="str">
        <f>TEXT(Sales[[#This Row],[Fecha Orden]],"mmmm")</f>
        <v>enero</v>
      </c>
      <c r="N63" s="14" t="str">
        <f>VLOOKUP(Sales[[#This Row],[CodProducto]],Products[#All],7,0)</f>
        <v>Accessories</v>
      </c>
    </row>
    <row r="64" spans="1:14" x14ac:dyDescent="0.25">
      <c r="A64" s="3">
        <v>16448</v>
      </c>
      <c r="B64" s="3">
        <v>27630</v>
      </c>
      <c r="C64" s="3">
        <v>225</v>
      </c>
      <c r="D64" s="6">
        <v>44195</v>
      </c>
      <c r="E64" s="3">
        <v>2</v>
      </c>
      <c r="F64" s="13">
        <v>8.99</v>
      </c>
      <c r="G64" s="14">
        <f>Sales[[#This Row],[Precio Unit.]]*Sales[[#This Row],[Cant Orden]]</f>
        <v>17.98</v>
      </c>
      <c r="H64" s="14">
        <f>Sales[[#This Row],[Subtotal]]*DatosExtra!$B$2</f>
        <v>1.798</v>
      </c>
      <c r="I64" s="14">
        <f>+Sales[[#This Row],[Impuesto]]+Sales[[#This Row],[Subtotal]]</f>
        <v>19.777999999999999</v>
      </c>
      <c r="J64" s="14" t="str">
        <f>VLOOKUP(Sales[[#This Row],[CodCliente]],Customers[#All],3,0)</f>
        <v>Xavier Coleman</v>
      </c>
      <c r="K64" s="14" t="str">
        <f>VLOOKUP(Sales[[#This Row],[CodProducto]],Products[#All],2,0)</f>
        <v>AWC Logo Cap</v>
      </c>
      <c r="L64">
        <f>YEAR(Sales[[#This Row],[Fecha Orden]])</f>
        <v>2020</v>
      </c>
      <c r="M64" t="str">
        <f>TEXT(Sales[[#This Row],[Fecha Orden]],"mmmm")</f>
        <v>diciembre</v>
      </c>
      <c r="N64" s="14" t="str">
        <f>VLOOKUP(Sales[[#This Row],[CodProducto]],Products[#All],7,0)</f>
        <v>Clothing</v>
      </c>
    </row>
    <row r="65" spans="1:14" x14ac:dyDescent="0.25">
      <c r="A65" s="3">
        <v>16182</v>
      </c>
      <c r="B65" s="3">
        <v>27630</v>
      </c>
      <c r="C65" s="3">
        <v>530</v>
      </c>
      <c r="D65" s="6">
        <v>44119</v>
      </c>
      <c r="E65" s="3">
        <v>4</v>
      </c>
      <c r="F65" s="13">
        <v>4.99</v>
      </c>
      <c r="G65" s="14">
        <f>Sales[[#This Row],[Precio Unit.]]*Sales[[#This Row],[Cant Orden]]</f>
        <v>19.96</v>
      </c>
      <c r="H65" s="14">
        <f>Sales[[#This Row],[Subtotal]]*DatosExtra!$B$2</f>
        <v>1.9960000000000002</v>
      </c>
      <c r="I65" s="14">
        <f>+Sales[[#This Row],[Impuesto]]+Sales[[#This Row],[Subtotal]]</f>
        <v>21.956</v>
      </c>
      <c r="J65" s="14" t="str">
        <f>VLOOKUP(Sales[[#This Row],[CodCliente]],Customers[#All],3,0)</f>
        <v>Xavier Coleman</v>
      </c>
      <c r="K65" s="14" t="str">
        <f>VLOOKUP(Sales[[#This Row],[CodProducto]],Products[#All],2,0)</f>
        <v>Touring Tire Tube</v>
      </c>
      <c r="L65">
        <f>YEAR(Sales[[#This Row],[Fecha Orden]])</f>
        <v>2020</v>
      </c>
      <c r="M65" t="str">
        <f>TEXT(Sales[[#This Row],[Fecha Orden]],"mmmm")</f>
        <v>octubre</v>
      </c>
      <c r="N65" s="14" t="str">
        <f>VLOOKUP(Sales[[#This Row],[CodProducto]],Products[#All],7,0)</f>
        <v>Accessories</v>
      </c>
    </row>
    <row r="66" spans="1:14" x14ac:dyDescent="0.25">
      <c r="A66" s="3">
        <v>16261</v>
      </c>
      <c r="B66" s="3">
        <v>27630</v>
      </c>
      <c r="C66" s="3">
        <v>541</v>
      </c>
      <c r="D66" s="6">
        <v>44205</v>
      </c>
      <c r="E66" s="3">
        <v>7</v>
      </c>
      <c r="F66" s="13">
        <v>28.99</v>
      </c>
      <c r="G66" s="14">
        <f>Sales[[#This Row],[Precio Unit.]]*Sales[[#This Row],[Cant Orden]]</f>
        <v>202.92999999999998</v>
      </c>
      <c r="H66" s="14">
        <f>Sales[[#This Row],[Subtotal]]*DatosExtra!$B$2</f>
        <v>20.292999999999999</v>
      </c>
      <c r="I66" s="14">
        <f>+Sales[[#This Row],[Impuesto]]+Sales[[#This Row],[Subtotal]]</f>
        <v>223.22299999999998</v>
      </c>
      <c r="J66" s="14" t="str">
        <f>VLOOKUP(Sales[[#This Row],[CodCliente]],Customers[#All],3,0)</f>
        <v>Xavier Coleman</v>
      </c>
      <c r="K66" s="14" t="str">
        <f>VLOOKUP(Sales[[#This Row],[CodProducto]],Products[#All],2,0)</f>
        <v>Touring Tire</v>
      </c>
      <c r="L66">
        <f>YEAR(Sales[[#This Row],[Fecha Orden]])</f>
        <v>2021</v>
      </c>
      <c r="M66" t="str">
        <f>TEXT(Sales[[#This Row],[Fecha Orden]],"mmmm")</f>
        <v>enero</v>
      </c>
      <c r="N66" s="14" t="str">
        <f>VLOOKUP(Sales[[#This Row],[CodProducto]],Products[#All],7,0)</f>
        <v>Accessories</v>
      </c>
    </row>
    <row r="67" spans="1:14" x14ac:dyDescent="0.25">
      <c r="A67" s="3">
        <v>14423</v>
      </c>
      <c r="B67" s="3">
        <v>28272</v>
      </c>
      <c r="C67" s="3">
        <v>214</v>
      </c>
      <c r="D67" s="6">
        <v>44244</v>
      </c>
      <c r="E67" s="3">
        <v>5</v>
      </c>
      <c r="F67" s="13">
        <v>34.99</v>
      </c>
      <c r="G67" s="14">
        <f>Sales[[#This Row],[Precio Unit.]]*Sales[[#This Row],[Cant Orden]]</f>
        <v>174.95000000000002</v>
      </c>
      <c r="H67" s="14">
        <f>Sales[[#This Row],[Subtotal]]*DatosExtra!$B$2</f>
        <v>17.495000000000001</v>
      </c>
      <c r="I67" s="14">
        <f>+Sales[[#This Row],[Impuesto]]+Sales[[#This Row],[Subtotal]]</f>
        <v>192.44500000000002</v>
      </c>
      <c r="J67" s="14" t="str">
        <f>VLOOKUP(Sales[[#This Row],[CodCliente]],Customers[#All],3,0)</f>
        <v>Hunter Jai</v>
      </c>
      <c r="K67" s="14" t="str">
        <f>VLOOKUP(Sales[[#This Row],[CodProducto]],Products[#All],2,0)</f>
        <v>Sport-100 Helmet, Red</v>
      </c>
      <c r="L67">
        <f>YEAR(Sales[[#This Row],[Fecha Orden]])</f>
        <v>2021</v>
      </c>
      <c r="M67" t="str">
        <f>TEXT(Sales[[#This Row],[Fecha Orden]],"mmmm")</f>
        <v>febrero</v>
      </c>
      <c r="N67" s="14" t="str">
        <f>VLOOKUP(Sales[[#This Row],[CodProducto]],Products[#All],7,0)</f>
        <v>Accessories</v>
      </c>
    </row>
    <row r="68" spans="1:14" x14ac:dyDescent="0.25">
      <c r="A68" s="3">
        <v>14088</v>
      </c>
      <c r="B68" s="3">
        <v>28272</v>
      </c>
      <c r="C68" s="3">
        <v>237</v>
      </c>
      <c r="D68" s="6">
        <v>44214</v>
      </c>
      <c r="E68" s="3">
        <v>4</v>
      </c>
      <c r="F68" s="13">
        <v>49.99</v>
      </c>
      <c r="G68" s="14">
        <f>Sales[[#This Row],[Precio Unit.]]*Sales[[#This Row],[Cant Orden]]</f>
        <v>199.96</v>
      </c>
      <c r="H68" s="14">
        <f>Sales[[#This Row],[Subtotal]]*DatosExtra!$B$2</f>
        <v>19.996000000000002</v>
      </c>
      <c r="I68" s="14">
        <f>+Sales[[#This Row],[Impuesto]]+Sales[[#This Row],[Subtotal]]</f>
        <v>219.95600000000002</v>
      </c>
      <c r="J68" s="14" t="str">
        <f>VLOOKUP(Sales[[#This Row],[CodCliente]],Customers[#All],3,0)</f>
        <v>Hunter Jai</v>
      </c>
      <c r="K68" s="14" t="str">
        <f>VLOOKUP(Sales[[#This Row],[CodProducto]],Products[#All],2,0)</f>
        <v>Long-Sleeve Logo Jersey, XL</v>
      </c>
      <c r="L68">
        <f>YEAR(Sales[[#This Row],[Fecha Orden]])</f>
        <v>2021</v>
      </c>
      <c r="M68" t="str">
        <f>TEXT(Sales[[#This Row],[Fecha Orden]],"mmmm")</f>
        <v>enero</v>
      </c>
      <c r="N68" s="14" t="str">
        <f>VLOOKUP(Sales[[#This Row],[CodProducto]],Products[#All],7,0)</f>
        <v>Clothing</v>
      </c>
    </row>
    <row r="69" spans="1:14" x14ac:dyDescent="0.25">
      <c r="A69" s="3">
        <v>18389</v>
      </c>
      <c r="B69" s="3">
        <v>28272</v>
      </c>
      <c r="C69" s="3">
        <v>485</v>
      </c>
      <c r="D69" s="6">
        <v>44223</v>
      </c>
      <c r="E69" s="3">
        <v>3</v>
      </c>
      <c r="F69" s="13">
        <v>21.98</v>
      </c>
      <c r="G69" s="14">
        <f>Sales[[#This Row],[Precio Unit.]]*Sales[[#This Row],[Cant Orden]]</f>
        <v>65.94</v>
      </c>
      <c r="H69" s="14">
        <f>Sales[[#This Row],[Subtotal]]*DatosExtra!$B$2</f>
        <v>6.5940000000000003</v>
      </c>
      <c r="I69" s="14">
        <f>+Sales[[#This Row],[Impuesto]]+Sales[[#This Row],[Subtotal]]</f>
        <v>72.533999999999992</v>
      </c>
      <c r="J69" s="14" t="str">
        <f>VLOOKUP(Sales[[#This Row],[CodCliente]],Customers[#All],3,0)</f>
        <v>Hunter Jai</v>
      </c>
      <c r="K69" s="14" t="str">
        <f>VLOOKUP(Sales[[#This Row],[CodProducto]],Products[#All],2,0)</f>
        <v>Fender Set - Mountain</v>
      </c>
      <c r="L69">
        <f>YEAR(Sales[[#This Row],[Fecha Orden]])</f>
        <v>2021</v>
      </c>
      <c r="M69" t="str">
        <f>TEXT(Sales[[#This Row],[Fecha Orden]],"mmmm")</f>
        <v>enero</v>
      </c>
      <c r="N69" s="14" t="str">
        <f>VLOOKUP(Sales[[#This Row],[CodProducto]],Products[#All],7,0)</f>
        <v>Accessories</v>
      </c>
    </row>
    <row r="70" spans="1:14" x14ac:dyDescent="0.25">
      <c r="A70" s="3">
        <v>17776</v>
      </c>
      <c r="B70" s="3">
        <v>28272</v>
      </c>
      <c r="C70" s="3">
        <v>528</v>
      </c>
      <c r="D70" s="6">
        <v>44139</v>
      </c>
      <c r="E70" s="3">
        <v>1</v>
      </c>
      <c r="F70" s="13">
        <v>4.99</v>
      </c>
      <c r="G70" s="14">
        <f>Sales[[#This Row],[Precio Unit.]]*Sales[[#This Row],[Cant Orden]]</f>
        <v>4.99</v>
      </c>
      <c r="H70" s="14">
        <f>Sales[[#This Row],[Subtotal]]*DatosExtra!$B$2</f>
        <v>0.49900000000000005</v>
      </c>
      <c r="I70" s="14">
        <f>+Sales[[#This Row],[Impuesto]]+Sales[[#This Row],[Subtotal]]</f>
        <v>5.4889999999999999</v>
      </c>
      <c r="J70" s="14" t="str">
        <f>VLOOKUP(Sales[[#This Row],[CodCliente]],Customers[#All],3,0)</f>
        <v>Hunter Jai</v>
      </c>
      <c r="K70" s="14" t="str">
        <f>VLOOKUP(Sales[[#This Row],[CodProducto]],Products[#All],2,0)</f>
        <v>Mountain Tire Tube</v>
      </c>
      <c r="L70">
        <f>YEAR(Sales[[#This Row],[Fecha Orden]])</f>
        <v>2020</v>
      </c>
      <c r="M70" t="str">
        <f>TEXT(Sales[[#This Row],[Fecha Orden]],"mmmm")</f>
        <v>noviembre</v>
      </c>
      <c r="N70" s="14" t="str">
        <f>VLOOKUP(Sales[[#This Row],[CodProducto]],Products[#All],7,0)</f>
        <v>Accessories</v>
      </c>
    </row>
    <row r="71" spans="1:14" x14ac:dyDescent="0.25">
      <c r="A71" s="3">
        <v>12639</v>
      </c>
      <c r="B71" s="3">
        <v>28961</v>
      </c>
      <c r="C71" s="3">
        <v>217</v>
      </c>
      <c r="D71" s="6">
        <v>44147</v>
      </c>
      <c r="E71" s="3">
        <v>6</v>
      </c>
      <c r="F71" s="13">
        <v>34.99</v>
      </c>
      <c r="G71" s="14">
        <f>Sales[[#This Row],[Precio Unit.]]*Sales[[#This Row],[Cant Orden]]</f>
        <v>209.94</v>
      </c>
      <c r="H71" s="14">
        <f>Sales[[#This Row],[Subtotal]]*DatosExtra!$B$2</f>
        <v>20.994</v>
      </c>
      <c r="I71" s="14">
        <f>+Sales[[#This Row],[Impuesto]]+Sales[[#This Row],[Subtotal]]</f>
        <v>230.934</v>
      </c>
      <c r="J71" s="14" t="str">
        <f>VLOOKUP(Sales[[#This Row],[CodCliente]],Customers[#All],3,0)</f>
        <v>Mathew Ramos</v>
      </c>
      <c r="K71" s="14" t="str">
        <f>VLOOKUP(Sales[[#This Row],[CodProducto]],Products[#All],2,0)</f>
        <v>Sport-100 Helmet, Black</v>
      </c>
      <c r="L71">
        <f>YEAR(Sales[[#This Row],[Fecha Orden]])</f>
        <v>2020</v>
      </c>
      <c r="M71" t="str">
        <f>TEXT(Sales[[#This Row],[Fecha Orden]],"mmmm")</f>
        <v>noviembre</v>
      </c>
      <c r="N71" s="14" t="str">
        <f>VLOOKUP(Sales[[#This Row],[CodProducto]],Products[#All],7,0)</f>
        <v>Accessories</v>
      </c>
    </row>
    <row r="72" spans="1:14" x14ac:dyDescent="0.25">
      <c r="A72" s="3">
        <v>16520</v>
      </c>
      <c r="B72" s="3">
        <v>28961</v>
      </c>
      <c r="C72" s="3">
        <v>231</v>
      </c>
      <c r="D72" s="6">
        <v>44181</v>
      </c>
      <c r="E72" s="3">
        <v>5</v>
      </c>
      <c r="F72" s="13">
        <v>49.99</v>
      </c>
      <c r="G72" s="14">
        <f>Sales[[#This Row],[Precio Unit.]]*Sales[[#This Row],[Cant Orden]]</f>
        <v>249.95000000000002</v>
      </c>
      <c r="H72" s="14">
        <f>Sales[[#This Row],[Subtotal]]*DatosExtra!$B$2</f>
        <v>24.995000000000005</v>
      </c>
      <c r="I72" s="14">
        <f>+Sales[[#This Row],[Impuesto]]+Sales[[#This Row],[Subtotal]]</f>
        <v>274.94500000000005</v>
      </c>
      <c r="J72" s="14" t="str">
        <f>VLOOKUP(Sales[[#This Row],[CodCliente]],Customers[#All],3,0)</f>
        <v>Mathew Ramos</v>
      </c>
      <c r="K72" s="14" t="str">
        <f>VLOOKUP(Sales[[#This Row],[CodProducto]],Products[#All],2,0)</f>
        <v>Long-Sleeve Logo Jersey, M</v>
      </c>
      <c r="L72">
        <f>YEAR(Sales[[#This Row],[Fecha Orden]])</f>
        <v>2020</v>
      </c>
      <c r="M72" t="str">
        <f>TEXT(Sales[[#This Row],[Fecha Orden]],"mmmm")</f>
        <v>diciembre</v>
      </c>
      <c r="N72" s="14" t="str">
        <f>VLOOKUP(Sales[[#This Row],[CodProducto]],Products[#All],7,0)</f>
        <v>Clothing</v>
      </c>
    </row>
    <row r="73" spans="1:14" x14ac:dyDescent="0.25">
      <c r="A73" s="3">
        <v>11812</v>
      </c>
      <c r="B73" s="3">
        <v>28961</v>
      </c>
      <c r="C73" s="3">
        <v>482</v>
      </c>
      <c r="D73" s="6">
        <v>44221</v>
      </c>
      <c r="E73" s="3">
        <v>2</v>
      </c>
      <c r="F73" s="13">
        <v>8.99</v>
      </c>
      <c r="G73" s="14">
        <f>Sales[[#This Row],[Precio Unit.]]*Sales[[#This Row],[Cant Orden]]</f>
        <v>17.98</v>
      </c>
      <c r="H73" s="14">
        <f>Sales[[#This Row],[Subtotal]]*DatosExtra!$B$2</f>
        <v>1.798</v>
      </c>
      <c r="I73" s="14">
        <f>+Sales[[#This Row],[Impuesto]]+Sales[[#This Row],[Subtotal]]</f>
        <v>19.777999999999999</v>
      </c>
      <c r="J73" s="14" t="str">
        <f>VLOOKUP(Sales[[#This Row],[CodCliente]],Customers[#All],3,0)</f>
        <v>Mathew Ramos</v>
      </c>
      <c r="K73" s="14" t="str">
        <f>VLOOKUP(Sales[[#This Row],[CodProducto]],Products[#All],2,0)</f>
        <v>Racing Socks, L</v>
      </c>
      <c r="L73">
        <f>YEAR(Sales[[#This Row],[Fecha Orden]])</f>
        <v>2021</v>
      </c>
      <c r="M73" t="str">
        <f>TEXT(Sales[[#This Row],[Fecha Orden]],"mmmm")</f>
        <v>enero</v>
      </c>
      <c r="N73" s="14" t="str">
        <f>VLOOKUP(Sales[[#This Row],[CodProducto]],Products[#All],7,0)</f>
        <v>Clothing</v>
      </c>
    </row>
    <row r="74" spans="1:14" x14ac:dyDescent="0.25">
      <c r="A74" s="3">
        <v>14331</v>
      </c>
      <c r="B74" s="3">
        <v>28961</v>
      </c>
      <c r="C74" s="3">
        <v>563</v>
      </c>
      <c r="D74" s="6">
        <v>44142</v>
      </c>
      <c r="E74" s="3">
        <v>8</v>
      </c>
      <c r="F74" s="13">
        <v>2384.0700000000002</v>
      </c>
      <c r="G74" s="14">
        <f>Sales[[#This Row],[Precio Unit.]]*Sales[[#This Row],[Cant Orden]]</f>
        <v>19072.560000000001</v>
      </c>
      <c r="H74" s="14">
        <f>Sales[[#This Row],[Subtotal]]*DatosExtra!$B$2</f>
        <v>1907.2560000000003</v>
      </c>
      <c r="I74" s="14">
        <f>+Sales[[#This Row],[Impuesto]]+Sales[[#This Row],[Subtotal]]</f>
        <v>20979.816000000003</v>
      </c>
      <c r="J74" s="14" t="str">
        <f>VLOOKUP(Sales[[#This Row],[CodCliente]],Customers[#All],3,0)</f>
        <v>Mathew Ramos</v>
      </c>
      <c r="K74" s="14" t="str">
        <f>VLOOKUP(Sales[[#This Row],[CodProducto]],Products[#All],2,0)</f>
        <v>Touring-1000 Yellow, 54</v>
      </c>
      <c r="L74">
        <f>YEAR(Sales[[#This Row],[Fecha Orden]])</f>
        <v>2020</v>
      </c>
      <c r="M74" t="str">
        <f>TEXT(Sales[[#This Row],[Fecha Orden]],"mmmm")</f>
        <v>noviembre</v>
      </c>
      <c r="N74" s="14" t="str">
        <f>VLOOKUP(Sales[[#This Row],[CodProducto]],Products[#All],7,0)</f>
        <v>Bikes</v>
      </c>
    </row>
    <row r="75" spans="1:14" x14ac:dyDescent="0.25">
      <c r="A75" s="3">
        <v>12793</v>
      </c>
      <c r="B75" s="2">
        <v>11979</v>
      </c>
      <c r="C75" s="3">
        <v>530</v>
      </c>
      <c r="D75" s="7">
        <v>44141</v>
      </c>
      <c r="E75" s="3">
        <v>7</v>
      </c>
      <c r="F75" s="13">
        <v>4.99</v>
      </c>
      <c r="G75" s="14">
        <f>Sales[[#This Row],[Precio Unit.]]*Sales[[#This Row],[Cant Orden]]</f>
        <v>34.93</v>
      </c>
      <c r="H75" s="14">
        <f>Sales[[#This Row],[Subtotal]]*DatosExtra!$B$2</f>
        <v>3.4930000000000003</v>
      </c>
      <c r="I75" s="14">
        <f>+Sales[[#This Row],[Impuesto]]+Sales[[#This Row],[Subtotal]]</f>
        <v>38.423000000000002</v>
      </c>
      <c r="J75" s="14" t="str">
        <f>VLOOKUP(Sales[[#This Row],[CodCliente]],Customers[#All],3,0)</f>
        <v>Christopher Johnson</v>
      </c>
      <c r="K75" s="14" t="str">
        <f>VLOOKUP(Sales[[#This Row],[CodProducto]],Products[#All],2,0)</f>
        <v>Touring Tire Tube</v>
      </c>
      <c r="L75">
        <f>YEAR(Sales[[#This Row],[Fecha Orden]])</f>
        <v>2020</v>
      </c>
      <c r="M75" t="str">
        <f>TEXT(Sales[[#This Row],[Fecha Orden]],"mmmm")</f>
        <v>noviembre</v>
      </c>
      <c r="N75" s="14" t="str">
        <f>VLOOKUP(Sales[[#This Row],[CodProducto]],Products[#All],7,0)</f>
        <v>Accessories</v>
      </c>
    </row>
    <row r="76" spans="1:14" x14ac:dyDescent="0.25">
      <c r="A76" s="3">
        <v>12164</v>
      </c>
      <c r="B76" s="3">
        <v>27630</v>
      </c>
      <c r="C76" s="3">
        <v>217</v>
      </c>
      <c r="D76" s="7">
        <v>44114</v>
      </c>
      <c r="E76" s="3">
        <v>3</v>
      </c>
      <c r="F76" s="13">
        <v>34.99</v>
      </c>
      <c r="G76" s="14">
        <f>Sales[[#This Row],[Precio Unit.]]*Sales[[#This Row],[Cant Orden]]</f>
        <v>104.97</v>
      </c>
      <c r="H76" s="14">
        <f>Sales[[#This Row],[Subtotal]]*DatosExtra!$B$2</f>
        <v>10.497</v>
      </c>
      <c r="I76" s="14">
        <f>+Sales[[#This Row],[Impuesto]]+Sales[[#This Row],[Subtotal]]</f>
        <v>115.467</v>
      </c>
      <c r="J76" s="14" t="str">
        <f>VLOOKUP(Sales[[#This Row],[CodCliente]],Customers[#All],3,0)</f>
        <v>Xavier Coleman</v>
      </c>
      <c r="K76" s="14" t="str">
        <f>VLOOKUP(Sales[[#This Row],[CodProducto]],Products[#All],2,0)</f>
        <v>Sport-100 Helmet, Black</v>
      </c>
      <c r="L76">
        <f>YEAR(Sales[[#This Row],[Fecha Orden]])</f>
        <v>2020</v>
      </c>
      <c r="M76" t="str">
        <f>TEXT(Sales[[#This Row],[Fecha Orden]],"mmmm")</f>
        <v>octubre</v>
      </c>
      <c r="N76" s="14" t="str">
        <f>VLOOKUP(Sales[[#This Row],[CodProducto]],Products[#All],7,0)</f>
        <v>Accessories</v>
      </c>
    </row>
    <row r="77" spans="1:14" x14ac:dyDescent="0.25">
      <c r="A77" s="3">
        <v>18951</v>
      </c>
      <c r="B77" s="3">
        <v>24113</v>
      </c>
      <c r="C77" s="3">
        <v>388</v>
      </c>
      <c r="D77" s="7">
        <v>44205</v>
      </c>
      <c r="E77" s="3">
        <v>9</v>
      </c>
      <c r="F77" s="13">
        <v>1120.49</v>
      </c>
      <c r="G77" s="14">
        <f>Sales[[#This Row],[Precio Unit.]]*Sales[[#This Row],[Cant Orden]]</f>
        <v>10084.41</v>
      </c>
      <c r="H77" s="14">
        <f>Sales[[#This Row],[Subtotal]]*DatosExtra!$B$2</f>
        <v>1008.441</v>
      </c>
      <c r="I77" s="14">
        <f>+Sales[[#This Row],[Impuesto]]+Sales[[#This Row],[Subtotal]]</f>
        <v>11092.851000000001</v>
      </c>
      <c r="J77" s="14" t="str">
        <f>VLOOKUP(Sales[[#This Row],[CodCliente]],Customers[#All],3,0)</f>
        <v>Stephanie Green</v>
      </c>
      <c r="K77" s="14" t="str">
        <f>VLOOKUP(Sales[[#This Row],[CodProducto]],Products[#All],2,0)</f>
        <v>Road-550-W Yellow, 44</v>
      </c>
      <c r="L77">
        <f>YEAR(Sales[[#This Row],[Fecha Orden]])</f>
        <v>2021</v>
      </c>
      <c r="M77" t="str">
        <f>TEXT(Sales[[#This Row],[Fecha Orden]],"mmmm")</f>
        <v>enero</v>
      </c>
      <c r="N77" s="14" t="str">
        <f>VLOOKUP(Sales[[#This Row],[CodProducto]],Products[#All],7,0)</f>
        <v>Bikes</v>
      </c>
    </row>
    <row r="78" spans="1:14" x14ac:dyDescent="0.25">
      <c r="A78" s="3">
        <v>14177</v>
      </c>
      <c r="B78" s="3">
        <v>27630</v>
      </c>
      <c r="C78" s="3">
        <v>606</v>
      </c>
      <c r="D78" s="7">
        <v>44212</v>
      </c>
      <c r="E78" s="3">
        <v>1</v>
      </c>
      <c r="F78" s="13">
        <v>539.99</v>
      </c>
      <c r="G78" s="14">
        <f>Sales[[#This Row],[Precio Unit.]]*Sales[[#This Row],[Cant Orden]]</f>
        <v>539.99</v>
      </c>
      <c r="H78" s="14">
        <f>Sales[[#This Row],[Subtotal]]*DatosExtra!$B$2</f>
        <v>53.999000000000002</v>
      </c>
      <c r="I78" s="14">
        <f>+Sales[[#This Row],[Impuesto]]+Sales[[#This Row],[Subtotal]]</f>
        <v>593.98900000000003</v>
      </c>
      <c r="J78" s="14" t="str">
        <f>VLOOKUP(Sales[[#This Row],[CodCliente]],Customers[#All],3,0)</f>
        <v>Xavier Coleman</v>
      </c>
      <c r="K78" s="14" t="str">
        <f>VLOOKUP(Sales[[#This Row],[CodProducto]],Products[#All],2,0)</f>
        <v>Road-750 Black, 52</v>
      </c>
      <c r="L78">
        <f>YEAR(Sales[[#This Row],[Fecha Orden]])</f>
        <v>2021</v>
      </c>
      <c r="M78" t="str">
        <f>TEXT(Sales[[#This Row],[Fecha Orden]],"mmmm")</f>
        <v>enero</v>
      </c>
      <c r="N78" s="14" t="str">
        <f>VLOOKUP(Sales[[#This Row],[CodProducto]],Products[#All],7,0)</f>
        <v>Bikes</v>
      </c>
    </row>
    <row r="79" spans="1:14" x14ac:dyDescent="0.25">
      <c r="A79" s="3">
        <v>10179</v>
      </c>
      <c r="B79" s="2">
        <v>12224</v>
      </c>
      <c r="C79" s="3">
        <v>479</v>
      </c>
      <c r="D79" s="7">
        <v>44250</v>
      </c>
      <c r="E79" s="3">
        <v>1</v>
      </c>
      <c r="F79" s="13">
        <v>8.99</v>
      </c>
      <c r="G79" s="14">
        <f>Sales[[#This Row],[Precio Unit.]]*Sales[[#This Row],[Cant Orden]]</f>
        <v>8.99</v>
      </c>
      <c r="H79" s="14">
        <f>Sales[[#This Row],[Subtotal]]*DatosExtra!$B$2</f>
        <v>0.89900000000000002</v>
      </c>
      <c r="I79" s="14">
        <f>+Sales[[#This Row],[Impuesto]]+Sales[[#This Row],[Subtotal]]</f>
        <v>9.8889999999999993</v>
      </c>
      <c r="J79" s="14" t="str">
        <f>VLOOKUP(Sales[[#This Row],[CodCliente]],Customers[#All],3,0)</f>
        <v>Tristan Henderson</v>
      </c>
      <c r="K79" s="14" t="str">
        <f>VLOOKUP(Sales[[#This Row],[CodProducto]],Products[#All],2,0)</f>
        <v>Road Bottle Cage</v>
      </c>
      <c r="L79">
        <f>YEAR(Sales[[#This Row],[Fecha Orden]])</f>
        <v>2021</v>
      </c>
      <c r="M79" t="str">
        <f>TEXT(Sales[[#This Row],[Fecha Orden]],"mmmm")</f>
        <v>febrero</v>
      </c>
      <c r="N79" s="14" t="str">
        <f>VLOOKUP(Sales[[#This Row],[CodProducto]],Products[#All],7,0)</f>
        <v>Accessories</v>
      </c>
    </row>
    <row r="80" spans="1:14" x14ac:dyDescent="0.25">
      <c r="A80" s="3">
        <v>12484</v>
      </c>
      <c r="B80">
        <v>11979</v>
      </c>
      <c r="C80" s="3">
        <v>214</v>
      </c>
      <c r="D80" s="7">
        <v>44160</v>
      </c>
      <c r="E80" s="3">
        <v>6</v>
      </c>
      <c r="F80" s="13">
        <v>34.99</v>
      </c>
      <c r="G80" s="14">
        <f>Sales[[#This Row],[Precio Unit.]]*Sales[[#This Row],[Cant Orden]]</f>
        <v>209.94</v>
      </c>
      <c r="H80" s="14">
        <f>Sales[[#This Row],[Subtotal]]*DatosExtra!$B$2</f>
        <v>20.994</v>
      </c>
      <c r="I80" s="14">
        <f>+Sales[[#This Row],[Impuesto]]+Sales[[#This Row],[Subtotal]]</f>
        <v>230.934</v>
      </c>
      <c r="J80" s="14" t="str">
        <f>VLOOKUP(Sales[[#This Row],[CodCliente]],Customers[#All],3,0)</f>
        <v>Christopher Johnson</v>
      </c>
      <c r="K80" s="14" t="str">
        <f>VLOOKUP(Sales[[#This Row],[CodProducto]],Products[#All],2,0)</f>
        <v>Sport-100 Helmet, Red</v>
      </c>
      <c r="L80">
        <f>YEAR(Sales[[#This Row],[Fecha Orden]])</f>
        <v>2020</v>
      </c>
      <c r="M80" t="str">
        <f>TEXT(Sales[[#This Row],[Fecha Orden]],"mmmm")</f>
        <v>noviembre</v>
      </c>
      <c r="N80" s="14" t="str">
        <f>VLOOKUP(Sales[[#This Row],[CodProducto]],Products[#All],7,0)</f>
        <v>Accessories</v>
      </c>
    </row>
    <row r="81" spans="1:14" x14ac:dyDescent="0.25">
      <c r="A81" s="3">
        <v>11586</v>
      </c>
      <c r="B81">
        <v>28272</v>
      </c>
      <c r="C81" s="3">
        <v>541</v>
      </c>
      <c r="D81" s="7">
        <v>44197</v>
      </c>
      <c r="E81" s="3">
        <v>4</v>
      </c>
      <c r="F81" s="13">
        <v>28.99</v>
      </c>
      <c r="G81" s="14">
        <f>Sales[[#This Row],[Precio Unit.]]*Sales[[#This Row],[Cant Orden]]</f>
        <v>115.96</v>
      </c>
      <c r="H81" s="14">
        <f>Sales[[#This Row],[Subtotal]]*DatosExtra!$B$2</f>
        <v>11.596</v>
      </c>
      <c r="I81" s="14">
        <f>+Sales[[#This Row],[Impuesto]]+Sales[[#This Row],[Subtotal]]</f>
        <v>127.556</v>
      </c>
      <c r="J81" s="14" t="str">
        <f>VLOOKUP(Sales[[#This Row],[CodCliente]],Customers[#All],3,0)</f>
        <v>Hunter Jai</v>
      </c>
      <c r="K81" s="14" t="str">
        <f>VLOOKUP(Sales[[#This Row],[CodProducto]],Products[#All],2,0)</f>
        <v>Touring Tire</v>
      </c>
      <c r="L81">
        <f>YEAR(Sales[[#This Row],[Fecha Orden]])</f>
        <v>2021</v>
      </c>
      <c r="M81" t="str">
        <f>TEXT(Sales[[#This Row],[Fecha Orden]],"mmmm")</f>
        <v>enero</v>
      </c>
      <c r="N81" s="14" t="str">
        <f>VLOOKUP(Sales[[#This Row],[CodProducto]],Products[#All],7,0)</f>
        <v>Accessories</v>
      </c>
    </row>
    <row r="82" spans="1:14" x14ac:dyDescent="0.25">
      <c r="A82" s="3">
        <v>19528</v>
      </c>
      <c r="B82">
        <v>21043</v>
      </c>
      <c r="C82" s="2">
        <v>490</v>
      </c>
      <c r="D82" s="7">
        <v>44215</v>
      </c>
      <c r="E82" s="3">
        <v>10</v>
      </c>
      <c r="F82" s="13">
        <v>53.99</v>
      </c>
      <c r="G82" s="14">
        <f>Sales[[#This Row],[Precio Unit.]]*Sales[[#This Row],[Cant Orden]]</f>
        <v>539.9</v>
      </c>
      <c r="H82" s="14">
        <f>Sales[[#This Row],[Subtotal]]*DatosExtra!$B$2</f>
        <v>53.99</v>
      </c>
      <c r="I82" s="14">
        <f>+Sales[[#This Row],[Impuesto]]+Sales[[#This Row],[Subtotal]]</f>
        <v>593.89</v>
      </c>
      <c r="J82" s="14" t="str">
        <f>VLOOKUP(Sales[[#This Row],[CodCliente]],Customers[#All],3,0)</f>
        <v>Johnathan McDonald</v>
      </c>
      <c r="K82" s="14" t="str">
        <f>VLOOKUP(Sales[[#This Row],[CodProducto]],Products[#All],2,0)</f>
        <v>Short-Sleeve Classic Jersey, L</v>
      </c>
      <c r="L82">
        <f>YEAR(Sales[[#This Row],[Fecha Orden]])</f>
        <v>2021</v>
      </c>
      <c r="M82" t="str">
        <f>TEXT(Sales[[#This Row],[Fecha Orden]],"mmmm")</f>
        <v>enero</v>
      </c>
      <c r="N82" s="14" t="str">
        <f>VLOOKUP(Sales[[#This Row],[CodProducto]],Products[#All],7,0)</f>
        <v>Clothing</v>
      </c>
    </row>
    <row r="83" spans="1:14" x14ac:dyDescent="0.25">
      <c r="A83" s="3">
        <v>18032</v>
      </c>
      <c r="B83">
        <v>12544</v>
      </c>
      <c r="C83" s="2">
        <v>606</v>
      </c>
      <c r="D83" s="7">
        <v>44149</v>
      </c>
      <c r="E83" s="3">
        <v>4</v>
      </c>
      <c r="F83" s="13">
        <v>539.99</v>
      </c>
      <c r="G83" s="14">
        <f>Sales[[#This Row],[Precio Unit.]]*Sales[[#This Row],[Cant Orden]]</f>
        <v>2159.96</v>
      </c>
      <c r="H83" s="14">
        <f>Sales[[#This Row],[Subtotal]]*DatosExtra!$B$2</f>
        <v>215.99600000000001</v>
      </c>
      <c r="I83" s="14">
        <f>+Sales[[#This Row],[Impuesto]]+Sales[[#This Row],[Subtotal]]</f>
        <v>2375.9560000000001</v>
      </c>
      <c r="J83" s="14" t="str">
        <f>VLOOKUP(Sales[[#This Row],[CodCliente]],Customers[#All],3,0)</f>
        <v>Bruce Jordan</v>
      </c>
      <c r="K83" s="14" t="str">
        <f>VLOOKUP(Sales[[#This Row],[CodProducto]],Products[#All],2,0)</f>
        <v>Road-750 Black, 52</v>
      </c>
      <c r="L83">
        <f>YEAR(Sales[[#This Row],[Fecha Orden]])</f>
        <v>2020</v>
      </c>
      <c r="M83" t="str">
        <f>TEXT(Sales[[#This Row],[Fecha Orden]],"mmmm")</f>
        <v>noviembre</v>
      </c>
      <c r="N83" s="14" t="str">
        <f>VLOOKUP(Sales[[#This Row],[CodProducto]],Products[#All],7,0)</f>
        <v>Bikes</v>
      </c>
    </row>
    <row r="84" spans="1:14" x14ac:dyDescent="0.25">
      <c r="A84" s="3">
        <v>11838</v>
      </c>
      <c r="B84">
        <v>22465</v>
      </c>
      <c r="C84" s="2">
        <v>217</v>
      </c>
      <c r="D84" s="7">
        <v>44122</v>
      </c>
      <c r="E84" s="3">
        <v>7</v>
      </c>
      <c r="F84" s="13">
        <v>34.99</v>
      </c>
      <c r="G84" s="14">
        <f>Sales[[#This Row],[Precio Unit.]]*Sales[[#This Row],[Cant Orden]]</f>
        <v>244.93</v>
      </c>
      <c r="H84" s="14">
        <f>Sales[[#This Row],[Subtotal]]*DatosExtra!$B$2</f>
        <v>24.493000000000002</v>
      </c>
      <c r="I84" s="14">
        <f>+Sales[[#This Row],[Impuesto]]+Sales[[#This Row],[Subtotal]]</f>
        <v>269.423</v>
      </c>
      <c r="J84" s="14" t="str">
        <f>VLOOKUP(Sales[[#This Row],[CodCliente]],Customers[#All],3,0)</f>
        <v>Arturo Shan</v>
      </c>
      <c r="K84" s="14" t="str">
        <f>VLOOKUP(Sales[[#This Row],[CodProducto]],Products[#All],2,0)</f>
        <v>Sport-100 Helmet, Black</v>
      </c>
      <c r="L84">
        <f>YEAR(Sales[[#This Row],[Fecha Orden]])</f>
        <v>2020</v>
      </c>
      <c r="M84" t="str">
        <f>TEXT(Sales[[#This Row],[Fecha Orden]],"mmmm")</f>
        <v>octubre</v>
      </c>
      <c r="N84" s="14" t="str">
        <f>VLOOKUP(Sales[[#This Row],[CodProducto]],Products[#All],7,0)</f>
        <v>Accessories</v>
      </c>
    </row>
    <row r="85" spans="1:14" x14ac:dyDescent="0.25">
      <c r="A85" s="3">
        <v>10156</v>
      </c>
      <c r="B85">
        <v>24113</v>
      </c>
      <c r="C85" s="3">
        <v>580</v>
      </c>
      <c r="D85" s="7">
        <v>44199</v>
      </c>
      <c r="E85" s="3">
        <v>1</v>
      </c>
      <c r="F85" s="13">
        <v>1700.99</v>
      </c>
      <c r="G85" s="14">
        <f>Sales[[#This Row],[Precio Unit.]]*Sales[[#This Row],[Cant Orden]]</f>
        <v>1700.99</v>
      </c>
      <c r="H85" s="14">
        <f>Sales[[#This Row],[Subtotal]]*DatosExtra!$B$2</f>
        <v>170.09900000000002</v>
      </c>
      <c r="I85" s="14">
        <f>+Sales[[#This Row],[Impuesto]]+Sales[[#This Row],[Subtotal]]</f>
        <v>1871.0889999999999</v>
      </c>
      <c r="J85" s="14" t="str">
        <f>VLOOKUP(Sales[[#This Row],[CodCliente]],Customers[#All],3,0)</f>
        <v>Stephanie Green</v>
      </c>
      <c r="K85" s="14" t="str">
        <f>VLOOKUP(Sales[[#This Row],[CodProducto]],Products[#All],2,0)</f>
        <v>Road-350-W Yellow, 40</v>
      </c>
      <c r="L85">
        <f>YEAR(Sales[[#This Row],[Fecha Orden]])</f>
        <v>2021</v>
      </c>
      <c r="M85" t="str">
        <f>TEXT(Sales[[#This Row],[Fecha Orden]],"mmmm")</f>
        <v>enero</v>
      </c>
      <c r="N85" s="14" t="str">
        <f>VLOOKUP(Sales[[#This Row],[CodProducto]],Products[#All],7,0)</f>
        <v>Bikes</v>
      </c>
    </row>
    <row r="86" spans="1:14" x14ac:dyDescent="0.25">
      <c r="A86" s="3">
        <v>13107</v>
      </c>
      <c r="B86">
        <v>16268</v>
      </c>
      <c r="C86" s="2">
        <v>529</v>
      </c>
      <c r="D86" s="7">
        <v>44221</v>
      </c>
      <c r="E86" s="3">
        <v>9</v>
      </c>
      <c r="F86" s="13">
        <v>3.99</v>
      </c>
      <c r="G86" s="14">
        <f>Sales[[#This Row],[Precio Unit.]]*Sales[[#This Row],[Cant Orden]]</f>
        <v>35.910000000000004</v>
      </c>
      <c r="H86" s="14">
        <f>Sales[[#This Row],[Subtotal]]*DatosExtra!$B$2</f>
        <v>3.5910000000000006</v>
      </c>
      <c r="I86" s="14">
        <f>+Sales[[#This Row],[Impuesto]]+Sales[[#This Row],[Subtotal]]</f>
        <v>39.501000000000005</v>
      </c>
      <c r="J86" s="14" t="str">
        <f>VLOOKUP(Sales[[#This Row],[CodCliente]],Customers[#All],3,0)</f>
        <v>Lindsey Kumar</v>
      </c>
      <c r="K86" s="14" t="str">
        <f>VLOOKUP(Sales[[#This Row],[CodProducto]],Products[#All],2,0)</f>
        <v>Road Tire Tube</v>
      </c>
      <c r="L86">
        <f>YEAR(Sales[[#This Row],[Fecha Orden]])</f>
        <v>2021</v>
      </c>
      <c r="M86" t="str">
        <f>TEXT(Sales[[#This Row],[Fecha Orden]],"mmmm")</f>
        <v>enero</v>
      </c>
      <c r="N86" s="14" t="str">
        <f>VLOOKUP(Sales[[#This Row],[CodProducto]],Products[#All],7,0)</f>
        <v>Accessories</v>
      </c>
    </row>
    <row r="87" spans="1:14" x14ac:dyDescent="0.25">
      <c r="A87" s="3">
        <v>11328</v>
      </c>
      <c r="B87">
        <v>18917</v>
      </c>
      <c r="C87" s="2">
        <v>529</v>
      </c>
      <c r="D87" s="7">
        <v>44136</v>
      </c>
      <c r="E87" s="3">
        <v>8</v>
      </c>
      <c r="F87" s="13">
        <v>3.99</v>
      </c>
      <c r="G87" s="14">
        <f>Sales[[#This Row],[Precio Unit.]]*Sales[[#This Row],[Cant Orden]]</f>
        <v>31.92</v>
      </c>
      <c r="H87" s="14">
        <f>Sales[[#This Row],[Subtotal]]*DatosExtra!$B$2</f>
        <v>3.1920000000000002</v>
      </c>
      <c r="I87" s="14">
        <f>+Sales[[#This Row],[Impuesto]]+Sales[[#This Row],[Subtotal]]</f>
        <v>35.112000000000002</v>
      </c>
      <c r="J87" s="14" t="str">
        <f>VLOOKUP(Sales[[#This Row],[CodCliente]],Customers[#All],3,0)</f>
        <v>Jonathan Nelson</v>
      </c>
      <c r="K87" s="14" t="str">
        <f>VLOOKUP(Sales[[#This Row],[CodProducto]],Products[#All],2,0)</f>
        <v>Road Tire Tube</v>
      </c>
      <c r="L87">
        <f>YEAR(Sales[[#This Row],[Fecha Orden]])</f>
        <v>2020</v>
      </c>
      <c r="M87" t="str">
        <f>TEXT(Sales[[#This Row],[Fecha Orden]],"mmmm")</f>
        <v>noviembre</v>
      </c>
      <c r="N87" s="14" t="str">
        <f>VLOOKUP(Sales[[#This Row],[CodProducto]],Products[#All],7,0)</f>
        <v>Accessories</v>
      </c>
    </row>
    <row r="88" spans="1:14" x14ac:dyDescent="0.25">
      <c r="A88" s="3">
        <v>13715</v>
      </c>
      <c r="B88">
        <v>20653</v>
      </c>
      <c r="C88" s="2">
        <v>539</v>
      </c>
      <c r="D88" s="7">
        <v>44185</v>
      </c>
      <c r="E88" s="3">
        <v>2</v>
      </c>
      <c r="F88" s="13">
        <v>24.99</v>
      </c>
      <c r="G88" s="14">
        <f>Sales[[#This Row],[Precio Unit.]]*Sales[[#This Row],[Cant Orden]]</f>
        <v>49.98</v>
      </c>
      <c r="H88" s="14">
        <f>Sales[[#This Row],[Subtotal]]*DatosExtra!$B$2</f>
        <v>4.9980000000000002</v>
      </c>
      <c r="I88" s="14">
        <f>+Sales[[#This Row],[Impuesto]]+Sales[[#This Row],[Subtotal]]</f>
        <v>54.977999999999994</v>
      </c>
      <c r="J88" s="14" t="str">
        <f>VLOOKUP(Sales[[#This Row],[CodCliente]],Customers[#All],3,0)</f>
        <v>Jessica White</v>
      </c>
      <c r="K88" s="14" t="str">
        <f>VLOOKUP(Sales[[#This Row],[CodProducto]],Products[#All],2,0)</f>
        <v>ML Road Tire</v>
      </c>
      <c r="L88">
        <f>YEAR(Sales[[#This Row],[Fecha Orden]])</f>
        <v>2020</v>
      </c>
      <c r="M88" t="str">
        <f>TEXT(Sales[[#This Row],[Fecha Orden]],"mmmm")</f>
        <v>diciembre</v>
      </c>
      <c r="N88" s="14" t="str">
        <f>VLOOKUP(Sales[[#This Row],[CodProducto]],Products[#All],7,0)</f>
        <v>Accessories</v>
      </c>
    </row>
    <row r="89" spans="1:14" x14ac:dyDescent="0.25">
      <c r="A89" s="3">
        <v>14753</v>
      </c>
      <c r="B89">
        <v>23878</v>
      </c>
      <c r="C89" s="3">
        <v>373</v>
      </c>
      <c r="D89" s="7">
        <v>44199</v>
      </c>
      <c r="E89" s="3">
        <v>2</v>
      </c>
      <c r="F89" s="13">
        <v>2181.5625</v>
      </c>
      <c r="G89" s="14">
        <f>Sales[[#This Row],[Precio Unit.]]*Sales[[#This Row],[Cant Orden]]</f>
        <v>4363.125</v>
      </c>
      <c r="H89" s="14">
        <f>Sales[[#This Row],[Subtotal]]*DatosExtra!$B$2</f>
        <v>436.3125</v>
      </c>
      <c r="I89" s="14">
        <f>+Sales[[#This Row],[Impuesto]]+Sales[[#This Row],[Subtotal]]</f>
        <v>4799.4375</v>
      </c>
      <c r="J89" s="14" t="str">
        <f>VLOOKUP(Sales[[#This Row],[CodCliente]],Customers[#All],3,0)</f>
        <v>Chloe Wood</v>
      </c>
      <c r="K89" s="14" t="str">
        <f>VLOOKUP(Sales[[#This Row],[CodProducto]],Products[#All],2,0)</f>
        <v>Road-250 Black, 44</v>
      </c>
      <c r="L89">
        <f>YEAR(Sales[[#This Row],[Fecha Orden]])</f>
        <v>2021</v>
      </c>
      <c r="M89" t="str">
        <f>TEXT(Sales[[#This Row],[Fecha Orden]],"mmmm")</f>
        <v>enero</v>
      </c>
      <c r="N89" s="14" t="str">
        <f>VLOOKUP(Sales[[#This Row],[CodProducto]],Products[#All],7,0)</f>
        <v>Bikes</v>
      </c>
    </row>
    <row r="90" spans="1:14" x14ac:dyDescent="0.25">
      <c r="A90" s="3">
        <v>14969</v>
      </c>
      <c r="B90">
        <v>19137</v>
      </c>
      <c r="C90" s="2">
        <v>480</v>
      </c>
      <c r="D90" s="7">
        <v>44145</v>
      </c>
      <c r="E90" s="3">
        <v>9</v>
      </c>
      <c r="F90" s="13">
        <v>2.29</v>
      </c>
      <c r="G90" s="14">
        <f>Sales[[#This Row],[Precio Unit.]]*Sales[[#This Row],[Cant Orden]]</f>
        <v>20.61</v>
      </c>
      <c r="H90" s="14">
        <f>Sales[[#This Row],[Subtotal]]*DatosExtra!$B$2</f>
        <v>2.0609999999999999</v>
      </c>
      <c r="I90" s="14">
        <f>+Sales[[#This Row],[Impuesto]]+Sales[[#This Row],[Subtotal]]</f>
        <v>22.670999999999999</v>
      </c>
      <c r="J90" s="14" t="str">
        <f>VLOOKUP(Sales[[#This Row],[CodCliente]],Customers[#All],3,0)</f>
        <v>Eric Russell</v>
      </c>
      <c r="K90" s="14" t="str">
        <f>VLOOKUP(Sales[[#This Row],[CodProducto]],Products[#All],2,0)</f>
        <v>Patch Kit/8 Patches</v>
      </c>
      <c r="L90">
        <f>YEAR(Sales[[#This Row],[Fecha Orden]])</f>
        <v>2020</v>
      </c>
      <c r="M90" t="str">
        <f>TEXT(Sales[[#This Row],[Fecha Orden]],"mmmm")</f>
        <v>noviembre</v>
      </c>
      <c r="N90" s="14" t="str">
        <f>VLOOKUP(Sales[[#This Row],[CodProducto]],Products[#All],7,0)</f>
        <v>Accessories</v>
      </c>
    </row>
    <row r="91" spans="1:14" x14ac:dyDescent="0.25">
      <c r="A91" s="3">
        <v>11622</v>
      </c>
      <c r="B91">
        <v>18917</v>
      </c>
      <c r="C91" s="2">
        <v>487</v>
      </c>
      <c r="D91" s="7">
        <v>44222</v>
      </c>
      <c r="E91" s="3">
        <v>1</v>
      </c>
      <c r="F91" s="13">
        <v>54.99</v>
      </c>
      <c r="G91" s="14">
        <f>Sales[[#This Row],[Precio Unit.]]*Sales[[#This Row],[Cant Orden]]</f>
        <v>54.99</v>
      </c>
      <c r="H91" s="14">
        <f>Sales[[#This Row],[Subtotal]]*DatosExtra!$B$2</f>
        <v>5.4990000000000006</v>
      </c>
      <c r="I91" s="14">
        <f>+Sales[[#This Row],[Impuesto]]+Sales[[#This Row],[Subtotal]]</f>
        <v>60.489000000000004</v>
      </c>
      <c r="J91" s="14" t="str">
        <f>VLOOKUP(Sales[[#This Row],[CodCliente]],Customers[#All],3,0)</f>
        <v>Jonathan Nelson</v>
      </c>
      <c r="K91" s="14" t="str">
        <f>VLOOKUP(Sales[[#This Row],[CodProducto]],Products[#All],2,0)</f>
        <v>Hydration Pack - 70 oz.</v>
      </c>
      <c r="L91">
        <f>YEAR(Sales[[#This Row],[Fecha Orden]])</f>
        <v>2021</v>
      </c>
      <c r="M91" t="str">
        <f>TEXT(Sales[[#This Row],[Fecha Orden]],"mmmm")</f>
        <v>enero</v>
      </c>
      <c r="N91" s="14" t="str">
        <f>VLOOKUP(Sales[[#This Row],[CodProducto]],Products[#All],7,0)</f>
        <v>Accessories</v>
      </c>
    </row>
    <row r="92" spans="1:14" x14ac:dyDescent="0.25">
      <c r="A92" s="3">
        <v>18062</v>
      </c>
      <c r="B92">
        <v>19137</v>
      </c>
      <c r="C92" s="2">
        <v>490</v>
      </c>
      <c r="D92" s="7">
        <v>44141</v>
      </c>
      <c r="E92" s="3">
        <v>9</v>
      </c>
      <c r="F92" s="13">
        <v>53.99</v>
      </c>
      <c r="G92" s="14">
        <f>Sales[[#This Row],[Precio Unit.]]*Sales[[#This Row],[Cant Orden]]</f>
        <v>485.91</v>
      </c>
      <c r="H92" s="14">
        <f>Sales[[#This Row],[Subtotal]]*DatosExtra!$B$2</f>
        <v>48.591000000000008</v>
      </c>
      <c r="I92" s="14">
        <f>+Sales[[#This Row],[Impuesto]]+Sales[[#This Row],[Subtotal]]</f>
        <v>534.50099999999998</v>
      </c>
      <c r="J92" s="14" t="str">
        <f>VLOOKUP(Sales[[#This Row],[CodCliente]],Customers[#All],3,0)</f>
        <v>Eric Russell</v>
      </c>
      <c r="K92" s="14" t="str">
        <f>VLOOKUP(Sales[[#This Row],[CodProducto]],Products[#All],2,0)</f>
        <v>Short-Sleeve Classic Jersey, L</v>
      </c>
      <c r="L92">
        <f>YEAR(Sales[[#This Row],[Fecha Orden]])</f>
        <v>2020</v>
      </c>
      <c r="M92" t="str">
        <f>TEXT(Sales[[#This Row],[Fecha Orden]],"mmmm")</f>
        <v>noviembre</v>
      </c>
      <c r="N92" s="14" t="str">
        <f>VLOOKUP(Sales[[#This Row],[CodProducto]],Products[#All],7,0)</f>
        <v>Clothing</v>
      </c>
    </row>
    <row r="93" spans="1:14" x14ac:dyDescent="0.25">
      <c r="A93" s="3">
        <v>17831</v>
      </c>
      <c r="B93">
        <v>20653</v>
      </c>
      <c r="C93" s="2">
        <v>530</v>
      </c>
      <c r="D93" s="7">
        <v>44139</v>
      </c>
      <c r="E93" s="3">
        <v>8</v>
      </c>
      <c r="F93" s="13">
        <v>4.99</v>
      </c>
      <c r="G93" s="14">
        <f>Sales[[#This Row],[Precio Unit.]]*Sales[[#This Row],[Cant Orden]]</f>
        <v>39.92</v>
      </c>
      <c r="H93" s="14">
        <f>Sales[[#This Row],[Subtotal]]*DatosExtra!$B$2</f>
        <v>3.9920000000000004</v>
      </c>
      <c r="I93" s="14">
        <f>+Sales[[#This Row],[Impuesto]]+Sales[[#This Row],[Subtotal]]</f>
        <v>43.911999999999999</v>
      </c>
      <c r="J93" s="14" t="str">
        <f>VLOOKUP(Sales[[#This Row],[CodCliente]],Customers[#All],3,0)</f>
        <v>Jessica White</v>
      </c>
      <c r="K93" s="14" t="str">
        <f>VLOOKUP(Sales[[#This Row],[CodProducto]],Products[#All],2,0)</f>
        <v>Touring Tire Tube</v>
      </c>
      <c r="L93">
        <f>YEAR(Sales[[#This Row],[Fecha Orden]])</f>
        <v>2020</v>
      </c>
      <c r="M93" t="str">
        <f>TEXT(Sales[[#This Row],[Fecha Orden]],"mmmm")</f>
        <v>noviembre</v>
      </c>
      <c r="N93" s="14" t="str">
        <f>VLOOKUP(Sales[[#This Row],[CodProducto]],Products[#All],7,0)</f>
        <v>Accessories</v>
      </c>
    </row>
    <row r="94" spans="1:14" x14ac:dyDescent="0.25">
      <c r="A94" s="3">
        <v>11286</v>
      </c>
      <c r="B94">
        <v>21043</v>
      </c>
      <c r="C94" s="2">
        <v>541</v>
      </c>
      <c r="D94" s="7">
        <v>44084</v>
      </c>
      <c r="E94" s="3">
        <v>3</v>
      </c>
      <c r="F94" s="13">
        <v>28.99</v>
      </c>
      <c r="G94" s="14">
        <f>Sales[[#This Row],[Precio Unit.]]*Sales[[#This Row],[Cant Orden]]</f>
        <v>86.97</v>
      </c>
      <c r="H94" s="14">
        <f>Sales[[#This Row],[Subtotal]]*DatosExtra!$B$2</f>
        <v>8.697000000000001</v>
      </c>
      <c r="I94" s="14">
        <f>+Sales[[#This Row],[Impuesto]]+Sales[[#This Row],[Subtotal]]</f>
        <v>95.667000000000002</v>
      </c>
      <c r="J94" s="14" t="str">
        <f>VLOOKUP(Sales[[#This Row],[CodCliente]],Customers[#All],3,0)</f>
        <v>Johnathan McDonald</v>
      </c>
      <c r="K94" s="14" t="str">
        <f>VLOOKUP(Sales[[#This Row],[CodProducto]],Products[#All],2,0)</f>
        <v>Touring Tire</v>
      </c>
      <c r="L94">
        <f>YEAR(Sales[[#This Row],[Fecha Orden]])</f>
        <v>2020</v>
      </c>
      <c r="M94" t="str">
        <f>TEXT(Sales[[#This Row],[Fecha Orden]],"mmmm")</f>
        <v>septiembre</v>
      </c>
      <c r="N94" s="14" t="str">
        <f>VLOOKUP(Sales[[#This Row],[CodProducto]],Products[#All],7,0)</f>
        <v>Accessories</v>
      </c>
    </row>
    <row r="95" spans="1:14" x14ac:dyDescent="0.25">
      <c r="A95" s="3">
        <v>12839</v>
      </c>
      <c r="B95">
        <v>22465</v>
      </c>
      <c r="C95" s="3">
        <v>571</v>
      </c>
      <c r="D95" s="7">
        <v>44206</v>
      </c>
      <c r="E95" s="3">
        <v>7</v>
      </c>
      <c r="F95" s="13">
        <v>742.35</v>
      </c>
      <c r="G95" s="14">
        <f>Sales[[#This Row],[Precio Unit.]]*Sales[[#This Row],[Cant Orden]]</f>
        <v>5196.45</v>
      </c>
      <c r="H95" s="14">
        <f>Sales[[#This Row],[Subtotal]]*DatosExtra!$B$2</f>
        <v>519.64499999999998</v>
      </c>
      <c r="I95" s="14">
        <f>+Sales[[#This Row],[Impuesto]]+Sales[[#This Row],[Subtotal]]</f>
        <v>5716.0949999999993</v>
      </c>
      <c r="J95" s="14" t="str">
        <f>VLOOKUP(Sales[[#This Row],[CodCliente]],Customers[#All],3,0)</f>
        <v>Arturo Shan</v>
      </c>
      <c r="K95" s="14" t="str">
        <f>VLOOKUP(Sales[[#This Row],[CodProducto]],Products[#All],2,0)</f>
        <v>Touring-3000 Yellow, 58</v>
      </c>
      <c r="L95">
        <f>YEAR(Sales[[#This Row],[Fecha Orden]])</f>
        <v>2021</v>
      </c>
      <c r="M95" t="str">
        <f>TEXT(Sales[[#This Row],[Fecha Orden]],"mmmm")</f>
        <v>enero</v>
      </c>
      <c r="N95" s="14" t="str">
        <f>VLOOKUP(Sales[[#This Row],[CodProducto]],Products[#All],7,0)</f>
        <v>Bikes</v>
      </c>
    </row>
    <row r="96" spans="1:14" x14ac:dyDescent="0.25">
      <c r="A96" s="3">
        <v>12824</v>
      </c>
      <c r="B96">
        <v>23878</v>
      </c>
      <c r="C96" s="2">
        <v>237</v>
      </c>
      <c r="D96" s="7">
        <v>44096</v>
      </c>
      <c r="E96" s="3">
        <v>1</v>
      </c>
      <c r="F96" s="13">
        <v>49.99</v>
      </c>
      <c r="G96" s="14">
        <f>Sales[[#This Row],[Precio Unit.]]*Sales[[#This Row],[Cant Orden]]</f>
        <v>49.99</v>
      </c>
      <c r="H96" s="14">
        <f>Sales[[#This Row],[Subtotal]]*DatosExtra!$B$2</f>
        <v>4.9990000000000006</v>
      </c>
      <c r="I96" s="14">
        <f>+Sales[[#This Row],[Impuesto]]+Sales[[#This Row],[Subtotal]]</f>
        <v>54.989000000000004</v>
      </c>
      <c r="J96" s="14" t="str">
        <f>VLOOKUP(Sales[[#This Row],[CodCliente]],Customers[#All],3,0)</f>
        <v>Chloe Wood</v>
      </c>
      <c r="K96" s="14" t="str">
        <f>VLOOKUP(Sales[[#This Row],[CodProducto]],Products[#All],2,0)</f>
        <v>Long-Sleeve Logo Jersey, XL</v>
      </c>
      <c r="L96">
        <f>YEAR(Sales[[#This Row],[Fecha Orden]])</f>
        <v>2020</v>
      </c>
      <c r="M96" t="str">
        <f>TEXT(Sales[[#This Row],[Fecha Orden]],"mmmm")</f>
        <v>septiembre</v>
      </c>
      <c r="N96" s="14" t="str">
        <f>VLOOKUP(Sales[[#This Row],[CodProducto]],Products[#All],7,0)</f>
        <v>Clothing</v>
      </c>
    </row>
    <row r="97" spans="1:14" x14ac:dyDescent="0.25">
      <c r="A97" s="3">
        <v>18830</v>
      </c>
      <c r="B97">
        <v>24113</v>
      </c>
      <c r="C97" s="2">
        <v>485</v>
      </c>
      <c r="D97" s="7">
        <v>44210</v>
      </c>
      <c r="E97" s="3">
        <v>5</v>
      </c>
      <c r="F97" s="13">
        <v>21.98</v>
      </c>
      <c r="G97" s="14">
        <f>Sales[[#This Row],[Precio Unit.]]*Sales[[#This Row],[Cant Orden]]</f>
        <v>109.9</v>
      </c>
      <c r="H97" s="14">
        <f>Sales[[#This Row],[Subtotal]]*DatosExtra!$B$2</f>
        <v>10.990000000000002</v>
      </c>
      <c r="I97" s="14">
        <f>+Sales[[#This Row],[Impuesto]]+Sales[[#This Row],[Subtotal]]</f>
        <v>120.89000000000001</v>
      </c>
      <c r="J97" s="14" t="str">
        <f>VLOOKUP(Sales[[#This Row],[CodCliente]],Customers[#All],3,0)</f>
        <v>Stephanie Green</v>
      </c>
      <c r="K97" s="14" t="str">
        <f>VLOOKUP(Sales[[#This Row],[CodProducto]],Products[#All],2,0)</f>
        <v>Fender Set - Mountain</v>
      </c>
      <c r="L97">
        <f>YEAR(Sales[[#This Row],[Fecha Orden]])</f>
        <v>2021</v>
      </c>
      <c r="M97" t="str">
        <f>TEXT(Sales[[#This Row],[Fecha Orden]],"mmmm")</f>
        <v>enero</v>
      </c>
      <c r="N97" s="14" t="str">
        <f>VLOOKUP(Sales[[#This Row],[CodProducto]],Products[#All],7,0)</f>
        <v>Accessories</v>
      </c>
    </row>
    <row r="98" spans="1:14" x14ac:dyDescent="0.25">
      <c r="A98" s="3">
        <v>15473</v>
      </c>
      <c r="B98">
        <v>24775</v>
      </c>
      <c r="C98" s="2">
        <v>528</v>
      </c>
      <c r="D98" s="7">
        <v>44154</v>
      </c>
      <c r="E98" s="3">
        <v>5</v>
      </c>
      <c r="F98" s="13">
        <v>4.99</v>
      </c>
      <c r="G98" s="14">
        <f>Sales[[#This Row],[Precio Unit.]]*Sales[[#This Row],[Cant Orden]]</f>
        <v>24.950000000000003</v>
      </c>
      <c r="H98" s="14">
        <f>Sales[[#This Row],[Subtotal]]*DatosExtra!$B$2</f>
        <v>2.4950000000000006</v>
      </c>
      <c r="I98" s="14">
        <f>+Sales[[#This Row],[Impuesto]]+Sales[[#This Row],[Subtotal]]</f>
        <v>27.445000000000004</v>
      </c>
      <c r="J98" s="14" t="str">
        <f>VLOOKUP(Sales[[#This Row],[CodCliente]],Customers[#All],3,0)</f>
        <v>Alexandra Alexander</v>
      </c>
      <c r="K98" s="14" t="str">
        <f>VLOOKUP(Sales[[#This Row],[CodProducto]],Products[#All],2,0)</f>
        <v>Mountain Tire Tube</v>
      </c>
      <c r="L98">
        <f>YEAR(Sales[[#This Row],[Fecha Orden]])</f>
        <v>2020</v>
      </c>
      <c r="M98" t="str">
        <f>TEXT(Sales[[#This Row],[Fecha Orden]],"mmmm")</f>
        <v>noviembre</v>
      </c>
      <c r="N98" s="14" t="str">
        <f>VLOOKUP(Sales[[#This Row],[CodProducto]],Products[#All],7,0)</f>
        <v>Accessories</v>
      </c>
    </row>
    <row r="99" spans="1:14" x14ac:dyDescent="0.25">
      <c r="A99" s="3">
        <v>19592</v>
      </c>
      <c r="B99">
        <v>23878</v>
      </c>
      <c r="C99" s="2">
        <v>217</v>
      </c>
      <c r="D99" s="7">
        <v>44108</v>
      </c>
      <c r="E99" s="3">
        <v>7</v>
      </c>
      <c r="F99" s="13">
        <v>34.99</v>
      </c>
      <c r="G99" s="14">
        <f>Sales[[#This Row],[Precio Unit.]]*Sales[[#This Row],[Cant Orden]]</f>
        <v>244.93</v>
      </c>
      <c r="H99" s="14">
        <f>Sales[[#This Row],[Subtotal]]*DatosExtra!$B$2</f>
        <v>24.493000000000002</v>
      </c>
      <c r="I99" s="14">
        <f>+Sales[[#This Row],[Impuesto]]+Sales[[#This Row],[Subtotal]]</f>
        <v>269.423</v>
      </c>
      <c r="J99" s="14" t="str">
        <f>VLOOKUP(Sales[[#This Row],[CodCliente]],Customers[#All],3,0)</f>
        <v>Chloe Wood</v>
      </c>
      <c r="K99" s="14" t="str">
        <f>VLOOKUP(Sales[[#This Row],[CodProducto]],Products[#All],2,0)</f>
        <v>Sport-100 Helmet, Black</v>
      </c>
      <c r="L99">
        <f>YEAR(Sales[[#This Row],[Fecha Orden]])</f>
        <v>2020</v>
      </c>
      <c r="M99" t="str">
        <f>TEXT(Sales[[#This Row],[Fecha Orden]],"mmmm")</f>
        <v>octubre</v>
      </c>
      <c r="N99" s="14" t="str">
        <f>VLOOKUP(Sales[[#This Row],[CodProducto]],Products[#All],7,0)</f>
        <v>Accessories</v>
      </c>
    </row>
    <row r="100" spans="1:14" x14ac:dyDescent="0.25">
      <c r="A100" s="3">
        <v>10721</v>
      </c>
      <c r="B100">
        <v>24775</v>
      </c>
      <c r="C100" s="3">
        <v>231</v>
      </c>
      <c r="D100" s="7">
        <v>44085</v>
      </c>
      <c r="E100" s="3">
        <v>7</v>
      </c>
      <c r="F100" s="13">
        <v>49.99</v>
      </c>
      <c r="G100" s="14">
        <f>Sales[[#This Row],[Precio Unit.]]*Sales[[#This Row],[Cant Orden]]</f>
        <v>349.93</v>
      </c>
      <c r="H100" s="14">
        <f>Sales[[#This Row],[Subtotal]]*DatosExtra!$B$2</f>
        <v>34.993000000000002</v>
      </c>
      <c r="I100" s="14">
        <f>+Sales[[#This Row],[Impuesto]]+Sales[[#This Row],[Subtotal]]</f>
        <v>384.923</v>
      </c>
      <c r="J100" s="14" t="str">
        <f>VLOOKUP(Sales[[#This Row],[CodCliente]],Customers[#All],3,0)</f>
        <v>Alexandra Alexander</v>
      </c>
      <c r="K100" s="14" t="str">
        <f>VLOOKUP(Sales[[#This Row],[CodProducto]],Products[#All],2,0)</f>
        <v>Long-Sleeve Logo Jersey, M</v>
      </c>
      <c r="L100">
        <f>YEAR(Sales[[#This Row],[Fecha Orden]])</f>
        <v>2020</v>
      </c>
      <c r="M100" t="str">
        <f>TEXT(Sales[[#This Row],[Fecha Orden]],"mmmm")</f>
        <v>septiembre</v>
      </c>
      <c r="N100" s="14" t="str">
        <f>VLOOKUP(Sales[[#This Row],[CodProducto]],Products[#All],7,0)</f>
        <v>Clothing</v>
      </c>
    </row>
    <row r="101" spans="1:14" x14ac:dyDescent="0.25">
      <c r="A101" s="3">
        <v>17166</v>
      </c>
      <c r="B101">
        <v>27630</v>
      </c>
      <c r="C101" s="3">
        <v>217</v>
      </c>
      <c r="D101" s="7">
        <v>44176</v>
      </c>
      <c r="E101" s="3">
        <v>9</v>
      </c>
      <c r="F101" s="13">
        <v>34.99</v>
      </c>
      <c r="G101" s="14">
        <f>Sales[[#This Row],[Precio Unit.]]*Sales[[#This Row],[Cant Orden]]</f>
        <v>314.91000000000003</v>
      </c>
      <c r="H101" s="14">
        <f>Sales[[#This Row],[Subtotal]]*DatosExtra!$B$2</f>
        <v>31.491000000000003</v>
      </c>
      <c r="I101" s="14">
        <f>+Sales[[#This Row],[Impuesto]]+Sales[[#This Row],[Subtotal]]</f>
        <v>346.40100000000001</v>
      </c>
      <c r="J101" s="14" t="str">
        <f>VLOOKUP(Sales[[#This Row],[CodCliente]],Customers[#All],3,0)</f>
        <v>Xavier Coleman</v>
      </c>
      <c r="K101" s="14" t="str">
        <f>VLOOKUP(Sales[[#This Row],[CodProducto]],Products[#All],2,0)</f>
        <v>Sport-100 Helmet, Black</v>
      </c>
      <c r="L101">
        <f>YEAR(Sales[[#This Row],[Fecha Orden]])</f>
        <v>2020</v>
      </c>
      <c r="M101" t="str">
        <f>TEXT(Sales[[#This Row],[Fecha Orden]],"mmmm")</f>
        <v>diciembre</v>
      </c>
      <c r="N101" s="14" t="str">
        <f>VLOOKUP(Sales[[#This Row],[CodProducto]],Products[#All],7,0)</f>
        <v>Accessories</v>
      </c>
    </row>
  </sheetData>
  <phoneticPr fontId="2" type="noConversion"/>
  <conditionalFormatting sqref="A2:A101">
    <cfRule type="duplicateValues" dxfId="23" priority="1"/>
  </conditionalFormatting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5810-ABC6-4E29-8112-9D63370223E2}">
  <dimension ref="A1:B2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s="15" t="s">
        <v>228</v>
      </c>
      <c r="B1" s="16" t="s">
        <v>229</v>
      </c>
    </row>
    <row r="2" spans="1:2" x14ac:dyDescent="0.25">
      <c r="A2" s="17" t="s">
        <v>227</v>
      </c>
      <c r="B2" s="18"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8BC4E-4241-4B6B-82C7-62C5ABE850C7}">
  <dimension ref="A3:F52"/>
  <sheetViews>
    <sheetView topLeftCell="A37" zoomScaleNormal="100" workbookViewId="0">
      <selection activeCell="B45" sqref="B45"/>
    </sheetView>
  </sheetViews>
  <sheetFormatPr baseColWidth="10" defaultRowHeight="15" x14ac:dyDescent="0.25"/>
  <cols>
    <col min="1" max="1" width="15.85546875" bestFit="1" customWidth="1"/>
    <col min="2" max="2" width="13.5703125" bestFit="1" customWidth="1"/>
    <col min="3" max="3" width="14.140625" customWidth="1"/>
    <col min="4" max="4" width="13.42578125" bestFit="1" customWidth="1"/>
    <col min="5" max="5" width="10.42578125" bestFit="1" customWidth="1"/>
    <col min="6" max="6" width="12.42578125" bestFit="1" customWidth="1"/>
    <col min="7" max="9" width="11.42578125" bestFit="1" customWidth="1"/>
    <col min="10" max="10" width="12.5703125" bestFit="1" customWidth="1"/>
    <col min="11" max="20" width="22.42578125" bestFit="1" customWidth="1"/>
    <col min="21" max="21" width="12.5703125" bestFit="1" customWidth="1"/>
  </cols>
  <sheetData>
    <row r="3" spans="1:3" x14ac:dyDescent="0.25">
      <c r="A3" s="19" t="s">
        <v>236</v>
      </c>
      <c r="B3" s="19" t="s">
        <v>230</v>
      </c>
    </row>
    <row r="4" spans="1:3" x14ac:dyDescent="0.25">
      <c r="A4" s="19" t="s">
        <v>232</v>
      </c>
      <c r="B4">
        <v>2020</v>
      </c>
      <c r="C4">
        <v>2021</v>
      </c>
    </row>
    <row r="5" spans="1:3" x14ac:dyDescent="0.25">
      <c r="A5" s="20" t="s">
        <v>103</v>
      </c>
      <c r="B5" s="14">
        <v>4245.549</v>
      </c>
      <c r="C5" s="14">
        <v>2462.4710000000005</v>
      </c>
    </row>
    <row r="6" spans="1:3" x14ac:dyDescent="0.25">
      <c r="A6" s="20" t="s">
        <v>96</v>
      </c>
      <c r="B6" s="14">
        <v>126897.99100000001</v>
      </c>
      <c r="C6" s="14">
        <v>74154.008499999996</v>
      </c>
    </row>
    <row r="7" spans="1:3" x14ac:dyDescent="0.25">
      <c r="A7" s="20" t="s">
        <v>99</v>
      </c>
      <c r="B7" s="14">
        <v>2823.6230000000005</v>
      </c>
      <c r="C7" s="14">
        <v>1448.4360000000001</v>
      </c>
    </row>
    <row r="12" spans="1:3" x14ac:dyDescent="0.25">
      <c r="A12" s="19" t="s">
        <v>230</v>
      </c>
      <c r="B12" s="20">
        <v>2021</v>
      </c>
    </row>
    <row r="14" spans="1:3" x14ac:dyDescent="0.25">
      <c r="A14" s="19" t="s">
        <v>232</v>
      </c>
      <c r="B14" t="s">
        <v>234</v>
      </c>
      <c r="C14" t="s">
        <v>235</v>
      </c>
    </row>
    <row r="15" spans="1:3" x14ac:dyDescent="0.25">
      <c r="A15" s="20" t="s">
        <v>103</v>
      </c>
      <c r="B15">
        <v>129</v>
      </c>
      <c r="C15" s="14">
        <v>2462.471</v>
      </c>
    </row>
    <row r="16" spans="1:3" x14ac:dyDescent="0.25">
      <c r="A16" s="20" t="s">
        <v>96</v>
      </c>
      <c r="B16">
        <v>52</v>
      </c>
      <c r="C16" s="14">
        <v>74154.008499999996</v>
      </c>
    </row>
    <row r="17" spans="1:5" x14ac:dyDescent="0.25">
      <c r="A17" s="20" t="s">
        <v>99</v>
      </c>
      <c r="B17">
        <v>26</v>
      </c>
      <c r="C17" s="14">
        <v>1448.4359999999999</v>
      </c>
    </row>
    <row r="23" spans="1:5" ht="15.75" thickBot="1" x14ac:dyDescent="0.3">
      <c r="A23" s="22" t="s">
        <v>233</v>
      </c>
      <c r="B23" s="22" t="s">
        <v>237</v>
      </c>
      <c r="C23" s="22" t="s">
        <v>96</v>
      </c>
      <c r="D23" s="22" t="s">
        <v>103</v>
      </c>
      <c r="E23" s="22" t="s">
        <v>99</v>
      </c>
    </row>
    <row r="24" spans="1:5" x14ac:dyDescent="0.25">
      <c r="A24" s="21">
        <v>44104</v>
      </c>
      <c r="B24" s="14">
        <f>SUMIF(Sales[[#All],[Fecha Orden]],"&lt;="&amp;Análisis!A24,Sales[[#All],[Total]])</f>
        <v>13233.109999999999</v>
      </c>
      <c r="C24" s="14">
        <f>SUMIFS(Sales[[#All],[Total]],Sales[[#All],[Fecha Orden]],"&lt;="&amp;Análisis!$A24,Sales[[#All],[Categoría]],Análisis!C$23)</f>
        <v>12325.39</v>
      </c>
      <c r="D24" s="14">
        <f>SUMIFS(Sales[[#All],[Total]],Sales[[#All],[Fecha Orden]],"&lt;="&amp;Análisis!$A24,Sales[[#All],[Categoría]],Análisis!D$23)</f>
        <v>467.80799999999999</v>
      </c>
      <c r="E24" s="14">
        <f>SUMIFS(Sales[[#All],[Total]],Sales[[#All],[Fecha Orden]],"&lt;="&amp;Análisis!$A24,Sales[[#All],[Categoría]],Análisis!E$23)</f>
        <v>439.91200000000003</v>
      </c>
    </row>
    <row r="25" spans="1:5" x14ac:dyDescent="0.25">
      <c r="A25" s="21">
        <v>44135</v>
      </c>
      <c r="B25" s="14">
        <f>SUMIF(Sales[[#All],[Fecha Orden]],"&lt;="&amp;Análisis!A25,Sales[[#All],[Total]])</f>
        <v>43562.145000000004</v>
      </c>
      <c r="C25" s="14">
        <f>SUMIFS(Sales[[#All],[Total]],Sales[[#All],[Fecha Orden]],"&lt;="&amp;Análisis!$A25,Sales[[#All],[Categoría]],Análisis!C$23)</f>
        <v>40406.487000000001</v>
      </c>
      <c r="D25" s="14">
        <f>SUMIFS(Sales[[#All],[Total]],Sales[[#All],[Fecha Orden]],"&lt;="&amp;Análisis!$A25,Sales[[#All],[Categoría]],Análisis!D$23)</f>
        <v>2212.0450000000001</v>
      </c>
      <c r="E25" s="14">
        <f>SUMIFS(Sales[[#All],[Total]],Sales[[#All],[Fecha Orden]],"&lt;="&amp;Análisis!$A25,Sales[[#All],[Categoría]],Análisis!E$23)</f>
        <v>943.61300000000006</v>
      </c>
    </row>
    <row r="26" spans="1:5" x14ac:dyDescent="0.25">
      <c r="A26" s="21">
        <v>44165</v>
      </c>
      <c r="B26" s="14">
        <f>SUMIF(Sales[[#All],[Fecha Orden]],"&lt;="&amp;Análisis!A26,Sales[[#All],[Total]])</f>
        <v>110839.76200000002</v>
      </c>
      <c r="C26" s="14">
        <f>SUMIFS(Sales[[#All],[Total]],Sales[[#All],[Fecha Orden]],"&lt;="&amp;Análisis!$A26,Sales[[#All],[Categoría]],Análisis!C$23)</f>
        <v>105396.51100000001</v>
      </c>
      <c r="D26" s="14">
        <f>SUMIFS(Sales[[#All],[Total]],Sales[[#All],[Fecha Orden]],"&lt;="&amp;Análisis!$A26,Sales[[#All],[Categoría]],Análisis!D$23)</f>
        <v>3686.3640000000005</v>
      </c>
      <c r="E26" s="14">
        <f>SUMIFS(Sales[[#All],[Total]],Sales[[#All],[Fecha Orden]],"&lt;="&amp;Análisis!$A26,Sales[[#All],[Categoría]],Análisis!E$23)</f>
        <v>1756.8869999999999</v>
      </c>
    </row>
    <row r="27" spans="1:5" x14ac:dyDescent="0.25">
      <c r="A27" s="21">
        <v>44196</v>
      </c>
      <c r="B27" s="14">
        <f>SUMIF(Sales[[#All],[Fecha Orden]],"&lt;="&amp;Análisis!A27,Sales[[#All],[Total]])</f>
        <v>133967.16300000006</v>
      </c>
      <c r="C27" s="14">
        <f>SUMIFS(Sales[[#All],[Total]],Sales[[#All],[Fecha Orden]],"&lt;="&amp;Análisis!$A27,Sales[[#All],[Categoría]],Análisis!C$23)</f>
        <v>126897.99100000001</v>
      </c>
      <c r="D27" s="14">
        <f>SUMIFS(Sales[[#All],[Total]],Sales[[#All],[Fecha Orden]],"&lt;="&amp;Análisis!$A27,Sales[[#All],[Categoría]],Análisis!D$23)</f>
        <v>4245.549</v>
      </c>
      <c r="E27" s="14">
        <f>SUMIFS(Sales[[#All],[Total]],Sales[[#All],[Fecha Orden]],"&lt;="&amp;Análisis!$A27,Sales[[#All],[Categoría]],Análisis!E$23)</f>
        <v>2823.6230000000005</v>
      </c>
    </row>
    <row r="28" spans="1:5" x14ac:dyDescent="0.25">
      <c r="A28" s="21">
        <v>44227</v>
      </c>
      <c r="B28" s="14">
        <f>SUMIF(Sales[[#All],[Fecha Orden]],"&lt;="&amp;Análisis!A28,Sales[[#All],[Total]])</f>
        <v>193417.53750000015</v>
      </c>
      <c r="C28" s="14">
        <f>SUMIFS(Sales[[#All],[Total]],Sales[[#All],[Fecha Orden]],"&lt;="&amp;Análisis!$A28,Sales[[#All],[Categoría]],Análisis!C$23)</f>
        <v>183158.65150000001</v>
      </c>
      <c r="D28" s="14">
        <f>SUMIFS(Sales[[#All],[Total]],Sales[[#All],[Fecha Orden]],"&lt;="&amp;Análisis!$A28,Sales[[#All],[Categoría]],Análisis!D$23)</f>
        <v>6126.527</v>
      </c>
      <c r="E28" s="14">
        <f>SUMIFS(Sales[[#All],[Total]],Sales[[#All],[Fecha Orden]],"&lt;="&amp;Análisis!$A28,Sales[[#All],[Categoría]],Análisis!E$23)</f>
        <v>4132.3590000000004</v>
      </c>
    </row>
    <row r="29" spans="1:5" x14ac:dyDescent="0.25">
      <c r="A29" s="21">
        <v>44255</v>
      </c>
      <c r="B29" s="14">
        <f>SUMIF(Sales[[#All],[Fecha Orden]],"&lt;="&amp;Análisis!A29,Sales[[#All],[Total]])</f>
        <v>212032.07850000021</v>
      </c>
      <c r="C29" s="14">
        <f>SUMIFS(Sales[[#All],[Total]],Sales[[#All],[Fecha Orden]],"&lt;="&amp;Análisis!$A29,Sales[[#All],[Categoría]],Análisis!C$23)</f>
        <v>201051.99950000001</v>
      </c>
      <c r="D29" s="14">
        <f>SUMIFS(Sales[[#All],[Total]],Sales[[#All],[Fecha Orden]],"&lt;="&amp;Análisis!$A29,Sales[[#All],[Categoría]],Análisis!D$23)</f>
        <v>6708.0199999999977</v>
      </c>
      <c r="E29" s="14">
        <f>SUMIFS(Sales[[#All],[Total]],Sales[[#All],[Fecha Orden]],"&lt;="&amp;Análisis!$A29,Sales[[#All],[Categoría]],Análisis!E$23)</f>
        <v>4272.0590000000002</v>
      </c>
    </row>
    <row r="32" spans="1:5" ht="15.75" thickBot="1" x14ac:dyDescent="0.3">
      <c r="A32" s="22" t="s">
        <v>233</v>
      </c>
      <c r="B32" s="22" t="s">
        <v>237</v>
      </c>
      <c r="C32" s="22" t="s">
        <v>96</v>
      </c>
      <c r="D32" s="22" t="s">
        <v>103</v>
      </c>
      <c r="E32" s="22" t="s">
        <v>99</v>
      </c>
    </row>
    <row r="33" spans="1:6" x14ac:dyDescent="0.25">
      <c r="A33" s="21">
        <v>44104</v>
      </c>
      <c r="B33" s="14">
        <f>SUMIF(Sales[Mes],TEXT(Análisis!A33,"mmmm"),Sales[Total])</f>
        <v>13233.109999999999</v>
      </c>
      <c r="C33" s="14">
        <f>SUMIFS(Sales[[#All],[Total]],Sales[[#All],[Mes]],TEXT(Análisis!$A33,"mmmm"),Sales[[#All],[Categoría]],Análisis!C$32)</f>
        <v>12325.39</v>
      </c>
      <c r="D33" s="14">
        <f>SUMIFS(Sales[[#All],[Total]],Sales[[#All],[Mes]],TEXT(Análisis!$A33,"mmmm"),Sales[[#All],[Categoría]],Análisis!D$32)</f>
        <v>467.80799999999999</v>
      </c>
      <c r="E33" s="14">
        <f>SUMIFS(Sales[[#All],[Total]],Sales[[#All],[Mes]],TEXT(Análisis!$A33,"mmmm"),Sales[[#All],[Categoría]],Análisis!E$32)</f>
        <v>439.91200000000003</v>
      </c>
    </row>
    <row r="34" spans="1:6" x14ac:dyDescent="0.25">
      <c r="A34" s="21">
        <v>44135</v>
      </c>
      <c r="B34" s="14">
        <f>SUMIF(Sales[Mes],TEXT(Análisis!A34,"mmmm"),Sales[Total])</f>
        <v>30329.034999999993</v>
      </c>
      <c r="C34" s="14">
        <f>SUMIFS(Sales[[#All],[Total]],Sales[[#All],[Mes]],TEXT(Análisis!$A34,"mmmm"),Sales[[#All],[Categoría]],Análisis!C$32)</f>
        <v>28081.097000000002</v>
      </c>
      <c r="D34" s="14">
        <f>SUMIFS(Sales[[#All],[Total]],Sales[[#All],[Mes]],TEXT(Análisis!$A34,"mmmm"),Sales[[#All],[Categoría]],Análisis!D$32)</f>
        <v>1744.2370000000001</v>
      </c>
      <c r="E34" s="14">
        <f>SUMIFS(Sales[[#All],[Total]],Sales[[#All],[Mes]],TEXT(Análisis!$A34,"mmmm"),Sales[[#All],[Categoría]],Análisis!E$32)</f>
        <v>503.70100000000002</v>
      </c>
    </row>
    <row r="35" spans="1:6" x14ac:dyDescent="0.25">
      <c r="A35" s="21">
        <v>44165</v>
      </c>
      <c r="B35" s="14">
        <f>SUMIF(Sales[Mes],TEXT(Análisis!A35,"mmmm"),Sales[Total])</f>
        <v>67277.617000000013</v>
      </c>
      <c r="C35" s="14">
        <f>SUMIFS(Sales[[#All],[Total]],Sales[[#All],[Mes]],TEXT(Análisis!$A35,"mmmm"),Sales[[#All],[Categoría]],Análisis!C$32)</f>
        <v>64990.023999999998</v>
      </c>
      <c r="D35" s="14">
        <f>SUMIFS(Sales[[#All],[Total]],Sales[[#All],[Mes]],TEXT(Análisis!$A35,"mmmm"),Sales[[#All],[Categoría]],Análisis!D$32)</f>
        <v>1474.3190000000002</v>
      </c>
      <c r="E35" s="14">
        <f>SUMIFS(Sales[[#All],[Total]],Sales[[#All],[Mes]],TEXT(Análisis!$A35,"mmmm"),Sales[[#All],[Categoría]],Análisis!E$32)</f>
        <v>813.274</v>
      </c>
    </row>
    <row r="36" spans="1:6" x14ac:dyDescent="0.25">
      <c r="A36" s="21">
        <v>44196</v>
      </c>
      <c r="B36" s="14">
        <f>SUMIF(Sales[Mes],TEXT(Análisis!A36,"mmmm"),Sales[Total])</f>
        <v>23127.400999999998</v>
      </c>
      <c r="C36" s="14">
        <f>SUMIFS(Sales[[#All],[Total]],Sales[[#All],[Mes]],TEXT(Análisis!$A36,"mmmm"),Sales[[#All],[Categoría]],Análisis!C$32)</f>
        <v>21501.48</v>
      </c>
      <c r="D36" s="14">
        <f>SUMIFS(Sales[[#All],[Total]],Sales[[#All],[Mes]],TEXT(Análisis!$A36,"mmmm"),Sales[[#All],[Categoría]],Análisis!D$32)</f>
        <v>559.18499999999995</v>
      </c>
      <c r="E36" s="14">
        <f>SUMIFS(Sales[[#All],[Total]],Sales[[#All],[Mes]],TEXT(Análisis!$A36,"mmmm"),Sales[[#All],[Categoría]],Análisis!E$32)</f>
        <v>1066.7359999999999</v>
      </c>
    </row>
    <row r="37" spans="1:6" x14ac:dyDescent="0.25">
      <c r="A37" s="21">
        <v>44227</v>
      </c>
      <c r="B37" s="14">
        <f>SUMIF(Sales[Mes],TEXT(Análisis!A37,"mmmm"),Sales[Total])</f>
        <v>59450.374499999991</v>
      </c>
      <c r="C37" s="14">
        <f>SUMIFS(Sales[[#All],[Total]],Sales[[#All],[Mes]],TEXT(Análisis!$A37,"mmmm"),Sales[[#All],[Categoría]],Análisis!C$32)</f>
        <v>56260.660500000005</v>
      </c>
      <c r="D37" s="14">
        <f>SUMIFS(Sales[[#All],[Total]],Sales[[#All],[Mes]],TEXT(Análisis!$A37,"mmmm"),Sales[[#All],[Categoría]],Análisis!D$32)</f>
        <v>1880.9780000000001</v>
      </c>
      <c r="E37" s="14">
        <f>SUMIFS(Sales[[#All],[Total]],Sales[[#All],[Mes]],TEXT(Análisis!$A37,"mmmm"),Sales[[#All],[Categoría]],Análisis!E$32)</f>
        <v>1308.7359999999999</v>
      </c>
    </row>
    <row r="38" spans="1:6" x14ac:dyDescent="0.25">
      <c r="A38" s="21">
        <v>44255</v>
      </c>
      <c r="B38" s="14">
        <f>SUMIF(Sales[Mes],TEXT(Análisis!A38,"mmmm"),Sales[Total])</f>
        <v>18614.540999999997</v>
      </c>
      <c r="C38" s="14">
        <f>SUMIFS(Sales[[#All],[Total]],Sales[[#All],[Mes]],TEXT(Análisis!$A38,"mmmm"),Sales[[#All],[Categoría]],Análisis!C$32)</f>
        <v>17893.347999999998</v>
      </c>
      <c r="D38" s="14">
        <f>SUMIFS(Sales[[#All],[Total]],Sales[[#All],[Mes]],TEXT(Análisis!$A38,"mmmm"),Sales[[#All],[Categoría]],Análisis!D$32)</f>
        <v>581.49300000000005</v>
      </c>
      <c r="E38" s="14">
        <f>SUMIFS(Sales[[#All],[Total]],Sales[[#All],[Mes]],TEXT(Análisis!$A38,"mmmm"),Sales[[#All],[Categoría]],Análisis!E$32)</f>
        <v>139.69999999999999</v>
      </c>
    </row>
    <row r="39" spans="1:6" ht="15.75" thickBot="1" x14ac:dyDescent="0.3">
      <c r="A39" s="23" t="s">
        <v>224</v>
      </c>
      <c r="B39" s="24">
        <f>SUM(B33:B38)</f>
        <v>212032.07849999997</v>
      </c>
      <c r="C39" s="24">
        <f t="shared" ref="C39:E39" si="0">SUM(C33:C38)</f>
        <v>201051.99950000001</v>
      </c>
      <c r="D39" s="24">
        <f t="shared" si="0"/>
        <v>6708.0200000000013</v>
      </c>
      <c r="E39" s="24">
        <f t="shared" si="0"/>
        <v>4272.0590000000002</v>
      </c>
    </row>
    <row r="40" spans="1:6" ht="15.75" thickTop="1" x14ac:dyDescent="0.25"/>
    <row r="44" spans="1:6" x14ac:dyDescent="0.25">
      <c r="E44" t="s">
        <v>239</v>
      </c>
    </row>
    <row r="45" spans="1:6" x14ac:dyDescent="0.25">
      <c r="A45" s="19" t="s">
        <v>230</v>
      </c>
      <c r="B45" s="20">
        <v>2021</v>
      </c>
    </row>
    <row r="47" spans="1:6" x14ac:dyDescent="0.25">
      <c r="A47" s="19" t="s">
        <v>232</v>
      </c>
      <c r="B47" t="s">
        <v>238</v>
      </c>
      <c r="E47" s="25" t="s">
        <v>232</v>
      </c>
      <c r="F47" s="25" t="s">
        <v>238</v>
      </c>
    </row>
    <row r="48" spans="1:6" x14ac:dyDescent="0.25">
      <c r="A48" s="20" t="s">
        <v>78</v>
      </c>
      <c r="B48" s="14">
        <v>16727.326000000001</v>
      </c>
      <c r="E48" s="14" t="str">
        <f>A48</f>
        <v>Jessie Zhao</v>
      </c>
      <c r="F48" s="14">
        <f>B48</f>
        <v>16727.326000000001</v>
      </c>
    </row>
    <row r="49" spans="1:6" x14ac:dyDescent="0.25">
      <c r="A49" s="20" t="s">
        <v>29</v>
      </c>
      <c r="B49" s="14">
        <v>13166.901</v>
      </c>
      <c r="E49" s="14" t="str">
        <f t="shared" ref="E49:F52" si="1">A49</f>
        <v>Sydney Foster</v>
      </c>
      <c r="F49" s="14">
        <f t="shared" si="1"/>
        <v>13166.901</v>
      </c>
    </row>
    <row r="50" spans="1:6" x14ac:dyDescent="0.25">
      <c r="A50" s="20" t="s">
        <v>65</v>
      </c>
      <c r="B50" s="14">
        <v>13161.807999999999</v>
      </c>
      <c r="E50" s="14" t="str">
        <f t="shared" si="1"/>
        <v>Stephanie Green</v>
      </c>
      <c r="F50" s="14">
        <f t="shared" si="1"/>
        <v>13161.807999999999</v>
      </c>
    </row>
    <row r="51" spans="1:6" x14ac:dyDescent="0.25">
      <c r="A51" s="20" t="s">
        <v>69</v>
      </c>
      <c r="B51" s="14">
        <v>9638.3760000000002</v>
      </c>
      <c r="E51" s="14" t="str">
        <f t="shared" si="1"/>
        <v>Lindsey Kumar</v>
      </c>
      <c r="F51" s="14">
        <f t="shared" si="1"/>
        <v>9638.3760000000002</v>
      </c>
    </row>
    <row r="52" spans="1:6" x14ac:dyDescent="0.25">
      <c r="A52" s="20" t="s">
        <v>22</v>
      </c>
      <c r="B52" s="14">
        <v>7868.2725</v>
      </c>
      <c r="E52" s="14" t="str">
        <f t="shared" si="1"/>
        <v>Chloe Wood</v>
      </c>
      <c r="F52" s="14">
        <f t="shared" si="1"/>
        <v>7868.2725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688F-A3C1-47FF-8FB2-8178241206B3}">
  <dimension ref="A5:O5"/>
  <sheetViews>
    <sheetView showGridLines="0" tabSelected="1" view="pageLayout" topLeftCell="F4" zoomScaleNormal="100" workbookViewId="0">
      <selection activeCell="O22" sqref="O22"/>
    </sheetView>
  </sheetViews>
  <sheetFormatPr baseColWidth="10" defaultRowHeight="15" x14ac:dyDescent="0.25"/>
  <sheetData>
    <row r="5" spans="1:15" ht="27" x14ac:dyDescent="0.5">
      <c r="A5" s="26" t="s">
        <v>240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</sheetData>
  <mergeCells count="1">
    <mergeCell ref="A5:O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Clientes</vt:lpstr>
      <vt:lpstr>Productos</vt:lpstr>
      <vt:lpstr>Ventas</vt:lpstr>
      <vt:lpstr>DatosExtra</vt:lpstr>
      <vt:lpstr>Análisis</vt:lpstr>
      <vt:lpstr>Presentación</vt:lpstr>
      <vt:lpstr>Presentación!Área_de_impresión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Tarr, Balázs J</dc:creator>
  <cp:lastModifiedBy>Ricardo Herrera</cp:lastModifiedBy>
  <dcterms:created xsi:type="dcterms:W3CDTF">2021-02-22T11:05:49Z</dcterms:created>
  <dcterms:modified xsi:type="dcterms:W3CDTF">2023-06-19T01:10:02Z</dcterms:modified>
</cp:coreProperties>
</file>