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Settings" sheetId="2" r:id="rId5"/>
    <sheet state="visible" name="Stock List" sheetId="3" r:id="rId6"/>
    <sheet state="visible" name="COGS Recipes" sheetId="4" r:id="rId7"/>
    <sheet state="visible" name="Item Performance" sheetId="5" r:id="rId8"/>
    <sheet state="visible" name="Dashboard" sheetId="6" r:id="rId9"/>
  </sheets>
  <definedNames>
    <definedName localSheetId="2" name="SAUSAGE_BEEF_THIN_5KG">'Stock List'!$F$244</definedName>
    <definedName localSheetId="2" name="LAMB_RUMP_CAP_OFF_180G_220G">'Stock List'!$F$226</definedName>
    <definedName name="Barramundi_FLT_AUST">#REF!</definedName>
    <definedName name="BBQ_Sauce">#REF!</definedName>
    <definedName name="Sweet_Soy_Sauce__KETJAP_MANIS">#REF!</definedName>
    <definedName localSheetId="2" name="PORK_SPARE_RIB_USA___H_PLATE">'Stock List'!$F$237</definedName>
    <definedName localSheetId="2" name="Oyster_Sauce">'Stock List'!$F$73</definedName>
    <definedName localSheetId="2" name="PORK_TENDERLOIN_DENUDED_WHOLE">'Stock List'!$F$238</definedName>
    <definedName localSheetId="2" name="Salmon_Portions_S_less_180g">'Stock List'!$F$90</definedName>
    <definedName name="Chicken_Breast">#REF!</definedName>
    <definedName localSheetId="2" name="WAGYU_MINCE_85cl">'Stock List'!$F$261</definedName>
    <definedName name="Cucumber_Continental">#REF!</definedName>
    <definedName localSheetId="2" name="Artichoke_Hearts">'Stock List'!$F$6</definedName>
    <definedName name="Oil_Olive_Extra_Virgin">#REF!</definedName>
    <definedName name="WAGYU_MINCE_85cl">#REF!</definedName>
    <definedName localSheetId="2" name="pizza_base_crusty___Slab">'Stock List'!$F$84</definedName>
    <definedName localSheetId="2" name="BEEF_RUMP_110G_GRASS_FED_SANDWICH_STEAK">'Stock List'!$F$200</definedName>
    <definedName localSheetId="2" name="BEEF_T_BONE___RESTAURANT__300G_GRASS_FED">'Stock List'!$F$203</definedName>
    <definedName name="Balsamic_Vinegar">#REF!</definedName>
    <definedName name="Water_crackers">#REF!</definedName>
    <definedName localSheetId="2" name="BEEF_GF_RUMP_200G">'Stock List'!$F$191</definedName>
    <definedName name="Bread_Batard_Petit_White">#REF!</definedName>
    <definedName name="LAMB_SHANKS_F_T_H_Q">#REF!</definedName>
    <definedName name="Starters">#REF!</definedName>
    <definedName localSheetId="2" name="Yorkshire_pudding">'Stock List'!$F$269</definedName>
    <definedName localSheetId="2" name="BEEF_WAGYU_HAMBURGER_PATTY_175G_FROZEN">'Stock List'!$F$214</definedName>
    <definedName localSheetId="2" name="Ham_shredded">'Stock List'!$F$56</definedName>
    <definedName localSheetId="2" name="BEEF_1824_T_BONE___RESTAURANT__400G">'Stock List'!$F$186</definedName>
    <definedName name="Sauce_Tomato">#REF!</definedName>
    <definedName name="Lamb_Rump_DN_PC_180_200g_MV_Chl">#REF!</definedName>
    <definedName name="Corn_Kernels">#REF!</definedName>
    <definedName localSheetId="2" name="LAMB_LOIN_CHOPS_100G">'Stock List'!$F$223</definedName>
    <definedName name="PORK_LEG_BONED_N_ROLLED_ROAST_SKIN_ON_WHOLE">#REF!</definedName>
    <definedName localSheetId="2" name="Loaf___thick_sliced_toast">'Stock List'!$F$280</definedName>
    <definedName name="Chips_Sweet_Potato_10mm_Straight_Cut">#REF!</definedName>
    <definedName localSheetId="2" name="Cheddar">'Stock List'!$F$25</definedName>
    <definedName localSheetId="2" name="Lamb_Mince">'Stock List'!$F$255</definedName>
    <definedName name="Seafood_Basket">#REF!</definedName>
    <definedName name="Moroccan_Paste_Spicy">#REF!</definedName>
    <definedName name="SAUSAGE_PORK_THIN_5KG">#REF!</definedName>
    <definedName name="Dressing_Ranch">#REF!</definedName>
    <definedName name="Sauce_Gravy">#REF!</definedName>
    <definedName localSheetId="2" name="Butter_Unsalted">'Stock List'!$F$21</definedName>
    <definedName localSheetId="2" name="BEEF_GF_EYE_FILLET_180G_CENTRE_CUT">'Stock List'!$F$187</definedName>
    <definedName name="Cheese_Slices_Tasty">#REF!</definedName>
    <definedName localSheetId="2" name="Sauce_Napolitana">'Stock List'!$F$94</definedName>
    <definedName name="SAUSAGE_PORK_THICK_5KG">#REF!</definedName>
    <definedName name="Lamb_Mince">#REF!</definedName>
    <definedName name="Foccacia_Sandwich">#REF!</definedName>
    <definedName localSheetId="2" name="Mango">'Stock List'!$F$66</definedName>
    <definedName name="Iceberg_Lettuce">#REF!</definedName>
    <definedName name="PORK_SHOULDER_B_R_4KG">#REF!</definedName>
    <definedName name="Bread_Baguette_Half">#REF!</definedName>
    <definedName name="Basil">#REF!</definedName>
    <definedName name="Sesame_Oil">#REF!</definedName>
    <definedName name="BEEF_RUMP_DICED_22MM_GRASS_FED_5KG">#REF!</definedName>
    <definedName localSheetId="2" name="Mushrooms">'Stock List'!$F$159</definedName>
    <definedName name="Tomato___small">#REF!</definedName>
    <definedName localSheetId="2" name="Mississippi_Mud_Cake_Pre_Cut_16_s__1_294">'Stock List'!$F$68</definedName>
    <definedName name="Paste_Butter_Chicken">#REF!</definedName>
    <definedName name="Tasty_Cheese_Slice">#REF!</definedName>
    <definedName name="BEEF_WAGYU_HAMBURGER_PATTY_175G_FROZEN">#REF!</definedName>
    <definedName localSheetId="2" name="Pappadums">'Stock List'!$F$75</definedName>
    <definedName localSheetId="2" name="Potato___washed">'Stock List'!$F$164</definedName>
    <definedName localSheetId="2" name="BEEF_1824_OP_RIB_400G">'Stock List'!$F$180</definedName>
    <definedName name="Coriander">#REF!</definedName>
    <definedName localSheetId="2" name="Tomato___small">'Stock List'!$F$174</definedName>
    <definedName localSheetId="2" name="Foccacia_Sandwich">'Stock List'!$F$47</definedName>
    <definedName name="Potatoes___Peeled">#REF!</definedName>
    <definedName name="Sauce_Pepper">#REF!</definedName>
    <definedName localSheetId="2" name="Sauce_Aioli">'Stock List'!$F$92</definedName>
    <definedName localSheetId="2" name="Mayonnaise_Real">'Stock List'!$F$67</definedName>
    <definedName name="BEEF_RUMP_110G_GRASS_FED_SANDWICH_STEAK">#REF!</definedName>
    <definedName localSheetId="2" name="Raspberry_Cheesecake">'Stock List'!$F$69</definedName>
    <definedName name="Onion_Spanish">#REF!</definedName>
    <definedName name="pizza_base_crusty">#REF!</definedName>
    <definedName localSheetId="2" name="Blue">'Stock List'!$F$14</definedName>
    <definedName name="Chorizo">#REF!</definedName>
    <definedName name="Wastage">'Stock List'!$G$5:$G$496</definedName>
    <definedName localSheetId="2" name="SAUSAGE_PORK_THIN_5KG">'Stock List'!$F$247</definedName>
    <definedName localSheetId="2" name="Bolognaise">'Stock List'!$F$267</definedName>
    <definedName name="Eggplant">#REF!</definedName>
    <definedName localSheetId="2" name="BEEF_GF_RUMP_300G">'Stock List'!$F$192</definedName>
    <definedName localSheetId="2" name="Pork_Sausage">'Stock List'!$F$262</definedName>
    <definedName name="Capsicum_red">#REF!</definedName>
    <definedName name="Bacon_Middle_Rindless_Gas_Flushed">#REF!</definedName>
    <definedName localSheetId="2" name="Cheese_Tasty_Shredded">'Stock List'!$F$26</definedName>
    <definedName localSheetId="2" name="Mesculin_Lettuce">'Stock List'!$F$157</definedName>
    <definedName name="Onion___brown">#REF!</definedName>
    <definedName localSheetId="2" name="Capers_Baby">'Stock List'!$F$24</definedName>
    <definedName localSheetId="2" name="Honey_Mustard_Dressing">'Stock List'!$F$61</definedName>
    <definedName name="_60GM_Chicken_Kebab___Cocktail">#REF!</definedName>
    <definedName name="Seasoning_Cajun">#REF!</definedName>
    <definedName name="Bread_Cob">#REF!</definedName>
    <definedName localSheetId="2" name="BEEF_GF_OP_RIB_400G">'Stock List'!$F$189</definedName>
    <definedName localSheetId="2" name="pizza_base_crusty">'Stock List'!$F$83</definedName>
    <definedName name="Prawns_whole_CKD_Vannamei_15_25">#REF!</definedName>
    <definedName name="Salmon_Portions_S_less_180g">#REF!</definedName>
    <definedName localSheetId="2" name="Cucumber_Dill_Polish">'Stock List'!$F$52</definedName>
    <definedName name="Oysters">#REF!</definedName>
    <definedName localSheetId="2" name="Cornchips">'Stock List'!$F$36</definedName>
    <definedName name="Chips_Steakfries">#REF!</definedName>
    <definedName name="BEEF_1824_RUMP_400G">#REF!</definedName>
    <definedName localSheetId="2" name="Honey">'Stock List'!$F$60</definedName>
    <definedName localSheetId="2" name="Parmesan_Cheese___shredded">'Stock List'!$F$76</definedName>
    <definedName localSheetId="2" name="Cucumber">'Stock List'!$F$148</definedName>
    <definedName localSheetId="2" name="Chilli_Red">'Stock List'!$F$144</definedName>
    <definedName localSheetId="2" name="BEEF_1824_RUMP_500G">'Stock List'!$F$184</definedName>
    <definedName name="Sauce_Dianne">#REF!</definedName>
    <definedName name="Ham_shredded">#REF!</definedName>
    <definedName name="BEEF_SCHNITZEL_CRUMBED_GRASS_FED_160G_FROZEN">#REF!</definedName>
    <definedName localSheetId="2" name="Basil">'Stock List'!$F$136</definedName>
    <definedName localSheetId="2" name="Eggplant">'Stock List'!$F$151</definedName>
    <definedName localSheetId="2" name="SAUSAGE_BBQ_THIN_5KG">'Stock List'!$F$241</definedName>
    <definedName localSheetId="2" name="BEEF_GF_RIB_FILLET_300G">'Stock List'!$F$190</definedName>
    <definedName localSheetId="2" name="Duck___Breast_Fillet_180___220gr">'Stock List'!$F$44</definedName>
    <definedName name="Eggs_600_Gram_Large">#REF!</definedName>
    <definedName name="Field_Mushrooms">#REF!</definedName>
    <definedName name="Smokey_BBQ_sauce">#REF!</definedName>
    <definedName localSheetId="2" name="Chicken_Tenderloins">'Stock List'!$F$276</definedName>
    <definedName localSheetId="2" name="Shallots">'Stock List'!$F$169</definedName>
    <definedName localSheetId="2" name="BEEF_1824_RUMP_400G">'Stock List'!$F$183</definedName>
    <definedName localSheetId="2" name="Moroccan_Paste_Spicy">'Stock List'!$F$70</definedName>
    <definedName name="BEEF_GF_EYE_FILLET_250G_CENTRE_CUT">#REF!</definedName>
    <definedName name="Crumbed_Beef_Schnitzel_250g">#REF!</definedName>
    <definedName name="BEEF_1824_SIRLOIN_300G">#REF!</definedName>
    <definedName localSheetId="2" name="Micro_Herbs">'Stock List'!$F$158</definedName>
    <definedName localSheetId="2" name="Goats__Fetta">'Stock List'!$F$5</definedName>
    <definedName name="Mushrooms">#REF!</definedName>
    <definedName name="Sides">#REF!</definedName>
    <definedName name="Lemon_Zest">#REF!</definedName>
    <definedName name="Yoghurt_Natural">#REF!</definedName>
    <definedName name="LAMB_BACKSTRAP">#REF!</definedName>
    <definedName localSheetId="2" name="Salad____Garnish">'Stock List'!$F$271</definedName>
    <definedName name="PORK_SPARE_RIB_USA___H_PLATE">#REF!</definedName>
    <definedName name="Tomato_Sauce">#REF!</definedName>
    <definedName name="Beansprouts">#REF!</definedName>
    <definedName name="Soy_Sauce">#REF!</definedName>
    <definedName name="Pizzas">#REF!</definedName>
    <definedName name="Zucchini">#REF!</definedName>
    <definedName localSheetId="2" name="Soy_Sauce">'Stock List'!$F$108</definedName>
    <definedName name="BEEF_1824_RIB_FILLET_300G">#REF!</definedName>
    <definedName name="Garlic_Bread_7">#REF!</definedName>
    <definedName localSheetId="2" name="Kalamata_Olives">'Stock List'!$F$64</definedName>
    <definedName name="Mango">#REF!</definedName>
    <definedName name="Prawn_Cones">#REF!</definedName>
    <definedName localSheetId="2" name="Berries_Mixed_Iqf">'Stock List'!$F$13</definedName>
    <definedName name="Micro_Herbs">#REF!</definedName>
    <definedName localSheetId="2" name="Parsley___Italian">'Stock List'!$F$163</definedName>
    <definedName name="Dressing_Caesar">#REF!</definedName>
    <definedName localSheetId="2" name="Cheese_Mozzarella_Shredded">'Stock List'!$F$27</definedName>
    <definedName localSheetId="2" name="Croutons_Herb___Garlic">'Stock List'!$F$40</definedName>
    <definedName name="PORK_BELLY___SKIN_ON___BONELESS_WHOLE">#REF!</definedName>
    <definedName name="Honey">#REF!</definedName>
    <definedName name="Spirit_Burger">#REF!</definedName>
    <definedName localSheetId="2" name="Onion_Spanish">'Stock List'!$F$167</definedName>
    <definedName localSheetId="2" name="Chicken_Breast">'Stock List'!$F$277</definedName>
    <definedName localSheetId="2" name="Brie">'Stock List'!$F$20</definedName>
    <definedName name="BEEF_SCHNITZEL_CRUMBED_GRASS_FED_200G_FROZEN">#REF!</definedName>
    <definedName localSheetId="2" name="Strawberrys">'Stock List'!$F$172</definedName>
    <definedName name="LAMB_CUTLET_F_T_CAP_ON">#REF!</definedName>
    <definedName name="PORK_SPARE_RIB_USA___F_PLATE">#REF!</definedName>
    <definedName localSheetId="2" name="Cherry_Tomaotes">'Stock List'!$F$143</definedName>
    <definedName localSheetId="2" name="Thyme">'Stock List'!$F$173</definedName>
    <definedName localSheetId="2" name="BEEF_MSA_T_BONE___RESTAURANT__400G">'Stock List'!$F$196</definedName>
    <definedName name="PORK_TROTTERS_5KG">#REF!</definedName>
    <definedName localSheetId="2" name="BBQ_Sauce">'Stock List'!$F$11</definedName>
    <definedName localSheetId="2" name="Paste_Butter_Chicken">'Stock List'!$F$78</definedName>
    <definedName localSheetId="2" name="BEEF_REGULAR_MINCE_85CL_5KG_GRASS_FED">'Stock List'!$F$207</definedName>
    <definedName localSheetId="2" name="SAUSAGE_BEEF_THICK_5KG">'Stock List'!$F$243</definedName>
    <definedName name="Cooking_Cream">#REF!</definedName>
    <definedName localSheetId="2" name="Chips_Sweet_Potato_10mm_Straight_Cut">'Stock List'!$F$31</definedName>
    <definedName localSheetId="2" name="Market_Fresh_Fish">'Stock List'!$F$131</definedName>
    <definedName name="Raspberry_Cheesecake">#REF!</definedName>
    <definedName localSheetId="2" name="Ham_Leg__Shaved">'Stock List'!$F$54</definedName>
    <definedName name="Chilli_Red">#REF!</definedName>
    <definedName name="Oysters_Pacific_Half_Shell___Medium">#REF!</definedName>
    <definedName name="Cous_Cous">#REF!</definedName>
    <definedName localSheetId="2" name="BEEF_WAGYU_RUMP_MB6_9_300G">'Stock List'!$F$216</definedName>
    <definedName localSheetId="2" name="Satay_sauce">'Stock List'!$F$91</definedName>
    <definedName localSheetId="2" name="BEEF_GF_SIRLOIN__300G">'Stock List'!$F$195</definedName>
    <definedName name="Loaf___thick_sliced_toast">#REF!</definedName>
    <definedName localSheetId="2" name="Lettuce">'Stock List'!$F$156</definedName>
    <definedName localSheetId="2" name="BEEF_EYE_FILLET__250G_GRASS_FED">'Stock List'!$F$198</definedName>
    <definedName localSheetId="2" name="Dressing_Ranch">'Stock List'!$F$42</definedName>
    <definedName name="Honey_Mustard_Dressing">#REF!</definedName>
    <definedName name="Mesculin_Lettuce">#REF!</definedName>
    <definedName name="Market_Fresh_Fish">#REF!</definedName>
    <definedName localSheetId="2" name="Drink_Orange_Pop_Top">'Stock List'!$F$43</definedName>
    <definedName name="Strawberrys">#REF!</definedName>
    <definedName localSheetId="2" name="Sauce_Plum">'Stock List'!$F$95</definedName>
    <definedName name="BEEF_1824_RUMP_500G">#REF!</definedName>
    <definedName localSheetId="2" name="LAMB_CUTLET_F_T_CAP_ON">'Stock List'!$F$219</definedName>
    <definedName localSheetId="2" name="pineapple">'Stock List'!$F$82</definedName>
    <definedName name="Salt___Pepper_flour_mix">#REF!</definedName>
    <definedName name="Garlic_Peeled">#REF!</definedName>
    <definedName localSheetId="2" name="BEEF_WAGYU_RUMP_MB4_6_300G_4_PK">'Stock List'!$F$215</definedName>
    <definedName name="Capsicum_green">#REF!</definedName>
    <definedName name="Bread_Roll___Burger">#REF!</definedName>
    <definedName localSheetId="2" name="Garlic_Peeled">'Stock List'!$F$153</definedName>
    <definedName name="Suppliers">#REF!</definedName>
    <definedName localSheetId="2" name="Harissa">'Stock List'!$F$57</definedName>
    <definedName name="Butter_Unsalted">#REF!</definedName>
    <definedName name="BEEF_BONES_NECK_20KG_GRASS_FED">#REF!</definedName>
    <definedName localSheetId="2" name="LAMB_BRAINS_500G">'Stock List'!$F$218</definedName>
    <definedName localSheetId="2" name="Prawn_Cutlet_Marinated_Garlic_21_25_BT">'Stock List'!$F$87</definedName>
    <definedName name="Goats__Fetta">#REF!</definedName>
    <definedName name="Turkish_Bread">#REF!</definedName>
    <definedName localSheetId="2" name="Bread_Cob">'Stock List'!$F$18</definedName>
    <definedName localSheetId="2" name="Avocado">'Stock List'!$F$135</definedName>
    <definedName localSheetId="2" name="Oysters_Pacific_Half_Shell___Medium">'Stock List'!$F$132</definedName>
    <definedName name="Ham_Leg__Shaved">#REF!</definedName>
    <definedName name="LAMB_RUMP_CAP_OFF_180G_220G">#REF!</definedName>
    <definedName name="Spaghetti_No5">#REF!</definedName>
    <definedName localSheetId="2" name="Citrus_Tart__1_022">'Stock List'!$F$33</definedName>
    <definedName name="kransky_sausage">#REF!</definedName>
    <definedName localSheetId="2" name="BEEF_1824_SIRLOIN_300G">'Stock List'!$F$185</definedName>
    <definedName name="Sauce_Chipotle_BBQ_World_Cuisine">#REF!</definedName>
    <definedName localSheetId="2" name="Seafood_Basket">'Stock List'!$F$102</definedName>
    <definedName name="Harissa">#REF!</definedName>
    <definedName localSheetId="2" name="VEAL_SCHNITZEL_CRUMBED_200G">'Stock List'!$F$249</definedName>
    <definedName localSheetId="2" name="Garlic_Bread">'Stock List'!$F$48</definedName>
    <definedName name="Carrots">#REF!</definedName>
    <definedName localSheetId="2" name="PORK_TROTTERS_5KG">'Stock List'!$F$239</definedName>
    <definedName name="LAMB_RUMP_CAP_ON_WHOLE">#REF!</definedName>
    <definedName name="PORK_TENDERLOIN_DENUDED_WHOLE">#REF!</definedName>
    <definedName name="Storage">#REF!</definedName>
    <definedName name="Mississippi_Mud_Cake_Pre_Cut_16_s__1_294">#REF!</definedName>
    <definedName localSheetId="2" name="BEEF_SPIRIT_HAMBURGER_PATTY_170G">'Stock List'!$F$206</definedName>
    <definedName name="SAUSAGE_BBQ__THICK_5KG">#REF!</definedName>
    <definedName localSheetId="2" name="Sauce_Raspberry_Dessert">'Stock List'!$F$96</definedName>
    <definedName localSheetId="2" name="Garlic_Crushed">'Stock List'!$F$50</definedName>
    <definedName name="BEEF_EYE_FILLET__C_CUT_180G_GRASS_FED">#REF!</definedName>
    <definedName name="Artichoke_Hearts">#REF!</definedName>
    <definedName name="BEEF_GF_RUMP_300G">#REF!</definedName>
    <definedName name="Cornchips">#REF!</definedName>
    <definedName localSheetId="2" name="Tomato___Medium">'Stock List'!$F$176</definedName>
    <definedName localSheetId="2" name="BEEF_GF_EYE_FILLET_250G_CENTRE_CUT">'Stock List'!$F$188</definedName>
    <definedName localSheetId="2" name="BEEF_ASIAN_STRIPS__70X20X10__GRASS_FED">'Stock List'!$F$209</definedName>
    <definedName name="Sauce_Raspberry_Dessert">#REF!</definedName>
    <definedName name="Citrus_Tart__1_022">#REF!</definedName>
    <definedName localSheetId="2" name="Chips_Steakfries">'Stock List'!$F$30</definedName>
    <definedName localSheetId="2" name="Sea_Salt_Flakes">'Stock List'!$F$101</definedName>
    <definedName localSheetId="2" name="Chicken_Seasoning__Aromat">'Stock List'!$F$268</definedName>
    <definedName name="LAMB_RACK_F_T_CAP_ON_8_PT__EACH">#REF!</definedName>
    <definedName localSheetId="2" name="tandoori_paste">'Stock List'!$F$116</definedName>
    <definedName name="Sauce_Napolitana">#REF!</definedName>
    <definedName name="Spinach">#REF!</definedName>
    <definedName name="Cheese_Parmesan_shaved">#REF!</definedName>
    <definedName name="BEEF_EYE_FILLET__BONDED_180G_GRASS_FED">#REF!</definedName>
    <definedName localSheetId="2" name="Cucumber_Continental">'Stock List'!$F$149</definedName>
    <definedName name="Pesto_Basil">#REF!</definedName>
    <definedName localSheetId="2" name="Steakfries">'Stock List'!$F$113</definedName>
    <definedName localSheetId="2" name="Prawn_Cones">'Stock List'!$F$85</definedName>
    <definedName name="Bolognaise">#REF!</definedName>
    <definedName name="Cheese_Mozzarella_Shredded">#REF!</definedName>
    <definedName name="BEEF_MSA_T_BONE___RESTAURANT__400G">#REF!</definedName>
    <definedName name="Pork_Collar_Butt">#REF!</definedName>
    <definedName localSheetId="2" name="Onion___brown">'Stock List'!$F$160</definedName>
    <definedName name="LAMBS_FRY">#REF!</definedName>
    <definedName localSheetId="2" name="Carrots">'Stock List'!$F$142</definedName>
    <definedName localSheetId="2" name="Cake_Tiramisu_Precut">'Stock List'!$F$23</definedName>
    <definedName localSheetId="2" name="PORK_BELLY___SKIN_ON___BONELESS_WHOLE">'Stock List'!$F$230</definedName>
    <definedName name="Desserts">#REF!</definedName>
    <definedName name="Toppers">#REF!</definedName>
    <definedName localSheetId="2" name="LAMB_SHANKS_F_T_H_Q">'Stock List'!$F$228</definedName>
    <definedName name="BEEF_WAGYU_RUMP_MB6_9_300G">#REF!</definedName>
    <definedName localSheetId="2" name="PORK_SHOULDER_B_R_4KG">'Stock List'!$F$235</definedName>
    <definedName localSheetId="2" name="Zucchini">'Stock List'!$F$178</definedName>
    <definedName name="Ham_shaved">#REF!</definedName>
    <definedName name="Cream_cheese___speadable">#REF!</definedName>
    <definedName localSheetId="2" name="ingredients">'Stock List'!$C$5:$C$202</definedName>
    <definedName name="Sauce_Worcestershire">#REF!</definedName>
    <definedName name="Bocconcini_cheese">#REF!</definedName>
    <definedName localSheetId="2" name="BEEF_BONES_NECK_20KG_GRASS_FED">'Stock List'!$F$210</definedName>
    <definedName localSheetId="2" name="Sauce_Sweet_Chilli_Thai">'Stock List'!$F$98</definedName>
    <definedName localSheetId="2" name="Dill">'Stock List'!$F$150</definedName>
    <definedName localSheetId="2" name="Chicken_Breast_Schnitzel_250g_crumbed">'Stock List'!$F$252</definedName>
    <definedName localSheetId="2" name="Bread_Batard_Petit_White">'Stock List'!$F$17</definedName>
    <definedName name="NumbersSold">'Item Performance'!$D$4:$D$16</definedName>
    <definedName localSheetId="2" name="LAMB_BACKSTRAP">'Stock List'!$F$217</definedName>
    <definedName localSheetId="2" name="PORK_SPARE_RIB_USA___F_PLATE">'Stock List'!$F$236</definedName>
    <definedName name="Onion_Rings_Beer_Battered">#REF!</definedName>
    <definedName localSheetId="2" name="Oil_Olive_Extra_Virgin">'Stock List'!$F$71</definedName>
    <definedName name="Cucumber_Dill_Polish">#REF!</definedName>
    <definedName name="Garlic_Crushed">#REF!</definedName>
    <definedName localSheetId="2" name="Peas">'Stock List'!$F$79</definedName>
    <definedName localSheetId="2" name="BEEF_GRASS_BOLAR_BLADE_WHOLE">'Stock List'!$F$205</definedName>
    <definedName name="BEEF_GF_SIRLOIN__300G">#REF!</definedName>
    <definedName name="Hokkien_Noodles">#REF!</definedName>
    <definedName name="Chicken_Seasoning__Aromat">#REF!</definedName>
    <definedName name="Ginger_Crushed">#REF!</definedName>
    <definedName localSheetId="2" name="Balsamic_Vinegar">'Stock List'!$F$8</definedName>
    <definedName localSheetId="2" name="Pork_Rib_Full_Plate">'Stock List'!$F$257</definedName>
    <definedName name="VEAL_KNUCKLE_WHOLE">#REF!</definedName>
    <definedName name="LAMB_BRAINS_500G">#REF!</definedName>
    <definedName name="Salad____Garnish">#REF!</definedName>
    <definedName name="Oyster_Sauce">#REF!</definedName>
    <definedName name="Pappadums">#REF!</definedName>
    <definedName name="BEEF_SPIRIT_HAMBURGER_PATTY_170G">#REF!</definedName>
    <definedName localSheetId="2" name="Water_crackers">'Stock List'!$F$122</definedName>
    <definedName localSheetId="2" name="Bamboo_Skewer_Looped">'Stock List'!$F$125</definedName>
    <definedName name="Spring_Roll_Wrappers">#REF!</definedName>
    <definedName name="Cajun_Seasoning">#REF!</definedName>
    <definedName localSheetId="2" name="Sauce_Seafood_Cocktail">'Stock List'!$F$97</definedName>
    <definedName localSheetId="2" name="Spaghetti_No5">'Stock List'!$F$109</definedName>
    <definedName name="SAUSAGE_BEEF_CHIPOLATA_5KG">#REF!</definedName>
    <definedName localSheetId="2" name="Eggs_600_Gram_Large">'Stock List'!$F$45</definedName>
    <definedName name="UOM">#REF!</definedName>
    <definedName name="Croutons_Herb___Garlic">#REF!</definedName>
    <definedName localSheetId="2" name="Cream_cheese___speadable">'Stock List'!$F$38</definedName>
    <definedName name="Sauce_Plum">#REF!</definedName>
    <definedName localSheetId="2" name="Sauce_Worcestershire">'Stock List'!$F$100</definedName>
    <definedName localSheetId="2" name="Prawn_Cutlet_Marinated_Garlic_16_20_BT">'Stock List'!$F$86</definedName>
    <definedName localSheetId="2" name="BEEF_SCHNITZEL_CRUMBED_GRASS_FED_160G_FROZEN">'Stock List'!$F$212</definedName>
    <definedName localSheetId="2" name="onion___caramelised">'Stock List'!$F$161</definedName>
    <definedName name="Cream_Thickened">#REF!</definedName>
    <definedName localSheetId="2" name="Bacon_Middle_Rindless_Gas_Flushed">'Stock List'!$F$7</definedName>
    <definedName name="Chicken_Breast_Schnitzel_250g_crumbed">#REF!</definedName>
    <definedName localSheetId="2" name="Tomato___Roma">'Stock List'!$F$175</definedName>
    <definedName name="Sauce_Seafood_Cocktail">#REF!</definedName>
    <definedName name="BEEF_GF_RIB_FILLET_300G">#REF!</definedName>
    <definedName localSheetId="2" name="BEEF_GF_RUMP_500G">'Stock List'!$F$194</definedName>
    <definedName name="Tomato___Medium">#REF!</definedName>
    <definedName localSheetId="2" name="kransky_sausage">'Stock List'!$F$254</definedName>
    <definedName name="Tomato___Roma">#REF!</definedName>
    <definedName name="Tartare_Sauce">#REF!</definedName>
    <definedName localSheetId="2" name="PORK_LEG_BONED_N_ROLLED_ROAST_SKIN_ON_WHOLE">'Stock List'!$F$232</definedName>
    <definedName name="BEEF_GF_EYE_FILLET_180G_CENTRE_CUT">#REF!</definedName>
    <definedName name="Pork_Sausage">#REF!</definedName>
    <definedName name="Bolognaise_Sauce">#REF!</definedName>
    <definedName localSheetId="2" name="Sauce_Chipotle_BBQ_World_Cuisine">'Stock List'!$F$93</definedName>
    <definedName localSheetId="2" name="Sauce_Demi_Glaze_Mix">'Stock List'!$F$112</definedName>
    <definedName name="SAUSAGE_LAMB_AND_ROSEMARY_5KG">#REF!</definedName>
    <definedName name="Dill">#REF!</definedName>
    <definedName localSheetId="2" name="Chicken_Wings">'Stock List'!$F$278</definedName>
    <definedName localSheetId="2" name="Ginger_Crushed">'Stock List'!$F$51</definedName>
    <definedName localSheetId="2" name="Tomatoes___Heirloom">'Stock List'!$F$177</definedName>
    <definedName localSheetId="2" name="LAMB_DICED_22MM_5KG">'Stock List'!$F$220</definedName>
    <definedName localSheetId="2" name="Hoi_sin">'Stock List'!$F$58</definedName>
    <definedName name="pizza_base_crusty___Slab">#REF!</definedName>
    <definedName name="Breads">#REF!</definedName>
    <definedName name="PORK_DICED_22MM">#REF!</definedName>
    <definedName name="Cos_Lettuce">#REF!</definedName>
    <definedName name="Lunch">#REF!</definedName>
    <definedName localSheetId="2" name="BEEF_1824_RUMP_300G">'Stock List'!$F$182</definedName>
    <definedName localSheetId="2" name="_60GM_Chicken_Kebab___Cocktail">'Stock List'!$F$274</definedName>
    <definedName localSheetId="2" name="LAMB_RACK_F_T_CAP_ON_8_PT__EACH">'Stock List'!$F$225</definedName>
    <definedName name="Sauce_BBQ_Chipotle">#REF!</definedName>
    <definedName name="Chicken_Tenderloins">#REF!</definedName>
    <definedName name="Ratatouille">#REF!</definedName>
    <definedName name="Cherry_Tomaotes">#REF!</definedName>
    <definedName name="Sea_Salt_Flakes">#REF!</definedName>
    <definedName name="KidsMeals">#REF!</definedName>
    <definedName name="Hoi_sin">#REF!</definedName>
    <definedName name="BEEF_T_BONE___RESTAURANT__400G_GRASS_FED">#REF!</definedName>
    <definedName localSheetId="2" name="Side_Salad">'Stock List'!$F$170</definedName>
    <definedName name="BEEF_GF_OP_RIB_400G">#REF!</definedName>
    <definedName localSheetId="2" name="SAUSAGE_PORK_THICK_5KG">'Stock List'!$F$246</definedName>
    <definedName name="Yorkshire_pudding">#REF!</definedName>
    <definedName name="BEEF_GF_RUMP_200G">#REF!</definedName>
    <definedName name="Sauce_Garlic_Cream">#REF!</definedName>
    <definedName name="Garlic_Bread">#REF!</definedName>
    <definedName name="Parmesan_Cheese___shredded">#REF!</definedName>
    <definedName name="Drink_Orange_Pop_Top">#REF!</definedName>
    <definedName name="BEEF_1824_OP_RIB_400G">#REF!</definedName>
    <definedName localSheetId="2" name="Lemon_Meringue_Pie">'Stock List'!$F$65</definedName>
    <definedName localSheetId="2" name="Corn_Kernels">'Stock List'!$F$35</definedName>
    <definedName localSheetId="2" name="Spinach">'Stock List'!$F$171</definedName>
    <definedName name="Pumpkin">#REF!</definedName>
    <definedName localSheetId="2" name="Barramundi_FLT_AUST">'Stock List'!$F$9</definedName>
    <definedName localSheetId="2" name="Yoghurt_Natural">'Stock List'!$F$123</definedName>
    <definedName localSheetId="2" name="BEEF_SCHNITZEL_CRUMBED_GRASS_FED_200G_FROZEN">'Stock List'!$F$213</definedName>
    <definedName name="Satay_sauce">#REF!</definedName>
    <definedName localSheetId="2" name="Hot_Dog">'Stock List'!$F$62</definedName>
    <definedName localSheetId="2" name="Spirit_Burger">'Stock List'!$F$265</definedName>
    <definedName name="LAMB_MINCE_2.5_KG">#REF!</definedName>
    <definedName localSheetId="2" name="LAMBS_FRY">'Stock List'!$F$229</definedName>
    <definedName localSheetId="2" name="VEAL_KNUCKLE_WHOLE">'Stock List'!$F$248</definedName>
    <definedName name="Salads">#REF!</definedName>
    <definedName localSheetId="2" name="Chorizo">'Stock List'!$F$32</definedName>
    <definedName localSheetId="2" name="Garlic_Bread_7">'Stock List'!$F$49</definedName>
    <definedName name="pineapple">#REF!</definedName>
    <definedName name="BEEF_REGULAR_MINCE_85CL_5KG_GRASS_FED">#REF!</definedName>
    <definedName localSheetId="2" name="SAUSAGE_LAMB_AND_ROSEMARY_5KG">'Stock List'!$F$245</definedName>
    <definedName name="LAMB_LEG_B_R___NETTED_WHOLE">#REF!</definedName>
    <definedName localSheetId="2" name="Salami___Mild_Sliced">'Stock List'!$F$89</definedName>
    <definedName localSheetId="2" name="PORK_LOIN_CUTLET_F_T_PLAIN__EACH">'Stock List'!$F$233</definedName>
    <definedName name="BEEF_WAGYU_RUMP_MB4_6_300G_4_PK">#REF!</definedName>
    <definedName localSheetId="2" name="BEEF_1824_RIB_FILLET_300G">'Stock List'!$F$181</definedName>
    <definedName localSheetId="2" name="Tartare_Sauce">'Stock List'!$F$117</definedName>
    <definedName name="Sauce_Demi_Glaze_Mix">#REF!</definedName>
    <definedName name="SAUSAGE_BBQ_THIN_5KG">#REF!</definedName>
    <definedName localSheetId="2" name="BEEF_RUMP_300G_GRASS_FED">'Stock List'!$F$202</definedName>
    <definedName localSheetId="2" name="Sesame_Oil">'Stock List'!$F$104</definedName>
    <definedName localSheetId="2" name="Bok_Choy">'Stock List'!$F$138</definedName>
    <definedName name="Thyme">#REF!</definedName>
    <definedName name="VEAL_SCHNITZEL_CRUMBED_200G">#REF!</definedName>
    <definedName name="Avocado">#REF!</definedName>
    <definedName localSheetId="2" name="Ham_shaved">'Stock List'!$F$55</definedName>
    <definedName name="BEEF_CHEEK__KG_GRASS_FED">#REF!</definedName>
    <definedName localSheetId="2" name="Seasoning_Cajun">'Stock List'!$F$103</definedName>
    <definedName name="Hot_Dog">#REF!</definedName>
    <definedName name="Rump_200g">#REF!</definedName>
    <definedName name="LAMB_LOIN_CHOPS_100G">#REF!</definedName>
    <definedName name="SAUSAGE_BEEF_THICK_5KG">#REF!</definedName>
    <definedName name="Chicken_breast_skinless">#REF!</definedName>
    <definedName name="onion___caramelised">#REF!</definedName>
    <definedName localSheetId="2" name="Cajun_Seasoning">'Stock List'!$F$22</definedName>
    <definedName localSheetId="2" name="SAUSAGE_BBQ__THICK_5KG">'Stock List'!$F$240</definedName>
    <definedName localSheetId="2" name="Gran_Fed_Rump_Steak_110gr">'Stock List'!$F$263</definedName>
    <definedName localSheetId="2" name="Lemon_Zest">'Stock List'!$F$155</definedName>
    <definedName name="Bok_Choy">#REF!</definedName>
    <definedName name="Duck___Breast_Fillet_180___220gr">#REF!</definedName>
    <definedName name="Prawn_Cutlet_Marinated_Garlic_16_20_BT">#REF!</definedName>
    <definedName name="Cake_Tiramisu_Precut">#REF!</definedName>
    <definedName name="International">#REF!</definedName>
    <definedName name="ingredients">'Stock List'!$C$5:$C$500</definedName>
    <definedName localSheetId="2" name="Rocket">'Stock List'!$F$168</definedName>
    <definedName localSheetId="2" name="Capsicum_green">'Stock List'!$F$139</definedName>
    <definedName localSheetId="2" name="BEEF_EYE_FILLET__C_CUT_180G_GRASS_FED">'Stock List'!$F$199</definedName>
    <definedName name="BEEF_GF_RUMP_500G">#REF!</definedName>
    <definedName name="Chicken_Wings">#REF!</definedName>
    <definedName localSheetId="2" name="Spring_Roll_Wrappers">'Stock List'!$F$110</definedName>
    <definedName name="Pork_Rib_Full_Plate">#REF!</definedName>
    <definedName localSheetId="2" name="Smokey_BBQ_sauce">'Stock List'!$F$106</definedName>
    <definedName localSheetId="2" name="Rump_200g">'Stock List'!$F$258</definedName>
    <definedName localSheetId="2" name="Beansprouts">'Stock List'!$F$137</definedName>
    <definedName name="Prawn_Cutlet_Marinated_Garlic_21_25_BT">#REF!</definedName>
    <definedName localSheetId="2" name="Potatoes___Peeled">'Stock List'!$F$165</definedName>
    <definedName localSheetId="2" name="SAUSAGE_BEEF_CHIPOLATA_5KG">'Stock List'!$F$242</definedName>
    <definedName name="Steaks_Grill">#REF!</definedName>
    <definedName name="Cheese_Tasty_Shredded">#REF!</definedName>
    <definedName name="Steakfries">#REF!</definedName>
    <definedName name="Tomatoes___Heirloom">#REF!</definedName>
    <definedName name="Oregano">#REF!</definedName>
    <definedName name="Berries_Mixed_Iqf">#REF!</definedName>
    <definedName localSheetId="2" name="SAUSAGES_LAMB___SPICY">'Stock List'!$F$259</definedName>
    <definedName name="Sauce_Aioli">#REF!</definedName>
    <definedName name="Sauce_Red_Wine_Jus">#REF!</definedName>
    <definedName name="Snapper_Portions_170_200">#REF!</definedName>
    <definedName name="BEEF_EYE_FILLET__250G_GRASS_FED">#REF!</definedName>
    <definedName localSheetId="2" name="Sweet_Soy_Sauce__KETJAP_MANIS">'Stock List'!$F$114</definedName>
    <definedName name="Brie">#REF!</definedName>
    <definedName name="BEEF_T_BONE___RESTAURANT__300G_GRASS_FED">#REF!</definedName>
    <definedName name="Salami___Mild_Sliced">#REF!</definedName>
    <definedName localSheetId="2" name="LAMB_F_Q_CHOPS_150G">'Stock List'!$F$221</definedName>
    <definedName localSheetId="2" name="pepperoni___sliced">'Stock List'!$F$80</definedName>
    <definedName name="Sauce_Mushroom">#REF!</definedName>
    <definedName localSheetId="2" name="LAMB_LEG_B_R___NETTED_WHOLE">'Stock List'!$F$222</definedName>
    <definedName localSheetId="2" name="Capsicum_red">'Stock List'!$F$140</definedName>
    <definedName localSheetId="2" name="BEEF_EYE_FILLET__BONDED_180G_GRASS_FED">'Stock List'!$F$197</definedName>
    <definedName localSheetId="2" name="BEEF_RUMP_200G_GRASS_FED">'Stock List'!$F$201</definedName>
    <definedName localSheetId="2" name="Hokkien_Noodles">'Stock List'!$F$59</definedName>
    <definedName localSheetId="2" name="Cooking_Cream">'Stock List'!$F$34</definedName>
    <definedName localSheetId="2" name="Salt___Pepper_flour_mix">'Stock List'!$F$270</definedName>
    <definedName localSheetId="2" name="Dressing_Caesar">'Stock List'!$F$41</definedName>
    <definedName localSheetId="2" name="Onion_Rings_Beer_Battered">'Stock List'!$F$72</definedName>
    <definedName name="Bamboo_Skewer_Looped">#REF!</definedName>
    <definedName name="Peas">#REF!</definedName>
    <definedName localSheetId="2" name="Batter_Mix_Tempura">'Stock List'!$F$10</definedName>
    <definedName localSheetId="2" name="BEEF_RUMP_DICED_22MM_GRASS_FED_5KG">'Stock List'!$F$208</definedName>
    <definedName name="Jasmin_Rice">#REF!</definedName>
    <definedName localSheetId="2" name="Beer_battered_Flathead_Fillets">'Stock List'!$F$12</definedName>
    <definedName localSheetId="2" name="Tasty_Cheese_Slice">'Stock List'!$F$118</definedName>
    <definedName name="VEAL___CALVES_LIVER">#REF!</definedName>
    <definedName localSheetId="2" name="Snapper_Portions_170_200">'Stock List'!$F$107</definedName>
    <definedName localSheetId="2" name="Cos_Lettuce">'Stock List'!$F$147</definedName>
    <definedName name="Lemon_Meringue_Pie">#REF!</definedName>
    <definedName name="Sauce_Sweet_Chilli_Thai">#REF!</definedName>
    <definedName name="pepperoni___sliced">#REF!</definedName>
    <definedName localSheetId="2" name="VEAL___CALVES_LIVER">'Stock List'!$F$250</definedName>
    <definedName name="PORK_LOIN_CUTLET_F_T_PLAIN__EACH">#REF!</definedName>
    <definedName name="LAMB_DICED_22MM_5KG">#REF!</definedName>
    <definedName localSheetId="2" name="LAMB_MINCE_2.5_KG">'Stock List'!$F$224</definedName>
    <definedName localSheetId="2" name="BEEF_T_BONE___RESTAURANT__400G_GRASS_FED">'Stock List'!$F$204</definedName>
    <definedName localSheetId="2" name="Coriander">'Stock List'!$F$146</definedName>
    <definedName localSheetId="2" name="Cream_Thickened">'Stock List'!$F$39</definedName>
    <definedName name="Guacamole">#REF!</definedName>
    <definedName name="Mayonnaise_Real">#REF!</definedName>
    <definedName localSheetId="2" name="BEEF_GF_RUMP_400G">'Stock List'!$F$193</definedName>
    <definedName name="BEEF_GF_RUMP_400G">#REF!</definedName>
    <definedName name="Cheddar">#REF!</definedName>
    <definedName name="BEEF_ASIAN_STRIPS__70X20X10__GRASS_FED">#REF!</definedName>
    <definedName name="Smoked_Salmon">#REF!</definedName>
    <definedName localSheetId="2" name="Iceberg_Lettuce">'Stock List'!$F$154</definedName>
    <definedName name="SAUSAGES_LAMB___SPICY">#REF!</definedName>
    <definedName localSheetId="2" name="Pumpkin">'Stock List'!$F$166</definedName>
    <definedName name="PORK_RIBLETS">#REF!</definedName>
    <definedName name="BEEF_RUMP_300G_GRASS_FED">#REF!</definedName>
    <definedName localSheetId="2" name="Turkish_Bread">'Stock List'!$F$121</definedName>
    <definedName localSheetId="2" name="Bread_Roll___Burger">'Stock List'!$F$19</definedName>
    <definedName localSheetId="2" name="PORK_DICED_22MM">'Stock List'!$F$231</definedName>
    <definedName localSheetId="2" name="Prawns_whole_CKD_Vannamei_15_25">'Stock List'!$F$88</definedName>
    <definedName name="BEEF_GRASS_BOLAR_BLADE_WHOLE">#REF!</definedName>
    <definedName name="Lettuce">#REF!</definedName>
    <definedName localSheetId="2" name="Cous_Cous">'Stock List'!$F$37</definedName>
    <definedName name="Shallots">#REF!</definedName>
    <definedName name="Beer_battered_Flathead_Fillets">#REF!</definedName>
    <definedName localSheetId="2" name="Pork_Collar_Butt">'Stock List'!$F$256</definedName>
    <definedName name="SAUSAGE_BEEF_THIN_5KG">#REF!</definedName>
    <definedName name="Cucumber">#REF!</definedName>
    <definedName localSheetId="2" name="Lamb_Rump_DN_PC_180_200g_MV_Chl">'Stock List'!$F$264</definedName>
    <definedName name="Choy_Sum">#REF!</definedName>
    <definedName name="Fish_Sauce">#REF!</definedName>
    <definedName name="Capers_Baby">#REF!</definedName>
    <definedName localSheetId="2" name="Cheese_Slices_Tasty">'Stock List'!$F$29</definedName>
    <definedName name="Parsley___Italian">#REF!</definedName>
    <definedName name="BEEF_RUMP_200G_GRASS_FED">#REF!</definedName>
    <definedName localSheetId="2" name="BEEF_CHEEK__KG_GRASS_FED">'Stock List'!$F$211</definedName>
    <definedName localSheetId="2" name="Smoked_Salmon">'Stock List'!$F$105</definedName>
    <definedName name="LAMB_F_Q_CHOPS_150G">#REF!</definedName>
    <definedName name="Mains">#REF!</definedName>
    <definedName name="Rocket">#REF!</definedName>
    <definedName name="Batter_Mix_Tempura">#REF!</definedName>
    <definedName name="Kalamata_Olives">#REF!</definedName>
    <definedName localSheetId="2" name="Field_Mushrooms">'Stock List'!$F$152</definedName>
    <definedName localSheetId="2" name="LAMB_RUMP_CAP_ON_WHOLE">'Stock List'!$F$227</definedName>
    <definedName name="Gran_Fed_Rump_Steak_110gr">#REF!</definedName>
    <definedName localSheetId="2" name="Guacamole">'Stock List'!$F$53</definedName>
    <definedName name="BEEF_1824_RUMP_300G">#REF!</definedName>
    <definedName localSheetId="2" name="Teriyaki_Sauce">'Stock List'!$F$119</definedName>
    <definedName name="BEEF_1824_T_BONE___RESTAURANT__400G">#REF!</definedName>
    <definedName localSheetId="2" name="Crumbed_Beef_Schnitzel_250g">'Stock List'!$F$253</definedName>
    <definedName name="ChefSelection">#REF!</definedName>
    <definedName localSheetId="2" name="Sauce_Tomato">'Stock List'!$F$99</definedName>
    <definedName name="Side_Salad">#REF!</definedName>
    <definedName name="Blue">#REF!</definedName>
    <definedName localSheetId="2" name="Jasmin_Rice">'Stock List'!$F$63</definedName>
    <definedName name="Teriyaki_Sauce">#REF!</definedName>
    <definedName name="Squid_Pineapple_Cut">#REF!</definedName>
    <definedName localSheetId="2" name="Bread_Baguette_Half">'Stock List'!$F$16</definedName>
    <definedName name="tandoori_paste">#REF!</definedName>
    <definedName localSheetId="2" name="Tomato_Sauce">'Stock List'!$F$120</definedName>
    <definedName localSheetId="2" name="Fish_Sauce">'Stock List'!$F$46</definedName>
    <definedName localSheetId="2" name="Cheese_Parmesan_shaved">'Stock List'!$F$28</definedName>
    <definedName localSheetId="2" name="Chicken_breast_skinless">'Stock List'!$F$275</definedName>
    <definedName name="Potato___washed">#REF!</definedName>
    <definedName localSheetId="2" name="PORK_RIBLETS">'Stock List'!$F$234</definedName>
    <definedName localSheetId="2" name="Choy_Sum">'Stock List'!$F$145</definedName>
    <definedName localSheetId="2" name="Squid_Pineapple_Cut">'Stock List'!$F$111</definedName>
    <definedName localSheetId="2" name="Bocconcini_cheese">'Stock List'!$F$15</definedName>
    <definedName localSheetId="2" name="Pesto_Basil">'Stock List'!$F$81</definedName>
    <definedName localSheetId="2" name="Oregano">'Stock List'!$F$162</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Enter your basic information of your business in here if you want, the Business name will be used to show on the recipe cards.</t>
      </text>
    </comment>
    <comment authorId="0" ref="D7">
      <text>
        <t xml:space="preserve">Tick the box if you want to make sure to never throw out a single cent with your trimmings and off cuts.</t>
      </text>
    </comment>
    <comment authorId="0" ref="D8">
      <text>
        <t xml:space="preserve">Quick and easy charm pricing for your dishes for a better menu engineering or you rather want a more premium feel with the whole  number pricing option, or both? Choose the option that suits your business and See the sales going up.</t>
      </text>
    </comment>
    <comment authorId="0" ref="B12">
      <text>
        <t xml:space="preserve">Fill in your supplier list here, remove the test data to fit to your business</t>
      </text>
    </comment>
    <comment authorId="0" ref="C12">
      <text>
        <t xml:space="preserve">Fill in your supplier list here, remove the test data to fit to your business</t>
      </text>
    </comment>
    <comment authorId="0" ref="D12">
      <text>
        <t xml:space="preserve">Fill in your supplier list here, remove the test data to fit to your business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Name the dish, that will help you be more organised when creating a menu.</t>
      </text>
    </comment>
    <comment authorId="0" ref="I2">
      <text>
        <t xml:space="preserve">How much do you sell the dish for?</t>
      </text>
    </comment>
    <comment authorId="0" ref="J2">
      <text>
        <t xml:space="preserve">How much does it cost do create this dish?</t>
      </text>
    </comment>
    <comment authorId="0" ref="K2">
      <text>
        <t xml:space="preserve">We're trying to keep the COGS percentage between 25%-35% the lower the cost of goods percentage, the more profit you will make.</t>
      </text>
    </comment>
    <comment authorId="0" ref="L2">
      <text>
        <t xml:space="preserve">How much money is left after tax for selling the product. This is the money what you take to the bank.</t>
      </text>
    </comment>
    <comment authorId="0" ref="M2">
      <text>
        <t xml:space="preserve">The gross profit you make on this dish.</t>
      </text>
    </comment>
    <comment authorId="0" ref="C4">
      <text>
        <t xml:space="preserve">Here you will fill in your ingredients and the quantities you need for your recipe, the rest will be filled out automatically.</t>
      </text>
    </comment>
    <comment authorId="0" ref="H5">
      <text>
        <t xml:space="preserve">I have thrown in a little extra feature for you to automatically create instructions for recipe cards to print out in your kitchen. You're welcome.</t>
      </text>
    </comment>
    <comment authorId="0" ref="D17">
      <text>
        <t xml:space="preserve">Bulk Prepping? No worries, set the portion size for the recipe and the selling price will be adjusted accordingly.</t>
      </text>
    </comment>
    <comment authorId="0" ref="D18">
      <text>
        <t xml:space="preserve">Play around with different markups for recommended prices and profit margins, try to stay between 3 - 4 depending on your business.</t>
      </text>
    </comment>
    <comment authorId="0" ref="G20">
      <text>
        <t xml:space="preserve">Fill in the price you intend to put the item on the menu for and compare your profit and food costings.</t>
      </text>
    </comment>
    <comment authorId="0" ref="G21">
      <text>
        <t xml:space="preserve">based on your settings, this is the recommended selling price for a balanced profit.</t>
      </text>
    </comment>
  </commentList>
</comments>
</file>

<file path=xl/sharedStrings.xml><?xml version="1.0" encoding="utf-8"?>
<sst xmlns="http://schemas.openxmlformats.org/spreadsheetml/2006/main" count="2483" uniqueCount="641">
  <si>
    <t>🍽 PrepFlow COGS Worksheet – Your Fast-Track to Profitable Plates</t>
  </si>
  <si>
    <t>Before you start throwing ingredients into the Stock List, let’s make sure your Settings page is set up right — because this is the control panel for your whole costing sheet.</t>
  </si>
  <si>
    <t>Name of the Business – Pop your venue name here. It’ll appear on printouts, exports, and your dashboard like it owns the place.</t>
  </si>
  <si>
    <t>Country of Operation – This keeps your currency and tax rules in line with where you actually sling plates.</t>
  </si>
  <si>
    <t>GST % – Set your Goods &amp; Services Tax rate (0.10 if you’re in Australia). Every price in your sheet adjusts automatically.</t>
  </si>
  <si>
    <t>Units of Measure List – Keep your g, kg, ml, L, and pcs neat and tidy here. This is where the Stock List dropdown gets its options.</t>
  </si>
  <si>
    <t>Supplier List – Add or edit your suppliers here so you can pick them from a dropdown instead of typing their name a hundred times. Add phone/email if you want to reorder without digging through your inbox.</t>
  </si>
  <si>
    <t>Once these settings are done, you can dive into the Stock List knowing your sheet’s set up to think like you do — no extra fiddling mid-service.</t>
  </si>
  <si>
    <t>🥕 Step 1 – Stock List</t>
  </si>
  <si>
    <t>Start here. Fill out: product name, package size, unit of measure, supplier, cost per ordering unit, off-cuts/peel %, and cooking wastage %.</t>
  </si>
  <si>
    <t>Formulas show adjusted yield % and automatically adjust prices according to your wastage.</t>
  </si>
  <si>
    <t>🍳 Step 2 – COGS Recipes</t>
  </si>
  <si>
    <t>Once your Stock List is complete, head to the COGS Recipes sheet.</t>
  </si>
  <si>
    <t>Enter the dish name and ingredients needed to calculate your dish prices.</t>
  </si>
  <si>
    <t>You’ve got room for 13 dishes to get you started spotting your Chef’s Kisses and Burnt Toast.</t>
  </si>
  <si>
    <t>💰 Contribution Margins</t>
  </si>
  <si>
    <t>While the concept of food gross profit percentage (sale price minus ingredient cost, divided by menu price) is the most common, contribution margin (menu price minus food cost) is where menu engineering truly shines.</t>
  </si>
  <si>
    <t>If you could sell one more item before closing tonight, would you pick:</t>
  </si>
  <si>
    <t>Sirloin steak – $20 sell price, $8 cost (40% food cost, $12 margin)</t>
  </si>
  <si>
    <t>Pasta primavera – $10 sell price, $2 cost (20% food cost, $8 margin)</t>
  </si>
  <si>
    <t>The pasta looks prettier on paper, but the steak puts $4 more in your pocket. I’ll take the $12, thanks.</t>
  </si>
  <si>
    <t>🗑 Wastage – Never Lose Money Again</t>
  </si>
  <si>
    <t>Think you’re winning with that bargain kilo price? Think again.</t>
  </si>
  <si>
    <t>Once the fat, sinew, and scraps are gone, you’re paying top dollar for stuff you can’t sell.</t>
  </si>
  <si>
    <t>Pop your trim/peel/waste % into the Stock List and we’ll sort the real cost for you.</t>
  </si>
  <si>
    <t>📊 "Reality Check" - Item Performance (the moment you find out your ‘crowd favourite’ isn’t paying the rent)</t>
  </si>
  <si>
    <t>Time to see which dishes are paying the bills, which are quietly winning, and which need to be binned.</t>
  </si>
  <si>
    <t>1️⃣ Grab your sales report — no receipts, no recipe.</t>
  </si>
  <si>
    <r>
      <rPr>
        <rFont val="Varela Round"/>
        <b/>
        <sz val="12.0"/>
      </rPr>
      <t xml:space="preserve">2️⃣ Drop your sold items into </t>
    </r>
    <r>
      <rPr>
        <rFont val="Varela Round"/>
        <b/>
        <color rgb="FF1155CC"/>
        <sz val="12.0"/>
        <u/>
      </rPr>
      <t>Column B</t>
    </r>
    <r>
      <rPr>
        <rFont val="Varela Round"/>
        <b/>
        <sz val="12.0"/>
      </rPr>
      <t xml:space="preserve"> on the Item </t>
    </r>
    <r>
      <rPr>
        <rFont val="Varela Round"/>
        <b/>
        <color rgb="FF1155CC"/>
        <sz val="12.0"/>
        <u/>
      </rPr>
      <t>Performance page</t>
    </r>
    <r>
      <rPr>
        <rFont val="Varela Round"/>
        <b/>
        <sz val="12.0"/>
      </rPr>
      <t xml:space="preserve"> — yes, all of them, even the disasters.</t>
    </r>
  </si>
  <si>
    <t>3️⃣ The page auto-pulls Sell Price, Food Cost, and Quantity Sold from the Recipe Page — like having an intern who actually listens.</t>
  </si>
  <si>
    <t>4️⃣ Column N = Profit Check — LOW if below menu average, HIGH if it’s making you smile at the bank.</t>
  </si>
  <si>
    <t>5️⃣ Column O = Popularity Check — LOW if under 80% of the average item’s popularity, HIGH if it’s selling like hot chips. (Example: Avg popularity = 8.3%, anything ≥ 6.7% is HIGH)</t>
  </si>
  <si>
    <t>6️⃣ Column P = Kitchen Verdict — where the truth hits the plate:</t>
  </si>
  <si>
    <t>Chef’s Kiss – Profitable and popular. Keep it, flaunt it, feature it.</t>
  </si>
  <si>
    <t>Hidden Gem – Profitable but overlooked. Market it, plate it better, get it noticed.</t>
  </si>
  <si>
    <t>Bargain Bucket – Popular but slim profit. Adjust price or portion before it eats your margins.</t>
  </si>
  <si>
    <t>Burnt Toast – Not profitable, not popular. Bin it. No ceremony needed.</t>
  </si>
  <si>
    <t>🔥 From Burnt Toast to Chef’s Kiss – Action Plan</t>
  </si>
  <si>
    <t>Step 1: Keep the Chef’s Kisses, dump the Burnt Toast. No debate, no sentimentality.</t>
  </si>
  <si>
    <t>Step 2: Tackle your Hidden Gems — rework, rename, re-plate, or reinvent to get them noticed.</t>
  </si>
  <si>
    <t>Step 3: Fix your Bargain Buckets — swap expensive ingredients, change cuts, trim sides, or raise the price.</t>
  </si>
  <si>
    <t>Master these moves and you’ll be actively running your menu instead of reacting to it. Menu engineering = full control over your food cost game.</t>
  </si>
  <si>
    <t>SETTINGS</t>
  </si>
  <si>
    <t>NAME OF THE BUSINESS</t>
  </si>
  <si>
    <t>PrepFlow</t>
  </si>
  <si>
    <t>COUNTRY OF OPERATION</t>
  </si>
  <si>
    <t>Australia</t>
  </si>
  <si>
    <t>GST %/ VAT %</t>
  </si>
  <si>
    <t>WASTAGE PERCENTAGE INCLUSION</t>
  </si>
  <si>
    <t>CHARM PRICING</t>
  </si>
  <si>
    <t>WHOLE NUMBER PRICING</t>
  </si>
  <si>
    <t>tap here for more info</t>
  </si>
  <si>
    <t>SUPPLIERS</t>
  </si>
  <si>
    <t>FOOD CATEGORIES</t>
  </si>
  <si>
    <t>UNITS OF MEASUREMENT</t>
  </si>
  <si>
    <t>PFD</t>
  </si>
  <si>
    <t>FROZEN</t>
  </si>
  <si>
    <t>PC</t>
  </si>
  <si>
    <t>GROWERS</t>
  </si>
  <si>
    <t>COLDROOM</t>
  </si>
  <si>
    <t>GM</t>
  </si>
  <si>
    <t>BEAK</t>
  </si>
  <si>
    <t>DRYSTORE</t>
  </si>
  <si>
    <t>pnt</t>
  </si>
  <si>
    <t>B&amp;E</t>
  </si>
  <si>
    <t>FRUIT/VEG</t>
  </si>
  <si>
    <t>BNCH</t>
  </si>
  <si>
    <t>IN HOUSE</t>
  </si>
  <si>
    <t>FISH FROZEN</t>
  </si>
  <si>
    <t>ML</t>
  </si>
  <si>
    <t>COLES</t>
  </si>
  <si>
    <t>MEAT</t>
  </si>
  <si>
    <t>BAR</t>
  </si>
  <si>
    <t>OTHER</t>
  </si>
  <si>
    <t>WOOLIES</t>
  </si>
  <si>
    <t>CHICKEN</t>
  </si>
  <si>
    <t>JAQUES</t>
  </si>
  <si>
    <t>FISH</t>
  </si>
  <si>
    <t>REWARD</t>
  </si>
  <si>
    <t>COOKERS</t>
  </si>
  <si>
    <t>FISH MARKET</t>
  </si>
  <si>
    <t>PFD SEAFOOD</t>
  </si>
  <si>
    <t>BIDFOOD</t>
  </si>
  <si>
    <t>INFINITE STOCK LIST</t>
  </si>
  <si>
    <t>INGREDIENT NAME</t>
  </si>
  <si>
    <t>PACK SIZE</t>
  </si>
  <si>
    <t>UNIT</t>
  </si>
  <si>
    <t>COST PER PACK</t>
  </si>
  <si>
    <t>TRIM/ PEEL/ WASTE</t>
  </si>
  <si>
    <t>YIELD</t>
  </si>
  <si>
    <t>SUPPLIER</t>
  </si>
  <si>
    <t>STORAGE</t>
  </si>
  <si>
    <t>PRODUCT CODE</t>
  </si>
  <si>
    <t>COST PER UNIT AS PURCHASED</t>
  </si>
  <si>
    <t>COST PER UNIT INCL TRIM</t>
  </si>
  <si>
    <t>Burger Patties Angel Bay</t>
  </si>
  <si>
    <t>Aioli</t>
  </si>
  <si>
    <t>Anchovy Fillets</t>
  </si>
  <si>
    <t>Apple Juice</t>
  </si>
  <si>
    <t>Apples</t>
  </si>
  <si>
    <t>Avocado</t>
  </si>
  <si>
    <t>Balsamic Glaze</t>
  </si>
  <si>
    <t>Balsamic Vinegar</t>
  </si>
  <si>
    <t>Banana</t>
  </si>
  <si>
    <t>Barramundi Fillet Skin Off</t>
  </si>
  <si>
    <t>Basil Pesto</t>
  </si>
  <si>
    <t>Basmati Rice</t>
  </si>
  <si>
    <t>Battered Flat Head</t>
  </si>
  <si>
    <t>Bay Leaves</t>
  </si>
  <si>
    <t>Bbq Sauce Gf</t>
  </si>
  <si>
    <t>Bean Shoots</t>
  </si>
  <si>
    <t>Beef Blade Boneless</t>
  </si>
  <si>
    <t>Beef Cheeks</t>
  </si>
  <si>
    <t>Beef Crumbed Steak 250G</t>
  </si>
  <si>
    <t>Beef Pie Filling</t>
  </si>
  <si>
    <t>Beer Battered Onion Rings</t>
  </si>
  <si>
    <t>Beer Dark</t>
  </si>
  <si>
    <t>Beetroot</t>
  </si>
  <si>
    <t>Beetroot Slices</t>
  </si>
  <si>
    <t>Bicarb Soda</t>
  </si>
  <si>
    <t>Big Spring Rolls</t>
  </si>
  <si>
    <t>Black Pepper</t>
  </si>
  <si>
    <t>Black Peppercorn</t>
  </si>
  <si>
    <t>Blue Cheese</t>
  </si>
  <si>
    <t>Bocconcini</t>
  </si>
  <si>
    <t>Bread Sliced Thin</t>
  </si>
  <si>
    <t>Breast 1/2 Fillet Supremes</t>
  </si>
  <si>
    <t>Breast Fillet 200Gm</t>
  </si>
  <si>
    <t>Brioche Bun</t>
  </si>
  <si>
    <t>Broccoli</t>
  </si>
  <si>
    <t>Broccolini</t>
  </si>
  <si>
    <t>Buffalo Wing Sauce</t>
  </si>
  <si>
    <t>Butter Lettuce</t>
  </si>
  <si>
    <t>Buttermilk</t>
  </si>
  <si>
    <t>Cabbage Green</t>
  </si>
  <si>
    <t>Cabbage Red</t>
  </si>
  <si>
    <t>Caesar Dressing</t>
  </si>
  <si>
    <t>Calamari</t>
  </si>
  <si>
    <t>Calamari Rings</t>
  </si>
  <si>
    <t>Camembert</t>
  </si>
  <si>
    <t>Capers</t>
  </si>
  <si>
    <t>Capsicum Green</t>
  </si>
  <si>
    <t>Capsicum Red</t>
  </si>
  <si>
    <t>Caramel Topping</t>
  </si>
  <si>
    <t>Caraway Seeds</t>
  </si>
  <si>
    <t>Carrot</t>
  </si>
  <si>
    <t>Caster Sugar</t>
  </si>
  <si>
    <t>Cauliflower</t>
  </si>
  <si>
    <t>Cellery</t>
  </si>
  <si>
    <t>Eggplant</t>
  </si>
  <si>
    <t>Cheddar</t>
  </si>
  <si>
    <t>Cherrytomato</t>
  </si>
  <si>
    <t>Chicken Breast</t>
  </si>
  <si>
    <t>Chicken Nuggets</t>
  </si>
  <si>
    <t>Chicken Satay Skewers</t>
  </si>
  <si>
    <t>Chicken Schnitzel 160G</t>
  </si>
  <si>
    <t>Chicken Schnitzel 250G</t>
  </si>
  <si>
    <t>Chicken Size 10</t>
  </si>
  <si>
    <t>Chicken Size 12</t>
  </si>
  <si>
    <t>Chicken Size 14</t>
  </si>
  <si>
    <t>Chicken Size 16</t>
  </si>
  <si>
    <t>Chicken Size 20</t>
  </si>
  <si>
    <t>Chicken Stock</t>
  </si>
  <si>
    <t>Chilli Crushed</t>
  </si>
  <si>
    <t>Chilli Flakes</t>
  </si>
  <si>
    <t>Chilli Red</t>
  </si>
  <si>
    <t>Chips Sure Crisp</t>
  </si>
  <si>
    <t>Chips Stay Crisp</t>
  </si>
  <si>
    <t>Chives</t>
  </si>
  <si>
    <t>Chocolate Dark Buttons</t>
  </si>
  <si>
    <t>Chocolate Topping</t>
  </si>
  <si>
    <t>Chocolate White Buttons</t>
  </si>
  <si>
    <t>Ciabatta</t>
  </si>
  <si>
    <t>Cinnamon</t>
  </si>
  <si>
    <t>Cloves</t>
  </si>
  <si>
    <t>Coconut Shredded</t>
  </si>
  <si>
    <t>Cointreau</t>
  </si>
  <si>
    <t>Condensed Milk</t>
  </si>
  <si>
    <t>Cooking Cream</t>
  </si>
  <si>
    <t>Coriander</t>
  </si>
  <si>
    <t>Corn Cobs</t>
  </si>
  <si>
    <t>Corn Flour</t>
  </si>
  <si>
    <t>Cos</t>
  </si>
  <si>
    <t>Cous Cous</t>
  </si>
  <si>
    <t>Cracked Black Pepper</t>
  </si>
  <si>
    <t>Cream Cheese</t>
  </si>
  <si>
    <t>Crushed Garlic</t>
  </si>
  <si>
    <t>Crushed Ginger</t>
  </si>
  <si>
    <t>Cucumber</t>
  </si>
  <si>
    <t>Cumin</t>
  </si>
  <si>
    <t>Curry Powder</t>
  </si>
  <si>
    <t>Curry Powder Small</t>
  </si>
  <si>
    <t>Devil Bites</t>
  </si>
  <si>
    <t>Dianne Sauce</t>
  </si>
  <si>
    <t>Diced Bacon</t>
  </si>
  <si>
    <t>Diced Beef</t>
  </si>
  <si>
    <t>Diced Lamb</t>
  </si>
  <si>
    <t>Diced Pork</t>
  </si>
  <si>
    <t>Dijon Mustard</t>
  </si>
  <si>
    <t>Dried Fruits And Nut Mix</t>
  </si>
  <si>
    <t>Dumpling Wrappers</t>
  </si>
  <si>
    <t>Eggs</t>
  </si>
  <si>
    <t>Eye Fillet 200Gm</t>
  </si>
  <si>
    <t>Falafel Mini</t>
  </si>
  <si>
    <t>Feta</t>
  </si>
  <si>
    <t>Flathead Tail</t>
  </si>
  <si>
    <t>Frozen Peas</t>
  </si>
  <si>
    <t>Fruit Puffs</t>
  </si>
  <si>
    <t>Garlic</t>
  </si>
  <si>
    <t>Garlic Bread</t>
  </si>
  <si>
    <t>Garlic Flatbread</t>
  </si>
  <si>
    <t>Garlic Flatbread Oval</t>
  </si>
  <si>
    <t>Garlic Powder</t>
  </si>
  <si>
    <t>Garnish</t>
  </si>
  <si>
    <t>Gelatine</t>
  </si>
  <si>
    <t>Ginger Fresh</t>
  </si>
  <si>
    <t>Gluten Free Bread</t>
  </si>
  <si>
    <t>Gluten Freee Gravy</t>
  </si>
  <si>
    <t>Gn Original</t>
  </si>
  <si>
    <t>Goats Cheese</t>
  </si>
  <si>
    <t>Grapes Green</t>
  </si>
  <si>
    <t>Greek Salad Dressing</t>
  </si>
  <si>
    <t>Greek Yoghurt</t>
  </si>
  <si>
    <t>Hoisin Sauce</t>
  </si>
  <si>
    <t>Hoki</t>
  </si>
  <si>
    <t>Honey</t>
  </si>
  <si>
    <t>Hot English Mustard</t>
  </si>
  <si>
    <t>Jalapenos</t>
  </si>
  <si>
    <t>Jus Powder</t>
  </si>
  <si>
    <t>Kalamata Olives</t>
  </si>
  <si>
    <t>Kewpie</t>
  </si>
  <si>
    <t>Kids Burger Bun</t>
  </si>
  <si>
    <t>Kids Burger Patties</t>
  </si>
  <si>
    <t>Kids Ice Cream</t>
  </si>
  <si>
    <t>Kiwi</t>
  </si>
  <si>
    <t>Lamb Cutlet</t>
  </si>
  <si>
    <t>Lamb Shoulder Boned</t>
  </si>
  <si>
    <t>Lavosh</t>
  </si>
  <si>
    <t>Lemon</t>
  </si>
  <si>
    <t>Lemon Grass</t>
  </si>
  <si>
    <t>Lemon Juice</t>
  </si>
  <si>
    <t>Lemon Pepper</t>
  </si>
  <si>
    <t>Lime</t>
  </si>
  <si>
    <t>Linguini</t>
  </si>
  <si>
    <t>Malt Biscuits</t>
  </si>
  <si>
    <t>Mango</t>
  </si>
  <si>
    <t>Maple Syrup</t>
  </si>
  <si>
    <t>Margarine</t>
  </si>
  <si>
    <t>Mayonaise</t>
  </si>
  <si>
    <t>Melon Water</t>
  </si>
  <si>
    <t>Mesclun</t>
  </si>
  <si>
    <t>Milk</t>
  </si>
  <si>
    <t>Milo</t>
  </si>
  <si>
    <t>Mince Beef</t>
  </si>
  <si>
    <t>Mince Pork</t>
  </si>
  <si>
    <t>Mint</t>
  </si>
  <si>
    <t>Mirin</t>
  </si>
  <si>
    <t>Mixed Berries</t>
  </si>
  <si>
    <t>Mixed Herbs</t>
  </si>
  <si>
    <t>Mojo Sauce</t>
  </si>
  <si>
    <t>Moroccan Seasoning</t>
  </si>
  <si>
    <t>Mushroom Sauce</t>
  </si>
  <si>
    <t>Mushrooms Button</t>
  </si>
  <si>
    <t>Mussels Green</t>
  </si>
  <si>
    <t>Oats</t>
  </si>
  <si>
    <t>Olive Oil</t>
  </si>
  <si>
    <t>Olives Green</t>
  </si>
  <si>
    <t>Onion Brown</t>
  </si>
  <si>
    <t>Onion Powder</t>
  </si>
  <si>
    <t>Onion Red</t>
  </si>
  <si>
    <t>Oranges</t>
  </si>
  <si>
    <t>Oregano</t>
  </si>
  <si>
    <t>Oysters</t>
  </si>
  <si>
    <t>Pak Choy</t>
  </si>
  <si>
    <t>Panko Bread Crumbs</t>
  </si>
  <si>
    <t>Parmi Sauce</t>
  </si>
  <si>
    <t>Parsley</t>
  </si>
  <si>
    <t>Party Pies</t>
  </si>
  <si>
    <t>Passion Fruit Pulp</t>
  </si>
  <si>
    <t>Passion Fruit Sauce</t>
  </si>
  <si>
    <t>Passionfruit Curd</t>
  </si>
  <si>
    <t>Pavlova</t>
  </si>
  <si>
    <t>Peppercorn Sauce</t>
  </si>
  <si>
    <t>Pickles</t>
  </si>
  <si>
    <t>Pie Bottom&amp;Top</t>
  </si>
  <si>
    <t>Pineapple Slices</t>
  </si>
  <si>
    <t>Pineapples</t>
  </si>
  <si>
    <t>Pizza Base 10 Classic</t>
  </si>
  <si>
    <t>Plain Flour</t>
  </si>
  <si>
    <t>Ponzu Sauce</t>
  </si>
  <si>
    <t>Pork Belly Boneless</t>
  </si>
  <si>
    <t>Pork Dumpling</t>
  </si>
  <si>
    <t>Pork Hocks</t>
  </si>
  <si>
    <t>Pork Knuckle</t>
  </si>
  <si>
    <t>Pork Leg</t>
  </si>
  <si>
    <t>Pork Ribs</t>
  </si>
  <si>
    <t>Potato Mashed</t>
  </si>
  <si>
    <t>Potato Starch</t>
  </si>
  <si>
    <t>Potatoes Chat White</t>
  </si>
  <si>
    <t>Potatoes Large</t>
  </si>
  <si>
    <t>Prawn Cutlet</t>
  </si>
  <si>
    <t>Prawn Twisters</t>
  </si>
  <si>
    <t>Prawns Tiger</t>
  </si>
  <si>
    <t>Proscuito</t>
  </si>
  <si>
    <t>Puff Pastry</t>
  </si>
  <si>
    <t>Pumpkin Japanese</t>
  </si>
  <si>
    <t>Quiche</t>
  </si>
  <si>
    <t>Quince Paste</t>
  </si>
  <si>
    <t>Quinoa</t>
  </si>
  <si>
    <t>Raisins</t>
  </si>
  <si>
    <t>Red Wine</t>
  </si>
  <si>
    <t>Red Wine Vinegar</t>
  </si>
  <si>
    <t>Rib Fillet 150Gm</t>
  </si>
  <si>
    <t>Rib Fillet 300Gm</t>
  </si>
  <si>
    <t>Rice Arborio</t>
  </si>
  <si>
    <t>Rice Wine Vinegar</t>
  </si>
  <si>
    <t>Rindless Bacon Middle</t>
  </si>
  <si>
    <t>Rock Salt</t>
  </si>
  <si>
    <t>Rocket</t>
  </si>
  <si>
    <t>Rockmelon</t>
  </si>
  <si>
    <t>Roo Mince</t>
  </si>
  <si>
    <t>Rosemary</t>
  </si>
  <si>
    <t>Rump 250Gm Steak</t>
  </si>
  <si>
    <t>Rump 400Gm Steak</t>
  </si>
  <si>
    <t>Salad Mix</t>
  </si>
  <si>
    <t>Salami</t>
  </si>
  <si>
    <t>Salmon Portion Skin On</t>
  </si>
  <si>
    <t>Salt</t>
  </si>
  <si>
    <t>Samosa</t>
  </si>
  <si>
    <t>Sauerkraut</t>
  </si>
  <si>
    <t>Sausage Pork</t>
  </si>
  <si>
    <t>Sausage Roll</t>
  </si>
  <si>
    <t>Seeded Mustard</t>
  </si>
  <si>
    <t>Self Raising Flour</t>
  </si>
  <si>
    <t>Sesame Oil</t>
  </si>
  <si>
    <t>Sesame Seeds</t>
  </si>
  <si>
    <t>Shallots</t>
  </si>
  <si>
    <t>Shaved Parmesan</t>
  </si>
  <si>
    <t>Shredded Mozzarella</t>
  </si>
  <si>
    <t>Shredded Parmesan</t>
  </si>
  <si>
    <t>Shredded Tasty Cheese</t>
  </si>
  <si>
    <t>Skewers</t>
  </si>
  <si>
    <t>Sliced Cheese</t>
  </si>
  <si>
    <t>Sliced Ham</t>
  </si>
  <si>
    <t>Smokey Bbq Sauce</t>
  </si>
  <si>
    <t>Snowpeas</t>
  </si>
  <si>
    <t>Sour Cream</t>
  </si>
  <si>
    <t>Sourdough Sliced</t>
  </si>
  <si>
    <t>Soy Sauce</t>
  </si>
  <si>
    <t>Spaghetti</t>
  </si>
  <si>
    <t>Spinach</t>
  </si>
  <si>
    <t>Spring Roll</t>
  </si>
  <si>
    <t>Squid Fillet</t>
  </si>
  <si>
    <t>Sriracha</t>
  </si>
  <si>
    <t>Star Anis</t>
  </si>
  <si>
    <t>Steamed Veg</t>
  </si>
  <si>
    <t>Sticky Date Pudding</t>
  </si>
  <si>
    <t>Strawberries</t>
  </si>
  <si>
    <t>Strawberry Frozen</t>
  </si>
  <si>
    <t>Strawberry Topping</t>
  </si>
  <si>
    <t>Stuffed Capsicum</t>
  </si>
  <si>
    <t>Sumac</t>
  </si>
  <si>
    <t>Sundried Tomatoes</t>
  </si>
  <si>
    <t>Sweet Chilli Sauce</t>
  </si>
  <si>
    <t>Sweet Paprika Powder</t>
  </si>
  <si>
    <t>Sweet Potato</t>
  </si>
  <si>
    <t>Table Salt</t>
  </si>
  <si>
    <t>Tartare</t>
  </si>
  <si>
    <t>Tartare Sauce</t>
  </si>
  <si>
    <t>Tempura Prawns</t>
  </si>
  <si>
    <t>Tempura Scallops</t>
  </si>
  <si>
    <t>Thick Cut Bread</t>
  </si>
  <si>
    <t>Thyme</t>
  </si>
  <si>
    <t>Tomato</t>
  </si>
  <si>
    <t>Tomato Juice</t>
  </si>
  <si>
    <t>Tomato Pesto</t>
  </si>
  <si>
    <t>Tomato Sauce</t>
  </si>
  <si>
    <t>Tortilla Wrap Small</t>
  </si>
  <si>
    <t>Truffel Paste</t>
  </si>
  <si>
    <t>Turkish Roll</t>
  </si>
  <si>
    <t>Tzaziki</t>
  </si>
  <si>
    <t>Unsalted Butter</t>
  </si>
  <si>
    <t>Vanilla Ice Cream</t>
  </si>
  <si>
    <t>Vanilla Paste</t>
  </si>
  <si>
    <t>Vegan Burger Patty</t>
  </si>
  <si>
    <t>Vegemite</t>
  </si>
  <si>
    <t>Vegetable Oil</t>
  </si>
  <si>
    <t>Vegetable Stock Powder</t>
  </si>
  <si>
    <t>Water Cracker</t>
  </si>
  <si>
    <t>Wedges</t>
  </si>
  <si>
    <t>Whipped Cream</t>
  </si>
  <si>
    <t>White Vinegar</t>
  </si>
  <si>
    <t>Wholemeal Flour</t>
  </si>
  <si>
    <t>Wine White</t>
  </si>
  <si>
    <t>Worcestershire Sauce</t>
  </si>
  <si>
    <t>Zucchini</t>
  </si>
  <si>
    <t>Octopus</t>
  </si>
  <si>
    <t>Thai Basil</t>
  </si>
  <si>
    <t>Mahi Mahi</t>
  </si>
  <si>
    <t>Asparagus</t>
  </si>
  <si>
    <t>Coconut Milk</t>
  </si>
  <si>
    <t>Beef Short Ribs</t>
  </si>
  <si>
    <t>Baby Carrot</t>
  </si>
  <si>
    <t>Brown Sugar</t>
  </si>
  <si>
    <t>Raspberry Sorbet</t>
  </si>
  <si>
    <t>Beef Skewers</t>
  </si>
  <si>
    <t>Pork Skewers</t>
  </si>
  <si>
    <t>Chicken Skewers</t>
  </si>
  <si>
    <t>Lamb Skewers</t>
  </si>
  <si>
    <t>Snapper Goldband</t>
  </si>
  <si>
    <t>Fish Sauce</t>
  </si>
  <si>
    <t>Peanut Crushed</t>
  </si>
  <si>
    <t>Beef Brisket</t>
  </si>
  <si>
    <t>Guinnes</t>
  </si>
  <si>
    <t>Baking Powder</t>
  </si>
  <si>
    <t>Cranberries Dried</t>
  </si>
  <si>
    <t>Butter Portion</t>
  </si>
  <si>
    <t>Gruyere</t>
  </si>
  <si>
    <t>Vinaigrette</t>
  </si>
  <si>
    <t>Lamb Chops</t>
  </si>
  <si>
    <t>Black Garlic</t>
  </si>
  <si>
    <t>Cous Cous Pearl</t>
  </si>
  <si>
    <t>Saffron</t>
  </si>
  <si>
    <t>Currants</t>
  </si>
  <si>
    <t>Yeast</t>
  </si>
  <si>
    <t>Apricot Jam</t>
  </si>
  <si>
    <t>Water</t>
  </si>
  <si>
    <t>Apricot In Juice</t>
  </si>
  <si>
    <t>Parsnips</t>
  </si>
  <si>
    <t>Tomahawk Steak</t>
  </si>
  <si>
    <t>New York On The Bone 300 Steak</t>
  </si>
  <si>
    <t>New York On The Bone 350 Steak</t>
  </si>
  <si>
    <t xml:space="preserve">Cocoa Powder </t>
  </si>
  <si>
    <t>King Prawns U10</t>
  </si>
  <si>
    <t>Whiting Skin On</t>
  </si>
  <si>
    <t>Soba Noodles</t>
  </si>
  <si>
    <t>Miso Paste</t>
  </si>
  <si>
    <t>Snapper Goldband Fresh</t>
  </si>
  <si>
    <t>Bush Spice</t>
  </si>
  <si>
    <t>Bao Bun 40Gm</t>
  </si>
  <si>
    <t>Oyster Sauce</t>
  </si>
  <si>
    <t>Pork Tenderloin</t>
  </si>
  <si>
    <t>Hoisin</t>
  </si>
  <si>
    <t>Sweet Soy Sauce</t>
  </si>
  <si>
    <t>Fennel Seeds</t>
  </si>
  <si>
    <t>Chinese Five Spice</t>
  </si>
  <si>
    <t>Pickled Carrot</t>
  </si>
  <si>
    <t>Pickled Cucumber</t>
  </si>
  <si>
    <t>Chilli Green</t>
  </si>
  <si>
    <t>Pickled Chillis</t>
  </si>
  <si>
    <t>Spicy Hoisin</t>
  </si>
  <si>
    <t>Soy Milk</t>
  </si>
  <si>
    <t>Apple Cider Vinegar</t>
  </si>
  <si>
    <t>Cayenne Pepper</t>
  </si>
  <si>
    <t>Bamboo Shoots</t>
  </si>
  <si>
    <t>Wombok</t>
  </si>
  <si>
    <t>Szechuan</t>
  </si>
  <si>
    <t>Walnuts</t>
  </si>
  <si>
    <t>Tomato Paste</t>
  </si>
  <si>
    <t>Molasse Pomegranade</t>
  </si>
  <si>
    <t>Dukkah</t>
  </si>
  <si>
    <t>Muhammarah</t>
  </si>
  <si>
    <t>Tabasco</t>
  </si>
  <si>
    <t>Apples Red</t>
  </si>
  <si>
    <t>Almonds</t>
  </si>
  <si>
    <t>Green Tea</t>
  </si>
  <si>
    <t>Apple Cider Vinnaigrette</t>
  </si>
  <si>
    <t>Butternut</t>
  </si>
  <si>
    <t>Pecan Nuts</t>
  </si>
  <si>
    <t>Pommegranade Vinnaigrette</t>
  </si>
  <si>
    <t>Butternut Seasoned</t>
  </si>
  <si>
    <t>Damper Roll</t>
  </si>
  <si>
    <t>Beetroot Relish</t>
  </si>
  <si>
    <t>Caramalized Onions</t>
  </si>
  <si>
    <t>Cumin Seeds</t>
  </si>
  <si>
    <t>Coriander Ground</t>
  </si>
  <si>
    <t>Harissa Mayo</t>
  </si>
  <si>
    <t>Emperor Skinless</t>
  </si>
  <si>
    <t>Humpty Doo Barra</t>
  </si>
  <si>
    <t>Tumeric</t>
  </si>
  <si>
    <t>Garam Masala</t>
  </si>
  <si>
    <t>Curry Paste Yellow</t>
  </si>
  <si>
    <t>Barra Curry</t>
  </si>
  <si>
    <t>400 Rib Eye Steak</t>
  </si>
  <si>
    <t>350 Rib Eye Steak</t>
  </si>
  <si>
    <t>500 Rump Steak</t>
  </si>
  <si>
    <t>500 Tbone Steak</t>
  </si>
  <si>
    <t>1000 Rump Steak</t>
  </si>
  <si>
    <t>Wings Tip Off</t>
  </si>
  <si>
    <t xml:space="preserve"> B&amp;E</t>
  </si>
  <si>
    <t>Enoki</t>
  </si>
  <si>
    <t>Shitake</t>
  </si>
  <si>
    <t>Pepitas</t>
  </si>
  <si>
    <t>Nutmeg</t>
  </si>
  <si>
    <t xml:space="preserve">Brioche Tip Top </t>
  </si>
  <si>
    <t>Beef Rissoles</t>
  </si>
  <si>
    <t>Steer Rump Steak</t>
  </si>
  <si>
    <t>Black Angus Rib Fillet Steak</t>
  </si>
  <si>
    <t>Yg Rib Fillet Steak</t>
  </si>
  <si>
    <t>Sirloin Steak</t>
  </si>
  <si>
    <t>Eye Fillet Gras Fed Steak</t>
  </si>
  <si>
    <t>Beef Mince</t>
  </si>
  <si>
    <t>Pork Collar (Boneless Rindless)</t>
  </si>
  <si>
    <t>Pork Shoulder</t>
  </si>
  <si>
    <t>Boneless/Whole Pork Shoulder</t>
  </si>
  <si>
    <t>Pork Mince</t>
  </si>
  <si>
    <t>Lamb Legs</t>
  </si>
  <si>
    <t>Bone Less Lamb Legs</t>
  </si>
  <si>
    <t>Beef Schnitzels</t>
  </si>
  <si>
    <t>Chicken Schnitzel</t>
  </si>
  <si>
    <t>Ham Whole</t>
  </si>
  <si>
    <t>Bacon</t>
  </si>
  <si>
    <t>Budget Bacon</t>
  </si>
  <si>
    <t>Wing Pieces</t>
  </si>
  <si>
    <t>Lime Powder</t>
  </si>
  <si>
    <t>Chilli Powder</t>
  </si>
  <si>
    <t>Mushroom Enoki</t>
  </si>
  <si>
    <t>Mushroom Oyster</t>
  </si>
  <si>
    <t>Mushroom Shitake</t>
  </si>
  <si>
    <t>Sirloin Steak 350 Pack Of 4</t>
  </si>
  <si>
    <t>Squash</t>
  </si>
  <si>
    <t>Hollandaise</t>
  </si>
  <si>
    <t>Hokkien</t>
  </si>
  <si>
    <t>Pizza Flour</t>
  </si>
  <si>
    <t>Semolina</t>
  </si>
  <si>
    <t>Grissini Sticks</t>
  </si>
  <si>
    <t>Brie</t>
  </si>
  <si>
    <t>Strawberry Chutney</t>
  </si>
  <si>
    <t>450 Nolan Private</t>
  </si>
  <si>
    <t>Green Beans</t>
  </si>
  <si>
    <t>Besan Flour</t>
  </si>
  <si>
    <t>Apple Sauce</t>
  </si>
  <si>
    <t>Maple Bacon Sauce</t>
  </si>
  <si>
    <t>Vegan Kewpie</t>
  </si>
  <si>
    <t>Rice Flour</t>
  </si>
  <si>
    <t>Thai Chilli Sauce</t>
  </si>
  <si>
    <t>White Pepper</t>
  </si>
  <si>
    <t>Salmon Skin Off</t>
  </si>
  <si>
    <t>Cos Duett</t>
  </si>
  <si>
    <t>Radish</t>
  </si>
  <si>
    <t>Watercress</t>
  </si>
  <si>
    <t>Coral Red Lettuce</t>
  </si>
  <si>
    <t>Chickpeas</t>
  </si>
  <si>
    <t>Haloumi</t>
  </si>
  <si>
    <t>Flowers Edible</t>
  </si>
  <si>
    <t>Vermicelli</t>
  </si>
  <si>
    <t>Peanut Butter</t>
  </si>
  <si>
    <t>Roasted Pepper</t>
  </si>
  <si>
    <t>Bourbon</t>
  </si>
  <si>
    <t>Coffee Black</t>
  </si>
  <si>
    <t>Bacon Jam</t>
  </si>
  <si>
    <t>Fried Shallots Gf</t>
  </si>
  <si>
    <t>Chipotle Bbq Sauce</t>
  </si>
  <si>
    <t>Black Beans</t>
  </si>
  <si>
    <t>Cashew Nuts</t>
  </si>
  <si>
    <t>Almond Meal</t>
  </si>
  <si>
    <t>Mushroom Bean Patty</t>
  </si>
  <si>
    <t>Chipotle In Adobo</t>
  </si>
  <si>
    <t>Crushed Tomatoes</t>
  </si>
  <si>
    <t>Corn Kernels</t>
  </si>
  <si>
    <t>Snapper Tropical Skinless</t>
  </si>
  <si>
    <t>Rice Noodles</t>
  </si>
  <si>
    <t>Spatchcock</t>
  </si>
  <si>
    <t>Pearl Barley</t>
  </si>
  <si>
    <t>Leek</t>
  </si>
  <si>
    <t>Furikake</t>
  </si>
  <si>
    <t>Pickled Cabbage</t>
  </si>
  <si>
    <t>Katsu Curry</t>
  </si>
  <si>
    <t>Rump 200Gm</t>
  </si>
  <si>
    <t>Beef Katsu (Crumbed Steak)</t>
  </si>
  <si>
    <t>Crab Meat</t>
  </si>
  <si>
    <t>Lasagna Sheets</t>
  </si>
  <si>
    <t>Fish Stock</t>
  </si>
  <si>
    <t>Lemon Myrtle</t>
  </si>
  <si>
    <t>Rigatoni</t>
  </si>
  <si>
    <t>Butternut Pumkin</t>
  </si>
  <si>
    <t>Macadamia</t>
  </si>
  <si>
    <t>Micro Herbs</t>
  </si>
  <si>
    <t>Side Salad</t>
  </si>
  <si>
    <t>Sirloin 300</t>
  </si>
  <si>
    <t>smokey tomato relish</t>
  </si>
  <si>
    <t>potato Buns</t>
  </si>
  <si>
    <t>Pistachio Kernels</t>
  </si>
  <si>
    <t>Dish Name:</t>
  </si>
  <si>
    <t>Double Cheese Burger</t>
  </si>
  <si>
    <t>Price + GST</t>
  </si>
  <si>
    <t>COGS $</t>
  </si>
  <si>
    <t>COGS %</t>
  </si>
  <si>
    <t>GP $</t>
  </si>
  <si>
    <t>GP %</t>
  </si>
  <si>
    <t>INGREDIENTS</t>
  </si>
  <si>
    <t>QUANTITY</t>
  </si>
  <si>
    <t>UOM</t>
  </si>
  <si>
    <t>COST PER UOM</t>
  </si>
  <si>
    <t>INGREDIENT COST</t>
  </si>
  <si>
    <t>Method:</t>
  </si>
  <si>
    <t>Portions</t>
  </si>
  <si>
    <t>TOTAL</t>
  </si>
  <si>
    <t>Target GP</t>
  </si>
  <si>
    <t>Sell Price Ex GST</t>
  </si>
  <si>
    <t>Sell Price Incl GST</t>
  </si>
  <si>
    <t>Recomm. Sell Price + GST</t>
  </si>
  <si>
    <t>COGS per Portion</t>
  </si>
  <si>
    <t>Gross Profit</t>
  </si>
  <si>
    <t>Hot Dog</t>
  </si>
  <si>
    <t>Steak and Chips</t>
  </si>
  <si>
    <t>Chicken Parmy</t>
  </si>
  <si>
    <t>Chefs Burger</t>
  </si>
  <si>
    <t>Pizza Hawaii</t>
  </si>
  <si>
    <t>Arrancini</t>
  </si>
  <si>
    <t>Dumplings</t>
  </si>
  <si>
    <t>Spring Rolls</t>
  </si>
  <si>
    <t>Mo Mos</t>
  </si>
  <si>
    <t>Chicken Burger</t>
  </si>
  <si>
    <t>Steak Sandwich</t>
  </si>
  <si>
    <t>Dish</t>
  </si>
  <si>
    <t>Number Sold</t>
  </si>
  <si>
    <t>Popularity</t>
  </si>
  <si>
    <t>Item Food Cost</t>
  </si>
  <si>
    <t>Total Sales Inc. GST</t>
  </si>
  <si>
    <t>Item Sale Price</t>
  </si>
  <si>
    <t>Item Gross Profit excl. GST</t>
  </si>
  <si>
    <t>Total Cost</t>
  </si>
  <si>
    <t>Total Revenue     ex GST</t>
  </si>
  <si>
    <t>Total Profit ex GST</t>
  </si>
  <si>
    <t>Profit Cat</t>
  </si>
  <si>
    <t>Popularity Cat</t>
  </si>
  <si>
    <t>Menu Item Class</t>
  </si>
  <si>
    <t>High</t>
  </si>
  <si>
    <t>Chef's Kiss</t>
  </si>
  <si>
    <t>Low</t>
  </si>
  <si>
    <t>Bargain Bucket</t>
  </si>
  <si>
    <t>Burnt Toast</t>
  </si>
  <si>
    <t>Hidden Gem</t>
  </si>
  <si>
    <t>Ave GP</t>
  </si>
  <si>
    <t>Chefs Kiss</t>
  </si>
  <si>
    <t>Bargain Buckets</t>
  </si>
  <si>
    <t>Profit Margin</t>
  </si>
  <si>
    <t>Food Cost %</t>
  </si>
  <si>
    <t>Ave Item Profit</t>
  </si>
  <si>
    <t>Ave Sale Price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</si>
</sst>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quot;$&quot;* #,##0.000_-;\-&quot;$&quot;* #,##0.000_-;_-&quot;$&quot;* &quot;-&quot;??.0_-;_-@"/>
    <numFmt numFmtId="165" formatCode="_(&quot;$&quot;* #,##0.00_);_(&quot;$&quot;* \(#,##0.00\);_(&quot;$&quot;* &quot;-&quot;??_);_(@_)"/>
    <numFmt numFmtId="166" formatCode="&quot;$&quot;#,##0.00_);[Red]\(&quot;$&quot;#,##0.00\)"/>
    <numFmt numFmtId="167" formatCode="_-&quot;$&quot;* #,##0.00_-;\-&quot;$&quot;* #,##0.00_-;_-&quot;$&quot;* &quot;-&quot;??_-;_-@"/>
    <numFmt numFmtId="168" formatCode="0.000"/>
    <numFmt numFmtId="169" formatCode="#,##0.00_ ;\-#,##0.00\ "/>
    <numFmt numFmtId="170" formatCode="_-&quot;$&quot;* #,##0.000_-;\-&quot;$&quot;* #,##0.000_-;_-&quot;$&quot;* &quot;-&quot;??_-;_-@"/>
    <numFmt numFmtId="171" formatCode="&quot;$&quot;#,##0.00"/>
  </numFmts>
  <fonts count="63">
    <font>
      <sz val="10.0"/>
      <color rgb="FF000000"/>
      <name val="Arial"/>
      <scheme val="minor"/>
    </font>
    <font>
      <color theme="1"/>
      <name val="Arial"/>
      <scheme val="minor"/>
    </font>
    <font>
      <b/>
      <sz val="18.0"/>
      <color theme="1"/>
      <name val="Varela Round"/>
    </font>
    <font>
      <b/>
      <u/>
      <sz val="12.0"/>
      <color rgb="FF674EA7"/>
      <name val="Varela Round"/>
    </font>
    <font>
      <b/>
      <sz val="12.0"/>
      <color theme="1"/>
      <name val="Varela Round"/>
    </font>
    <font>
      <b/>
      <u/>
      <sz val="14.0"/>
      <color rgb="FF674EA7"/>
      <name val="Varela Round"/>
    </font>
    <font>
      <b/>
      <u/>
      <sz val="14.0"/>
      <color rgb="FF0000FF"/>
      <name val="Varela Round"/>
    </font>
    <font>
      <b/>
      <u/>
      <sz val="12.0"/>
      <color rgb="FF0000FF"/>
      <name val="Varela Round"/>
    </font>
    <font>
      <b/>
      <sz val="27.0"/>
      <color rgb="FF000000"/>
      <name val="Varela Round"/>
    </font>
    <font>
      <sz val="10.0"/>
      <color theme="1"/>
      <name val="Varela Round"/>
    </font>
    <font>
      <b/>
      <sz val="27.0"/>
      <color rgb="FFD9D9D9"/>
      <name val="Varela Round"/>
    </font>
    <font/>
    <font>
      <sz val="12.0"/>
      <color rgb="FF434343"/>
      <name val="Varela Round"/>
    </font>
    <font>
      <sz val="12.0"/>
      <color rgb="FFD9D9D9"/>
      <name val="Varela Round"/>
    </font>
    <font>
      <b/>
      <i/>
      <sz val="14.0"/>
      <color rgb="FF434343"/>
      <name val="Varela Round"/>
    </font>
    <font>
      <b/>
      <sz val="11.0"/>
      <color rgb="FF434343"/>
      <name val="&quot;Noto Sans&quot;"/>
    </font>
    <font>
      <b/>
      <i/>
      <sz val="12.0"/>
      <color rgb="FF434343"/>
      <name val="Varela Round"/>
    </font>
    <font>
      <b/>
      <i/>
      <sz val="10.0"/>
      <color rgb="FF434343"/>
      <name val="Varela Round"/>
    </font>
    <font>
      <sz val="10.0"/>
      <color rgb="FF434343"/>
      <name val="Varela Round"/>
    </font>
    <font>
      <sz val="13.0"/>
      <color theme="1"/>
      <name val="Varela Round"/>
    </font>
    <font>
      <b/>
      <sz val="14.0"/>
      <color rgb="FFD9D9D9"/>
      <name val="Varela Round"/>
    </font>
    <font>
      <color theme="1"/>
      <name val="Varela Round"/>
    </font>
    <font>
      <sz val="12.0"/>
      <color theme="1"/>
      <name val="Varela Round"/>
    </font>
    <font>
      <b/>
      <i/>
      <sz val="12.0"/>
      <color theme="1"/>
      <name val="Varela Round"/>
    </font>
    <font>
      <b/>
      <sz val="28.0"/>
      <color rgb="FFF3F3F3"/>
      <name val="Varela Round"/>
    </font>
    <font>
      <b/>
      <sz val="28.0"/>
      <color rgb="FFD9D9D9"/>
      <name val="Varela Round"/>
    </font>
    <font>
      <b/>
      <sz val="10.0"/>
      <color rgb="FFFFFFFF"/>
      <name val="Varela Round"/>
    </font>
    <font>
      <b/>
      <sz val="10.0"/>
      <color rgb="FFD9D9D9"/>
      <name val="Varela Round"/>
    </font>
    <font>
      <b/>
      <sz val="10.0"/>
      <color theme="1"/>
      <name val="Varela Round"/>
    </font>
    <font>
      <color rgb="FF434343"/>
      <name val="Varela Round"/>
    </font>
    <font>
      <b/>
      <sz val="10.0"/>
      <color rgb="FF1F497D"/>
      <name val="Varela Round"/>
    </font>
    <font>
      <b/>
      <sz val="13.0"/>
      <color rgb="FFD9D9D9"/>
      <name val="Varela Round"/>
    </font>
    <font>
      <b/>
      <sz val="16.0"/>
      <color rgb="FFD9D9D9"/>
      <name val="Varela Round"/>
    </font>
    <font>
      <b/>
      <sz val="14.0"/>
      <color rgb="FF434343"/>
      <name val="Varela Round"/>
    </font>
    <font>
      <color theme="1"/>
      <name val="Arial"/>
    </font>
    <font>
      <b/>
      <sz val="12.0"/>
      <color rgb="FFD9D9D9"/>
      <name val="Varela Round"/>
    </font>
    <font>
      <b/>
      <color rgb="FFD9D9D9"/>
      <name val="Varela Round"/>
    </font>
    <font>
      <b/>
      <u/>
      <sz val="12.0"/>
      <color rgb="FF274E13"/>
      <name val="Varela Round"/>
    </font>
    <font>
      <b/>
      <u/>
      <sz val="12.0"/>
      <color rgb="FF274E13"/>
      <name val="Varela Round"/>
    </font>
    <font>
      <b/>
      <u/>
      <sz val="12.0"/>
      <color rgb="FF274E13"/>
      <name val="Varela Round"/>
    </font>
    <font>
      <b/>
      <u/>
      <sz val="12.0"/>
      <color rgb="FF274E13"/>
      <name val="Varela Round"/>
    </font>
    <font>
      <b/>
      <sz val="12.0"/>
      <color theme="1"/>
      <name val="Arial"/>
    </font>
    <font>
      <b/>
      <sz val="15.0"/>
      <color theme="1"/>
      <name val="Varela Round"/>
    </font>
    <font>
      <sz val="10.0"/>
      <color theme="1"/>
      <name val="Roboto"/>
    </font>
    <font>
      <b/>
      <color rgb="FF434343"/>
      <name val="Varela Round"/>
    </font>
    <font>
      <b/>
      <sz val="10.0"/>
      <color rgb="FF434343"/>
      <name val="Varela Round"/>
    </font>
    <font>
      <u/>
      <sz val="10.0"/>
      <color rgb="FF434343"/>
      <name val="Varela Round"/>
    </font>
    <font>
      <b/>
      <sz val="12.0"/>
      <color rgb="FF434343"/>
      <name val="Varela Round"/>
    </font>
    <font>
      <b/>
      <u/>
      <color rgb="FF434343"/>
      <name val="Varela Round"/>
    </font>
    <font>
      <b/>
      <u/>
      <color rgb="FF434343"/>
      <name val="Varela Round"/>
    </font>
    <font>
      <b/>
      <color theme="9"/>
      <name val="Varela Round"/>
    </font>
    <font>
      <b/>
      <u/>
      <sz val="12.0"/>
      <color rgb="FF434343"/>
      <name val="Varela Round"/>
    </font>
    <font>
      <sz val="11.0"/>
      <color rgb="FF434343"/>
      <name val="Varela Round"/>
    </font>
    <font>
      <b/>
      <u/>
      <sz val="11.0"/>
      <color rgb="FF434343"/>
      <name val="Varela Round"/>
    </font>
    <font>
      <b/>
      <u/>
      <sz val="11.0"/>
      <color rgb="FF434343"/>
      <name val="Varela Round"/>
    </font>
    <font>
      <b/>
      <sz val="11.0"/>
      <color theme="1"/>
      <name val="Varela Round"/>
    </font>
    <font>
      <sz val="13.0"/>
      <color rgb="FF434343"/>
      <name val="Varela Round"/>
    </font>
    <font>
      <b/>
      <sz val="13.0"/>
      <color rgb="FF434343"/>
      <name val="Varela Round"/>
    </font>
    <font>
      <sz val="24.0"/>
      <color theme="1"/>
      <name val="Varela Round"/>
    </font>
    <font>
      <b/>
      <sz val="20.0"/>
      <color rgb="FF434343"/>
      <name val="Varela Round"/>
    </font>
    <font>
      <b/>
      <sz val="22.0"/>
      <color theme="1"/>
      <name val="Varela Round"/>
    </font>
    <font>
      <b/>
      <color theme="1"/>
      <name val="Varela Round"/>
    </font>
    <font>
      <b/>
      <sz val="24.0"/>
      <color theme="1"/>
      <name val="Varela Round"/>
    </font>
  </fonts>
  <fills count="11">
    <fill>
      <patternFill patternType="none"/>
    </fill>
    <fill>
      <patternFill patternType="lightGray"/>
    </fill>
    <fill>
      <patternFill patternType="solid">
        <fgColor rgb="FFD9EAD3"/>
        <bgColor rgb="FFD9EAD3"/>
      </patternFill>
    </fill>
    <fill>
      <patternFill patternType="solid">
        <fgColor rgb="FF6AA84F"/>
        <bgColor rgb="FF6AA84F"/>
      </patternFill>
    </fill>
    <fill>
      <patternFill patternType="solid">
        <fgColor rgb="FF38761D"/>
        <bgColor rgb="FF38761D"/>
      </patternFill>
    </fill>
    <fill>
      <patternFill patternType="solid">
        <fgColor rgb="FFB6D7A8"/>
        <bgColor rgb="FFB6D7A8"/>
      </patternFill>
    </fill>
    <fill>
      <patternFill patternType="solid">
        <fgColor rgb="FFD9D2E9"/>
        <bgColor rgb="FFD9D2E9"/>
      </patternFill>
    </fill>
    <fill>
      <patternFill patternType="solid">
        <fgColor rgb="FFB4A7D6"/>
        <bgColor rgb="FFB4A7D6"/>
      </patternFill>
    </fill>
    <fill>
      <patternFill patternType="solid">
        <fgColor rgb="FFFFC7CE"/>
        <bgColor rgb="FFFFC7CE"/>
      </patternFill>
    </fill>
    <fill>
      <patternFill patternType="solid">
        <fgColor rgb="FFF9CB9C"/>
        <bgColor rgb="FFF9CB9C"/>
      </patternFill>
    </fill>
    <fill>
      <patternFill patternType="solid">
        <fgColor rgb="FFFFE6DD"/>
        <bgColor rgb="FFFFE6DD"/>
      </patternFill>
    </fill>
  </fills>
  <borders count="104">
    <border/>
    <border>
      <left style="double">
        <color rgb="FF000000"/>
      </left>
      <right style="double">
        <color rgb="FF000000"/>
      </right>
      <top style="double">
        <color rgb="FF000000"/>
      </top>
      <bottom style="double">
        <color rgb="FF000000"/>
      </bottom>
    </border>
    <border>
      <left style="double">
        <color rgb="FF000000"/>
      </left>
      <right style="double">
        <color rgb="FF000000"/>
      </right>
      <top style="double">
        <color rgb="FF000000"/>
      </top>
      <bottom style="dotted">
        <color rgb="FF000000"/>
      </bottom>
    </border>
    <border>
      <left style="double">
        <color rgb="FF000000"/>
      </left>
      <right style="double">
        <color rgb="FF000000"/>
      </right>
      <top style="dotted">
        <color rgb="FF000000"/>
      </top>
      <bottom style="dotted">
        <color rgb="FF000000"/>
      </bottom>
    </border>
    <border>
      <left style="double">
        <color rgb="FF000000"/>
      </left>
      <right style="double">
        <color rgb="FF000000"/>
      </right>
      <top style="dotted">
        <color rgb="FF000000"/>
      </top>
    </border>
    <border>
      <left style="double">
        <color rgb="FF000000"/>
      </left>
      <right style="double">
        <color rgb="FF000000"/>
      </right>
      <bottom style="dotted">
        <color rgb="FF000000"/>
      </bottom>
    </border>
    <border>
      <left style="double">
        <color rgb="FF000000"/>
      </left>
      <right style="double">
        <color rgb="FF000000"/>
      </right>
      <top style="dotted">
        <color rgb="FF000000"/>
      </top>
      <bottom style="double">
        <color rgb="FF000000"/>
      </bottom>
    </border>
    <border>
      <left style="thick">
        <color rgb="FFB7B7B7"/>
      </left>
      <top style="thick">
        <color rgb="FFB7B7B7"/>
      </top>
    </border>
    <border>
      <top style="thick">
        <color rgb="FFB7B7B7"/>
      </top>
    </border>
    <border>
      <right style="thick">
        <color rgb="FFB7B7B7"/>
      </right>
      <top style="thick">
        <color rgb="FFB7B7B7"/>
      </top>
    </border>
    <border>
      <bottom style="dotted">
        <color rgb="FF38761D"/>
      </bottom>
    </border>
    <border>
      <right style="medium">
        <color rgb="FF38761D"/>
      </right>
      <bottom style="dotted">
        <color rgb="FF38761D"/>
      </bottom>
    </border>
    <border>
      <left style="medium">
        <color rgb="FF38761D"/>
      </left>
      <bottom style="dotted">
        <color rgb="FF38761D"/>
      </bottom>
    </border>
    <border>
      <top style="dotted">
        <color rgb="FF38761D"/>
      </top>
      <bottom style="dotted">
        <color rgb="FF38761D"/>
      </bottom>
    </border>
    <border>
      <right style="medium">
        <color rgb="FF38761D"/>
      </right>
      <top style="dotted">
        <color rgb="FF38761D"/>
      </top>
      <bottom style="dotted">
        <color rgb="FF38761D"/>
      </bottom>
    </border>
    <border>
      <left style="medium">
        <color rgb="FF38761D"/>
      </left>
      <top style="dotted">
        <color rgb="FF38761D"/>
      </top>
      <bottom style="dotted">
        <color rgb="FF38761D"/>
      </bottom>
    </border>
    <border>
      <top style="dotted">
        <color rgb="FF38761D"/>
      </top>
    </border>
    <border>
      <right style="medium">
        <color rgb="FF38761D"/>
      </right>
      <top style="dotted">
        <color rgb="FF38761D"/>
      </top>
    </border>
    <border>
      <left style="medium">
        <color rgb="FF38761D"/>
      </left>
      <top style="dotted">
        <color rgb="FF38761D"/>
      </top>
    </border>
    <border>
      <left style="dotted">
        <color rgb="FF38761D"/>
      </left>
      <top style="dotted">
        <color rgb="FF38761D"/>
      </top>
    </border>
    <border>
      <right style="dotted">
        <color rgb="FF38761D"/>
      </right>
      <top style="dotted">
        <color rgb="FF38761D"/>
      </top>
    </border>
    <border>
      <left style="dotted">
        <color rgb="FF38761D"/>
      </left>
      <right style="dotted">
        <color rgb="FF274E13"/>
      </right>
    </border>
    <border>
      <left style="dotted">
        <color rgb="FF274E13"/>
      </left>
      <right style="dotted">
        <color rgb="FF274E13"/>
      </right>
    </border>
    <border>
      <left style="dotted">
        <color rgb="FF274E13"/>
      </left>
      <right style="dotted">
        <color rgb="FF38761D"/>
      </right>
    </border>
    <border>
      <left style="dotted">
        <color rgb="FF38761D"/>
      </left>
      <right style="dotted">
        <color rgb="FF274E13"/>
      </right>
      <bottom style="dotted">
        <color rgb="FF38761D"/>
      </bottom>
    </border>
    <border>
      <left style="dotted">
        <color rgb="FF274E13"/>
      </left>
      <right style="dotted">
        <color rgb="FF274E13"/>
      </right>
      <bottom style="dotted">
        <color rgb="FF38761D"/>
      </bottom>
    </border>
    <border>
      <left style="dotted">
        <color rgb="FF274E13"/>
      </left>
      <right style="dotted">
        <color rgb="FF38761D"/>
      </right>
      <bottom style="dotted">
        <color rgb="FF38761D"/>
      </bottom>
    </border>
    <border>
      <left style="dotted">
        <color rgb="FF38761D"/>
      </left>
      <right style="dotted">
        <color rgb="FF274E13"/>
      </right>
      <top style="dotted">
        <color rgb="FF38761D"/>
      </top>
      <bottom style="dotted">
        <color rgb="FF38761D"/>
      </bottom>
    </border>
    <border>
      <left style="dotted">
        <color rgb="FF274E13"/>
      </left>
      <right style="dotted">
        <color rgb="FF274E13"/>
      </right>
      <top style="dotted">
        <color rgb="FF38761D"/>
      </top>
      <bottom style="dotted">
        <color rgb="FF38761D"/>
      </bottom>
    </border>
    <border>
      <left style="dotted">
        <color rgb="FF274E13"/>
      </left>
      <right style="dotted">
        <color rgb="FF38761D"/>
      </right>
      <top style="dotted">
        <color rgb="FF38761D"/>
      </top>
      <bottom style="dotted">
        <color rgb="FF38761D"/>
      </bottom>
    </border>
    <border>
      <left style="dotted">
        <color rgb="FF45818E"/>
      </left>
      <top style="dotted">
        <color rgb="FF45818E"/>
      </top>
      <bottom style="dotted">
        <color rgb="FF45818E"/>
      </bottom>
    </border>
    <border>
      <top style="dotted">
        <color rgb="FF45818E"/>
      </top>
      <bottom style="dotted">
        <color rgb="FF45818E"/>
      </bottom>
    </border>
    <border>
      <right style="dotted">
        <color rgb="FF45818E"/>
      </right>
      <top style="dotted">
        <color rgb="FF45818E"/>
      </top>
      <bottom style="dotted">
        <color rgb="FF45818E"/>
      </bottom>
    </border>
    <border>
      <left style="dotted">
        <color rgb="FF45818E"/>
      </left>
      <top style="dotted">
        <color rgb="FF45818E"/>
      </top>
      <bottom style="double">
        <color rgb="FF38761D"/>
      </bottom>
    </border>
    <border>
      <top style="dotted">
        <color rgb="FF45818E"/>
      </top>
      <bottom style="double">
        <color rgb="FF38761D"/>
      </bottom>
    </border>
    <border>
      <right style="dotted">
        <color rgb="FF45818E"/>
      </right>
      <top style="dotted">
        <color rgb="FF45818E"/>
      </top>
      <bottom style="double">
        <color rgb="FF38761D"/>
      </bottom>
    </border>
    <border>
      <left style="dotted">
        <color rgb="FF45818E"/>
      </left>
      <bottom style="dotted">
        <color rgb="FF38761D"/>
      </bottom>
    </border>
    <border>
      <left style="medium">
        <color rgb="FF45818E"/>
      </left>
      <bottom style="dotted">
        <color rgb="FF38761D"/>
      </bottom>
    </border>
    <border>
      <right style="dotted">
        <color rgb="FF45818E"/>
      </right>
      <bottom style="dotted">
        <color rgb="FF38761D"/>
      </bottom>
    </border>
    <border>
      <left style="dotted">
        <color rgb="FF45818E"/>
      </left>
      <top style="dotted">
        <color rgb="FF38761D"/>
      </top>
      <bottom style="dotted">
        <color rgb="FF38761D"/>
      </bottom>
    </border>
    <border>
      <left style="medium">
        <color rgb="FF45818E"/>
      </left>
      <top style="dotted">
        <color rgb="FF38761D"/>
      </top>
      <bottom style="dotted">
        <color rgb="FF38761D"/>
      </bottom>
    </border>
    <border>
      <right style="dotted">
        <color rgb="FF45818E"/>
      </right>
      <top style="dotted">
        <color rgb="FF38761D"/>
      </top>
      <bottom style="dotted">
        <color rgb="FF38761D"/>
      </bottom>
    </border>
    <border>
      <left style="dotted">
        <color rgb="FF45818E"/>
      </left>
      <top style="dotted">
        <color rgb="FF38761D"/>
      </top>
    </border>
    <border>
      <left style="dotted">
        <color rgb="FF45818E"/>
      </left>
      <top style="dotted">
        <color rgb="FF38761D"/>
      </top>
      <bottom style="double">
        <color rgb="FF38761D"/>
      </bottom>
    </border>
    <border>
      <top style="dotted">
        <color rgb="FF38761D"/>
      </top>
      <bottom style="double">
        <color rgb="FF38761D"/>
      </bottom>
    </border>
    <border>
      <bottom style="double">
        <color rgb="FF38761D"/>
      </bottom>
    </border>
    <border>
      <left style="medium">
        <color rgb="FF45818E"/>
      </left>
      <top style="dotted">
        <color rgb="FF38761D"/>
      </top>
      <bottom style="double">
        <color rgb="FF38761D"/>
      </bottom>
    </border>
    <border>
      <right style="dotted">
        <color rgb="FF45818E"/>
      </right>
      <top style="dotted">
        <color rgb="FF38761D"/>
      </top>
      <bottom style="double">
        <color rgb="FF38761D"/>
      </bottom>
    </border>
    <border>
      <left style="dotted">
        <color rgb="FF274E13"/>
      </left>
      <top style="dotted">
        <color rgb="FF274E13"/>
      </top>
      <bottom style="dotted">
        <color rgb="FFD9EAD3"/>
      </bottom>
    </border>
    <border>
      <top style="dotted">
        <color rgb="FF274E13"/>
      </top>
      <bottom style="dotted">
        <color rgb="FFD9EAD3"/>
      </bottom>
    </border>
    <border>
      <right style="dotted">
        <color rgb="FF274E13"/>
      </right>
      <top style="dotted">
        <color rgb="FF274E13"/>
      </top>
      <bottom style="dotted">
        <color rgb="FFD9EAD3"/>
      </bottom>
    </border>
    <border>
      <top style="dotted">
        <color rgb="FF274E13"/>
      </top>
      <bottom style="dotted">
        <color rgb="FF38761D"/>
      </bottom>
    </border>
    <border>
      <right style="dotted">
        <color rgb="FF274E13"/>
      </right>
      <top style="dotted">
        <color rgb="FF274E13"/>
      </top>
      <bottom style="dotted">
        <color rgb="FF38761D"/>
      </bottom>
    </border>
    <border>
      <left style="dotted">
        <color rgb="FF274E13"/>
      </left>
      <top style="dotted">
        <color rgb="FFD9EAD3"/>
      </top>
    </border>
    <border>
      <top style="dotted">
        <color rgb="FFD9EAD3"/>
      </top>
    </border>
    <border>
      <right style="dotted">
        <color rgb="FF274E13"/>
      </right>
      <top style="dotted">
        <color rgb="FFD9EAD3"/>
      </top>
    </border>
    <border>
      <left style="dotted">
        <color rgb="FF274E13"/>
      </left>
      <top style="dotted">
        <color rgb="FFD9EAD3"/>
      </top>
      <bottom style="dotted">
        <color rgb="FF38761D"/>
      </bottom>
    </border>
    <border>
      <right style="dotted">
        <color rgb="FF274E13"/>
      </right>
      <top style="dotted">
        <color rgb="FF38761D"/>
      </top>
      <bottom style="double">
        <color rgb="FF38761D"/>
      </bottom>
    </border>
    <border>
      <left style="dotted">
        <color rgb="FF274E13"/>
      </left>
      <bottom style="dotted">
        <color rgb="FF38761D"/>
      </bottom>
    </border>
    <border>
      <right style="dotted">
        <color rgb="FF274E13"/>
      </right>
      <bottom style="dotted">
        <color rgb="FF38761D"/>
      </bottom>
    </border>
    <border>
      <left style="dotted">
        <color rgb="FF274E13"/>
      </left>
      <top style="dotted">
        <color rgb="FF38761D"/>
      </top>
      <bottom style="dotted">
        <color rgb="FF38761D"/>
      </bottom>
    </border>
    <border>
      <right style="dotted">
        <color rgb="FF274E13"/>
      </right>
      <top style="dotted">
        <color rgb="FF38761D"/>
      </top>
      <bottom style="dotted">
        <color rgb="FF38761D"/>
      </bottom>
    </border>
    <border>
      <left style="dotted">
        <color rgb="FF274E13"/>
      </left>
      <top style="dotted">
        <color rgb="FF38761D"/>
      </top>
    </border>
    <border>
      <right style="dotted">
        <color rgb="FF274E13"/>
      </right>
      <top style="dotted">
        <color rgb="FF38761D"/>
      </top>
    </border>
    <border>
      <left style="dotted">
        <color rgb="FF274E13"/>
      </left>
    </border>
    <border>
      <right style="dotted">
        <color rgb="FF274E13"/>
      </right>
    </border>
    <border>
      <left style="dotted">
        <color rgb="FF274E13"/>
      </left>
      <top style="dotted">
        <color rgb="FF38761D"/>
      </top>
      <bottom style="dotted">
        <color rgb="FF274E13"/>
      </bottom>
    </border>
    <border>
      <top style="dotted">
        <color rgb="FF38761D"/>
      </top>
      <bottom style="dotted">
        <color rgb="FF274E13"/>
      </bottom>
    </border>
    <border>
      <right style="dotted">
        <color rgb="FF274E13"/>
      </right>
      <top style="dotted">
        <color rgb="FF38761D"/>
      </top>
      <bottom style="dotted">
        <color rgb="FF274E13"/>
      </bottom>
    </border>
    <border>
      <left style="dotted">
        <color rgb="FF274E13"/>
      </left>
      <bottom style="dotted">
        <color rgb="FF274E13"/>
      </bottom>
    </border>
    <border>
      <bottom style="dotted">
        <color rgb="FF274E13"/>
      </bottom>
    </border>
    <border>
      <right style="dotted">
        <color rgb="FF274E13"/>
      </right>
      <bottom style="dotted">
        <color rgb="FF274E13"/>
      </bottom>
    </border>
    <border>
      <left style="thin">
        <color rgb="FF507E3B"/>
      </left>
      <right style="thin">
        <color rgb="FF6AA84F"/>
      </right>
      <top style="thin">
        <color rgb="FF507E3B"/>
      </top>
      <bottom style="thin">
        <color rgb="FF507E3B"/>
      </bottom>
    </border>
    <border>
      <left style="thick">
        <color rgb="FF38761D"/>
      </left>
      <right style="thick">
        <color rgb="FF38761D"/>
      </right>
      <top style="thick">
        <color rgb="FF38761D"/>
      </top>
      <bottom style="thin">
        <color rgb="FF507E3B"/>
      </bottom>
    </border>
    <border>
      <left style="thin">
        <color rgb="FF6AA84F"/>
      </left>
      <right style="dotted">
        <color rgb="FF38761D"/>
      </right>
      <top style="thin">
        <color rgb="FF507E3B"/>
      </top>
      <bottom style="thin">
        <color rgb="FF507E3B"/>
      </bottom>
    </border>
    <border>
      <left style="dotted">
        <color rgb="FF38761D"/>
      </left>
      <right style="dotted">
        <color rgb="FF38761D"/>
      </right>
      <top style="thin">
        <color rgb="FF507E3B"/>
      </top>
      <bottom style="thin">
        <color rgb="FF507E3B"/>
      </bottom>
    </border>
    <border>
      <left style="dotted">
        <color rgb="FF38761D"/>
      </left>
      <right style="thin">
        <color rgb="FF507E3B"/>
      </right>
      <top style="thin">
        <color rgb="FF507E3B"/>
      </top>
      <bottom style="thin">
        <color rgb="FF507E3B"/>
      </bottom>
    </border>
    <border>
      <left style="thin">
        <color rgb="FF507E3B"/>
      </left>
      <right style="thin">
        <color rgb="FF93C47D"/>
      </right>
      <top style="thin">
        <color rgb="FF93C47D"/>
      </top>
      <bottom style="thin">
        <color rgb="FF93C47D"/>
      </bottom>
    </border>
    <border>
      <left style="thick">
        <color rgb="FF38761D"/>
      </left>
      <right style="thick">
        <color rgb="FF38761D"/>
      </right>
      <top style="thin">
        <color rgb="FF93C47D"/>
      </top>
      <bottom style="thin">
        <color rgb="FF93C47D"/>
      </bottom>
    </border>
    <border>
      <left style="thin">
        <color rgb="FF93C47D"/>
      </left>
      <right style="dotted">
        <color rgb="FF38761D"/>
      </right>
      <top style="thin">
        <color rgb="FF93C47D"/>
      </top>
      <bottom style="thin">
        <color rgb="FF93C47D"/>
      </bottom>
    </border>
    <border>
      <left style="dotted">
        <color rgb="FF38761D"/>
      </left>
      <right style="dotted">
        <color rgb="FF38761D"/>
      </right>
      <top style="thin">
        <color rgb="FF93C47D"/>
      </top>
      <bottom style="thin">
        <color rgb="FF93C47D"/>
      </bottom>
    </border>
    <border>
      <left style="dotted">
        <color rgb="FF38761D"/>
      </left>
      <right style="thin">
        <color rgb="FF507E3B"/>
      </right>
      <top style="thin">
        <color rgb="FFB6D7A8"/>
      </top>
      <bottom style="thin">
        <color rgb="FFB6D7A8"/>
      </bottom>
    </border>
    <border>
      <left style="thin">
        <color rgb="FF507E3B"/>
      </left>
      <right style="thin">
        <color rgb="FFD9EAD3"/>
      </right>
      <top style="thin">
        <color rgb="FFD9EAD3"/>
      </top>
      <bottom style="thin">
        <color rgb="FFD9EAD3"/>
      </bottom>
    </border>
    <border>
      <left style="thick">
        <color rgb="FF38761D"/>
      </left>
      <right style="thick">
        <color rgb="FF38761D"/>
      </right>
      <top style="thin">
        <color rgb="FFD9EAD3"/>
      </top>
      <bottom style="thin">
        <color rgb="FFD9EAD3"/>
      </bottom>
    </border>
    <border>
      <left style="thin">
        <color rgb="FFD9EAD3"/>
      </left>
      <right style="dotted">
        <color rgb="FF38761D"/>
      </right>
      <top style="thin">
        <color rgb="FFD9EAD3"/>
      </top>
      <bottom style="thin">
        <color rgb="FFD9EAD3"/>
      </bottom>
    </border>
    <border>
      <left style="dotted">
        <color rgb="FF38761D"/>
      </left>
      <right style="dotted">
        <color rgb="FF38761D"/>
      </right>
      <top style="thin">
        <color rgb="FFD9EAD3"/>
      </top>
      <bottom style="thin">
        <color rgb="FFD9EAD3"/>
      </bottom>
    </border>
    <border>
      <left style="dotted">
        <color rgb="FF38761D"/>
      </left>
      <right style="thin">
        <color rgb="FF507E3B"/>
      </right>
      <top style="thin">
        <color rgb="FFF6B26B"/>
      </top>
      <bottom style="thin">
        <color rgb="FFF6B26B"/>
      </bottom>
    </border>
    <border>
      <left style="dotted">
        <color rgb="FF38761D"/>
      </left>
      <right style="thin">
        <color rgb="FF507E3B"/>
      </right>
      <top style="thin">
        <color rgb="FFEA9999"/>
      </top>
      <bottom style="thin">
        <color rgb="FFEA9999"/>
      </bottom>
    </border>
    <border>
      <left style="dotted">
        <color rgb="FF38761D"/>
      </left>
      <right style="thin">
        <color rgb="FF507E3B"/>
      </right>
      <top style="thin">
        <color rgb="FF6FA8DC"/>
      </top>
      <bottom style="thin">
        <color rgb="FF6FA8DC"/>
      </bottom>
    </border>
    <border>
      <left style="thin">
        <color rgb="FF507E3B"/>
      </left>
      <right style="thin">
        <color rgb="FF93C47D"/>
      </right>
      <top style="thin">
        <color rgb="FF93C47D"/>
      </top>
      <bottom style="thin">
        <color rgb="FF507E3B"/>
      </bottom>
    </border>
    <border>
      <left style="thick">
        <color rgb="FF38761D"/>
      </left>
      <right style="thick">
        <color rgb="FF38761D"/>
      </right>
      <top style="thin">
        <color rgb="FF93C47D"/>
      </top>
      <bottom style="thick">
        <color rgb="FF38761D"/>
      </bottom>
    </border>
    <border>
      <left style="thin">
        <color rgb="FF93C47D"/>
      </left>
      <right style="dotted">
        <color rgb="FF38761D"/>
      </right>
      <top style="thin">
        <color rgb="FF93C47D"/>
      </top>
      <bottom style="thin">
        <color rgb="FF507E3B"/>
      </bottom>
    </border>
    <border>
      <left style="dotted">
        <color rgb="FF38761D"/>
      </left>
      <right style="dotted">
        <color rgb="FF38761D"/>
      </right>
      <top style="thin">
        <color rgb="FF93C47D"/>
      </top>
      <bottom style="thin">
        <color rgb="FF507E3B"/>
      </bottom>
    </border>
    <border>
      <left style="dotted">
        <color rgb="FF38761D"/>
      </left>
      <right style="thin">
        <color rgb="FF507E3B"/>
      </right>
      <top style="thin">
        <color rgb="FFEA9999"/>
      </top>
      <bottom style="thin">
        <color rgb="FF507E3B"/>
      </bottom>
    </border>
    <border>
      <left style="medium">
        <color rgb="FF38761D"/>
      </left>
      <top style="medium">
        <color rgb="FF38761D"/>
      </top>
    </border>
    <border>
      <top style="medium">
        <color rgb="FF38761D"/>
      </top>
    </border>
    <border>
      <right style="medium">
        <color rgb="FF38761D"/>
      </right>
      <top style="medium">
        <color rgb="FF38761D"/>
      </top>
    </border>
    <border>
      <left style="dotted">
        <color rgb="FF38761D"/>
      </left>
      <top style="dotted">
        <color rgb="FF38761D"/>
      </top>
      <bottom style="dotted">
        <color rgb="FF38761D"/>
      </bottom>
    </border>
    <border>
      <right style="dotted">
        <color rgb="FF38761D"/>
      </right>
      <top style="dotted">
        <color rgb="FF38761D"/>
      </top>
      <bottom style="dotted">
        <color rgb="FF38761D"/>
      </bottom>
    </border>
    <border>
      <left style="medium">
        <color rgb="FF38761D"/>
      </left>
      <bottom style="medium">
        <color rgb="FF38761D"/>
      </bottom>
    </border>
    <border>
      <bottom style="medium">
        <color rgb="FF38761D"/>
      </bottom>
    </border>
    <border>
      <right style="medium">
        <color rgb="FF38761D"/>
      </right>
      <bottom style="medium">
        <color rgb="FF38761D"/>
      </bottom>
    </border>
    <border>
      <left style="medium">
        <color rgb="FF38761D"/>
      </left>
    </border>
    <border>
      <right style="medium">
        <color rgb="FF38761D"/>
      </right>
    </border>
  </borders>
  <cellStyleXfs count="1">
    <xf borderId="0" fillId="0" fontId="0" numFmtId="0" applyAlignment="1" applyFont="1"/>
  </cellStyleXfs>
  <cellXfs count="344">
    <xf borderId="0" fillId="0" fontId="0" numFmtId="0" xfId="0" applyAlignment="1" applyFont="1">
      <alignment readingOrder="0" shrinkToFit="0" vertical="bottom" wrapText="0"/>
    </xf>
    <xf borderId="0" fillId="2" fontId="1" numFmtId="0" xfId="0" applyFill="1" applyFont="1"/>
    <xf borderId="1" fillId="2" fontId="2" numFmtId="0" xfId="0" applyAlignment="1" applyBorder="1" applyFont="1">
      <alignment horizontal="center" readingOrder="0" shrinkToFit="0" wrapText="1"/>
    </xf>
    <xf borderId="2" fillId="2" fontId="3" numFmtId="0" xfId="0" applyAlignment="1" applyBorder="1" applyFont="1">
      <alignment readingOrder="0" shrinkToFit="0" wrapText="1"/>
    </xf>
    <xf borderId="3" fillId="2" fontId="4" numFmtId="0" xfId="0" applyAlignment="1" applyBorder="1" applyFont="1">
      <alignment readingOrder="0" shrinkToFit="0" wrapText="1"/>
    </xf>
    <xf borderId="4" fillId="2" fontId="4" numFmtId="0" xfId="0" applyAlignment="1" applyBorder="1" applyFont="1">
      <alignment readingOrder="0" shrinkToFit="0" wrapText="1"/>
    </xf>
    <xf borderId="1" fillId="2" fontId="5" numFmtId="0" xfId="0" applyAlignment="1" applyBorder="1" applyFont="1">
      <alignment horizontal="center" readingOrder="0" shrinkToFit="0" wrapText="1"/>
    </xf>
    <xf borderId="5" fillId="2" fontId="4" numFmtId="0" xfId="0" applyAlignment="1" applyBorder="1" applyFont="1">
      <alignment readingOrder="0" shrinkToFit="0" wrapText="1"/>
    </xf>
    <xf borderId="0" fillId="2" fontId="1" numFmtId="0" xfId="0" applyAlignment="1" applyFont="1">
      <alignment readingOrder="0"/>
    </xf>
    <xf borderId="1" fillId="2" fontId="6" numFmtId="0" xfId="0" applyAlignment="1" applyBorder="1" applyFont="1">
      <alignment horizontal="center" readingOrder="0" shrinkToFit="0" wrapText="1"/>
    </xf>
    <xf borderId="3" fillId="2" fontId="7" numFmtId="0" xfId="0" applyAlignment="1" applyBorder="1" applyFont="1">
      <alignment readingOrder="0" shrinkToFit="0" wrapText="1"/>
    </xf>
    <xf borderId="6" fillId="2" fontId="4" numFmtId="0" xfId="0" applyAlignment="1" applyBorder="1" applyFont="1">
      <alignment readingOrder="0" shrinkToFit="0" wrapText="1"/>
    </xf>
    <xf borderId="0" fillId="2" fontId="8" numFmtId="0" xfId="0" applyAlignment="1" applyFont="1">
      <alignment horizontal="center" readingOrder="0" shrinkToFit="0" vertical="center" wrapText="1"/>
    </xf>
    <xf borderId="0" fillId="3" fontId="8" numFmtId="0" xfId="0" applyAlignment="1" applyFill="1" applyFont="1">
      <alignment horizontal="center" readingOrder="0" shrinkToFit="0" vertical="center" wrapText="1"/>
    </xf>
    <xf borderId="0" fillId="3" fontId="9" numFmtId="0" xfId="0" applyFont="1"/>
    <xf borderId="0" fillId="2" fontId="9" numFmtId="0" xfId="0" applyFont="1"/>
    <xf borderId="7" fillId="4" fontId="10" numFmtId="0" xfId="0" applyAlignment="1" applyBorder="1" applyFill="1" applyFont="1">
      <alignment horizontal="center" readingOrder="0" shrinkToFit="0" vertical="center" wrapText="1"/>
    </xf>
    <xf borderId="8" fillId="0" fontId="11" numFmtId="0" xfId="0" applyBorder="1" applyFont="1"/>
    <xf borderId="9" fillId="0" fontId="11" numFmtId="0" xfId="0" applyBorder="1" applyFont="1"/>
    <xf borderId="0" fillId="2" fontId="1" numFmtId="0" xfId="0" applyAlignment="1" applyFont="1">
      <alignment horizontal="center" vertical="center"/>
    </xf>
    <xf borderId="10" fillId="3" fontId="12" numFmtId="0" xfId="0" applyAlignment="1" applyBorder="1" applyFont="1">
      <alignment readingOrder="0" shrinkToFit="0" vertical="center" wrapText="1"/>
    </xf>
    <xf borderId="11" fillId="0" fontId="11" numFmtId="0" xfId="0" applyBorder="1" applyFont="1"/>
    <xf borderId="12" fillId="3" fontId="13" numFmtId="0" xfId="0" applyAlignment="1" applyBorder="1" applyFont="1">
      <alignment horizontal="left" readingOrder="0" shrinkToFit="0" vertical="center" wrapText="1"/>
    </xf>
    <xf borderId="13" fillId="5" fontId="14" numFmtId="0" xfId="0" applyAlignment="1" applyBorder="1" applyFill="1" applyFont="1">
      <alignment horizontal="left" readingOrder="0" shrinkToFit="0" vertical="center" wrapText="1"/>
    </xf>
    <xf borderId="14" fillId="0" fontId="11" numFmtId="0" xfId="0" applyBorder="1" applyFont="1"/>
    <xf borderId="15" fillId="4" fontId="14" numFmtId="0" xfId="0" applyAlignment="1" applyBorder="1" applyFont="1">
      <alignment horizontal="left" readingOrder="0" shrinkToFit="0" vertical="center" wrapText="1"/>
    </xf>
    <xf borderId="13" fillId="2" fontId="12" numFmtId="0" xfId="0" applyAlignment="1" applyBorder="1" applyFont="1">
      <alignment horizontal="left" readingOrder="0" shrinkToFit="0" vertical="center" wrapText="1"/>
    </xf>
    <xf borderId="0" fillId="6" fontId="15" numFmtId="0" xfId="0" applyAlignment="1" applyFill="1" applyFont="1">
      <alignment horizontal="left" readingOrder="0" vertical="center"/>
    </xf>
    <xf borderId="13" fillId="5" fontId="16" numFmtId="0" xfId="0" applyAlignment="1" applyBorder="1" applyFont="1">
      <alignment horizontal="left" readingOrder="0" shrinkToFit="0" vertical="center" wrapText="1"/>
    </xf>
    <xf borderId="15" fillId="4" fontId="16" numFmtId="10" xfId="0" applyAlignment="1" applyBorder="1" applyFont="1" applyNumberFormat="1">
      <alignment horizontal="left" readingOrder="0" shrinkToFit="0" vertical="center" wrapText="1"/>
    </xf>
    <xf borderId="15" fillId="2" fontId="17" numFmtId="0" xfId="0" applyAlignment="1" applyBorder="1" applyFont="1">
      <alignment horizontal="left" readingOrder="0" shrinkToFit="0" vertical="center" wrapText="1"/>
    </xf>
    <xf borderId="13" fillId="5" fontId="12" numFmtId="0" xfId="0" applyAlignment="1" applyBorder="1" applyFont="1">
      <alignment horizontal="left" readingOrder="0" shrinkToFit="0" wrapText="1"/>
    </xf>
    <xf borderId="15" fillId="0" fontId="18" numFmtId="0" xfId="0" applyAlignment="1" applyBorder="1" applyFont="1">
      <alignment horizontal="left" readingOrder="0"/>
    </xf>
    <xf borderId="16" fillId="2" fontId="12" numFmtId="0" xfId="0" applyAlignment="1" applyBorder="1" applyFont="1">
      <alignment horizontal="left" readingOrder="0" shrinkToFit="0" wrapText="1"/>
    </xf>
    <xf borderId="17" fillId="0" fontId="11" numFmtId="0" xfId="0" applyBorder="1" applyFont="1"/>
    <xf borderId="18" fillId="0" fontId="18" numFmtId="0" xfId="0" applyAlignment="1" applyBorder="1" applyFont="1">
      <alignment horizontal="left" readingOrder="0"/>
    </xf>
    <xf borderId="19" fillId="3" fontId="19" numFmtId="0" xfId="0" applyAlignment="1" applyBorder="1" applyFont="1">
      <alignment horizontal="center" readingOrder="0" vertical="center"/>
    </xf>
    <xf borderId="16" fillId="3" fontId="19" numFmtId="0" xfId="0" applyAlignment="1" applyBorder="1" applyFont="1">
      <alignment horizontal="center" readingOrder="0" vertical="center"/>
    </xf>
    <xf borderId="20" fillId="3" fontId="19" numFmtId="0" xfId="0" applyAlignment="1" applyBorder="1" applyFont="1">
      <alignment horizontal="center" readingOrder="0" vertical="center"/>
    </xf>
    <xf borderId="21" fillId="0" fontId="20" numFmtId="0" xfId="0" applyAlignment="1" applyBorder="1" applyFont="1">
      <alignment horizontal="center" readingOrder="0" shrinkToFit="0" vertical="center" wrapText="1"/>
    </xf>
    <xf borderId="22" fillId="0" fontId="20" numFmtId="0" xfId="0" applyAlignment="1" applyBorder="1" applyFont="1">
      <alignment horizontal="center" readingOrder="0" shrinkToFit="0" vertical="center" wrapText="1"/>
    </xf>
    <xf borderId="23" fillId="0" fontId="20" numFmtId="0" xfId="0" applyAlignment="1" applyBorder="1" applyFont="1">
      <alignment horizontal="center" readingOrder="0" shrinkToFit="0" vertical="center" wrapText="1"/>
    </xf>
    <xf borderId="0" fillId="2" fontId="8" numFmtId="0" xfId="0" applyAlignment="1" applyFont="1">
      <alignment horizontal="right" readingOrder="0" shrinkToFit="0" vertical="center" wrapText="1"/>
    </xf>
    <xf borderId="21" fillId="3" fontId="21" numFmtId="0" xfId="0" applyBorder="1" applyFont="1"/>
    <xf borderId="22" fillId="3" fontId="21" numFmtId="0" xfId="0" applyBorder="1" applyFont="1"/>
    <xf borderId="23" fillId="3" fontId="21" numFmtId="49" xfId="0" applyBorder="1" applyFont="1" applyNumberFormat="1"/>
    <xf borderId="0" fillId="2" fontId="22" numFmtId="0" xfId="0" applyAlignment="1" applyFont="1">
      <alignment shrinkToFit="0" vertical="center" wrapText="1"/>
    </xf>
    <xf borderId="24" fillId="0" fontId="4" numFmtId="0" xfId="0" applyAlignment="1" applyBorder="1" applyFont="1">
      <alignment horizontal="center" vertical="center"/>
    </xf>
    <xf borderId="25" fillId="0" fontId="4" numFmtId="0" xfId="0" applyAlignment="1" applyBorder="1" applyFont="1">
      <alignment horizontal="center" vertical="center"/>
    </xf>
    <xf borderId="26" fillId="0" fontId="4" numFmtId="49" xfId="0" applyAlignment="1" applyBorder="1" applyFont="1" applyNumberFormat="1">
      <alignment horizontal="center" vertical="center"/>
    </xf>
    <xf borderId="0" fillId="2" fontId="23" numFmtId="0" xfId="0" applyAlignment="1" applyFont="1">
      <alignment horizontal="center" shrinkToFit="0" vertical="center" wrapText="1"/>
    </xf>
    <xf borderId="27" fillId="0" fontId="4" numFmtId="0" xfId="0" applyAlignment="1" applyBorder="1" applyFont="1">
      <alignment horizontal="center" vertical="center"/>
    </xf>
    <xf borderId="28" fillId="0" fontId="4" numFmtId="0" xfId="0" applyAlignment="1" applyBorder="1" applyFont="1">
      <alignment horizontal="center" vertical="center"/>
    </xf>
    <xf borderId="29" fillId="0" fontId="4" numFmtId="49" xfId="0" applyAlignment="1" applyBorder="1" applyFont="1" applyNumberFormat="1">
      <alignment horizontal="center" vertical="center"/>
    </xf>
    <xf borderId="29" fillId="0" fontId="4" numFmtId="49" xfId="0" applyAlignment="1" applyBorder="1" applyFont="1" applyNumberFormat="1">
      <alignment horizontal="center" readingOrder="0" vertical="center"/>
    </xf>
    <xf borderId="29" fillId="0" fontId="4" numFmtId="0" xfId="0" applyAlignment="1" applyBorder="1" applyFont="1">
      <alignment horizontal="center" vertical="center"/>
    </xf>
    <xf borderId="0" fillId="2" fontId="4" numFmtId="0" xfId="0" applyAlignment="1" applyFont="1">
      <alignment shrinkToFit="0" vertical="center" wrapText="1"/>
    </xf>
    <xf borderId="0" fillId="2" fontId="22" numFmtId="0" xfId="0" applyAlignment="1" applyFont="1">
      <alignment horizontal="left" readingOrder="0" shrinkToFit="0" vertical="center" wrapText="1"/>
    </xf>
    <xf borderId="0" fillId="2" fontId="22" numFmtId="0" xfId="0" applyAlignment="1" applyFont="1">
      <alignment horizontal="left" shrinkToFit="0" vertical="center" wrapText="1"/>
    </xf>
    <xf borderId="28" fillId="0" fontId="4" numFmtId="0" xfId="0" applyAlignment="1" applyBorder="1" applyFont="1">
      <alignment horizontal="center" readingOrder="0" vertical="center"/>
    </xf>
    <xf borderId="27" fillId="0" fontId="4" numFmtId="0" xfId="0" applyAlignment="1" applyBorder="1" applyFont="1">
      <alignment horizontal="center" readingOrder="0" vertical="center"/>
    </xf>
    <xf borderId="27" fillId="0" fontId="4" numFmtId="164" xfId="0" applyAlignment="1" applyBorder="1" applyFont="1" applyNumberFormat="1">
      <alignment horizontal="center"/>
    </xf>
    <xf borderId="28" fillId="0" fontId="4" numFmtId="0" xfId="0" applyAlignment="1" applyBorder="1" applyFont="1">
      <alignment horizontal="center"/>
    </xf>
    <xf borderId="29" fillId="0" fontId="4" numFmtId="0" xfId="0" applyAlignment="1" applyBorder="1" applyFont="1">
      <alignment horizontal="center"/>
    </xf>
    <xf borderId="27" fillId="0" fontId="4" numFmtId="0" xfId="0" applyAlignment="1" applyBorder="1" applyFont="1">
      <alignment horizontal="center"/>
    </xf>
    <xf borderId="0" fillId="2" fontId="10" numFmtId="0" xfId="0" applyAlignment="1" applyFont="1">
      <alignment horizontal="center" readingOrder="0" shrinkToFit="0" vertical="center" wrapText="1"/>
    </xf>
    <xf borderId="0" fillId="2" fontId="9" numFmtId="0" xfId="0" applyAlignment="1" applyFont="1">
      <alignment shrinkToFit="0" wrapText="1"/>
    </xf>
    <xf borderId="0" fillId="2" fontId="21" numFmtId="0" xfId="0" applyFont="1"/>
    <xf borderId="0" fillId="2" fontId="24" numFmtId="0" xfId="0" applyAlignment="1" applyFont="1">
      <alignment horizontal="center" readingOrder="0" vertical="center"/>
    </xf>
    <xf borderId="30" fillId="4" fontId="25" numFmtId="0" xfId="0" applyAlignment="1" applyBorder="1" applyFont="1">
      <alignment horizontal="left" readingOrder="0" vertical="center"/>
    </xf>
    <xf borderId="31" fillId="4" fontId="25" numFmtId="0" xfId="0" applyAlignment="1" applyBorder="1" applyFont="1">
      <alignment horizontal="center" readingOrder="0" vertical="center"/>
    </xf>
    <xf borderId="32" fillId="4" fontId="25" numFmtId="0" xfId="0" applyAlignment="1" applyBorder="1" applyFont="1">
      <alignment horizontal="center" readingOrder="0" vertical="center"/>
    </xf>
    <xf borderId="0" fillId="2" fontId="26" numFmtId="0" xfId="0" applyAlignment="1" applyFont="1">
      <alignment horizontal="center" shrinkToFit="0" wrapText="1"/>
    </xf>
    <xf borderId="33" fillId="3" fontId="27" numFmtId="0" xfId="0" applyAlignment="1" applyBorder="1" applyFont="1">
      <alignment horizontal="center" readingOrder="0" shrinkToFit="0" vertical="center" wrapText="1"/>
    </xf>
    <xf borderId="34" fillId="3" fontId="27" numFmtId="0" xfId="0" applyAlignment="1" applyBorder="1" applyFont="1">
      <alignment horizontal="center" readingOrder="0" shrinkToFit="0" vertical="center" wrapText="1"/>
    </xf>
    <xf borderId="34" fillId="3" fontId="27" numFmtId="49" xfId="0" applyAlignment="1" applyBorder="1" applyFont="1" applyNumberFormat="1">
      <alignment horizontal="center" readingOrder="0" shrinkToFit="0" vertical="center" wrapText="1"/>
    </xf>
    <xf borderId="34" fillId="3" fontId="27" numFmtId="0" xfId="0" applyAlignment="1" applyBorder="1" applyFont="1">
      <alignment horizontal="center" shrinkToFit="0" vertical="center" wrapText="1"/>
    </xf>
    <xf borderId="35" fillId="3" fontId="27" numFmtId="0" xfId="0" applyAlignment="1" applyBorder="1" applyFont="1">
      <alignment horizontal="center" readingOrder="0" shrinkToFit="0" vertical="center" wrapText="1"/>
    </xf>
    <xf borderId="0" fillId="2" fontId="28" numFmtId="0" xfId="0" applyAlignment="1" applyFont="1">
      <alignment horizontal="center" readingOrder="0" shrinkToFit="0" wrapText="1"/>
    </xf>
    <xf borderId="0" fillId="2" fontId="9" numFmtId="0" xfId="0" applyAlignment="1" applyFont="1">
      <alignment horizontal="left" vertical="center"/>
    </xf>
    <xf borderId="36" fillId="6" fontId="18" numFmtId="0" xfId="0" applyAlignment="1" applyBorder="1" applyFont="1">
      <alignment horizontal="left" readingOrder="0" vertical="center"/>
    </xf>
    <xf borderId="10" fillId="6" fontId="29" numFmtId="0" xfId="0" applyAlignment="1" applyBorder="1" applyFont="1">
      <alignment horizontal="left" readingOrder="0" vertical="center"/>
    </xf>
    <xf borderId="10" fillId="6" fontId="29" numFmtId="49" xfId="0" applyAlignment="1" applyBorder="1" applyFont="1" applyNumberFormat="1">
      <alignment horizontal="left" readingOrder="0" vertical="center"/>
    </xf>
    <xf borderId="10" fillId="6" fontId="29" numFmtId="165" xfId="0" applyAlignment="1" applyBorder="1" applyFont="1" applyNumberFormat="1">
      <alignment horizontal="left" readingOrder="0" vertical="center"/>
    </xf>
    <xf borderId="0" fillId="2" fontId="18" numFmtId="10" xfId="0" applyAlignment="1" applyFont="1" applyNumberFormat="1">
      <alignment horizontal="center" vertical="bottom"/>
    </xf>
    <xf borderId="10" fillId="2" fontId="18" numFmtId="10" xfId="0" applyAlignment="1" applyBorder="1" applyFont="1" applyNumberFormat="1">
      <alignment horizontal="center" readingOrder="0" vertical="center"/>
    </xf>
    <xf borderId="10" fillId="2" fontId="18" numFmtId="0" xfId="0" applyAlignment="1" applyBorder="1" applyFont="1">
      <alignment horizontal="left" vertical="center"/>
    </xf>
    <xf borderId="10" fillId="2" fontId="18" numFmtId="0" xfId="0" applyAlignment="1" applyBorder="1" applyFont="1">
      <alignment horizontal="left" readingOrder="0" vertical="center"/>
    </xf>
    <xf borderId="37" fillId="2" fontId="29" numFmtId="164" xfId="0" applyAlignment="1" applyBorder="1" applyFont="1" applyNumberFormat="1">
      <alignment horizontal="center" vertical="bottom"/>
    </xf>
    <xf borderId="38" fillId="2" fontId="29" numFmtId="164" xfId="0" applyAlignment="1" applyBorder="1" applyFont="1" applyNumberFormat="1">
      <alignment horizontal="center" vertical="bottom"/>
    </xf>
    <xf borderId="0" fillId="2" fontId="18" numFmtId="2" xfId="0" applyAlignment="1" applyFont="1" applyNumberFormat="1">
      <alignment horizontal="center" vertical="bottom"/>
    </xf>
    <xf borderId="39" fillId="6" fontId="18" numFmtId="0" xfId="0" applyAlignment="1" applyBorder="1" applyFont="1">
      <alignment horizontal="left" readingOrder="0" vertical="center"/>
    </xf>
    <xf borderId="13" fillId="6" fontId="29" numFmtId="0" xfId="0" applyAlignment="1" applyBorder="1" applyFont="1">
      <alignment horizontal="left" readingOrder="0" vertical="center"/>
    </xf>
    <xf borderId="13" fillId="6" fontId="29" numFmtId="49" xfId="0" applyAlignment="1" applyBorder="1" applyFont="1" applyNumberFormat="1">
      <alignment horizontal="left" readingOrder="0" vertical="center"/>
    </xf>
    <xf borderId="13" fillId="6" fontId="29" numFmtId="165" xfId="0" applyAlignment="1" applyBorder="1" applyFont="1" applyNumberFormat="1">
      <alignment horizontal="left" readingOrder="0" vertical="center"/>
    </xf>
    <xf borderId="0" fillId="2" fontId="18" numFmtId="10" xfId="0" applyAlignment="1" applyFont="1" applyNumberFormat="1">
      <alignment horizontal="center" readingOrder="0" vertical="bottom"/>
    </xf>
    <xf borderId="13" fillId="2" fontId="18" numFmtId="10" xfId="0" applyAlignment="1" applyBorder="1" applyFont="1" applyNumberFormat="1">
      <alignment horizontal="center" readingOrder="0" vertical="center"/>
    </xf>
    <xf borderId="13" fillId="2" fontId="18" numFmtId="0" xfId="0" applyAlignment="1" applyBorder="1" applyFont="1">
      <alignment horizontal="left" readingOrder="0" vertical="center"/>
    </xf>
    <xf borderId="13" fillId="2" fontId="18" numFmtId="0" xfId="0" applyAlignment="1" applyBorder="1" applyFont="1">
      <alignment horizontal="left" vertical="center"/>
    </xf>
    <xf borderId="40" fillId="2" fontId="29" numFmtId="164" xfId="0" applyAlignment="1" applyBorder="1" applyFont="1" applyNumberFormat="1">
      <alignment horizontal="center" vertical="bottom"/>
    </xf>
    <xf borderId="41" fillId="2" fontId="29" numFmtId="164" xfId="0" applyAlignment="1" applyBorder="1" applyFont="1" applyNumberFormat="1">
      <alignment horizontal="center" vertical="bottom"/>
    </xf>
    <xf borderId="39" fillId="6" fontId="18" numFmtId="0" xfId="0" applyAlignment="1" applyBorder="1" applyFont="1">
      <alignment horizontal="left" vertical="center"/>
    </xf>
    <xf borderId="13" fillId="6" fontId="29" numFmtId="0" xfId="0" applyAlignment="1" applyBorder="1" applyFont="1">
      <alignment horizontal="left" vertical="center"/>
    </xf>
    <xf borderId="13" fillId="6" fontId="29" numFmtId="165" xfId="0" applyAlignment="1" applyBorder="1" applyFont="1" applyNumberFormat="1">
      <alignment horizontal="left" vertical="center"/>
    </xf>
    <xf borderId="0" fillId="2" fontId="9" numFmtId="0" xfId="0" applyAlignment="1" applyFont="1">
      <alignment horizontal="left" readingOrder="0" vertical="center"/>
    </xf>
    <xf borderId="13" fillId="6" fontId="29" numFmtId="49" xfId="0" applyAlignment="1" applyBorder="1" applyFont="1" applyNumberFormat="1">
      <alignment horizontal="left" vertical="center"/>
    </xf>
    <xf borderId="39" fillId="6" fontId="29" numFmtId="0" xfId="0" applyAlignment="1" applyBorder="1" applyFont="1">
      <alignment horizontal="left" vertical="center"/>
    </xf>
    <xf borderId="13" fillId="2" fontId="29" numFmtId="0" xfId="0" applyAlignment="1" applyBorder="1" applyFont="1">
      <alignment horizontal="left" vertical="center"/>
    </xf>
    <xf borderId="13" fillId="6" fontId="18" numFmtId="0" xfId="0" applyAlignment="1" applyBorder="1" applyFont="1">
      <alignment horizontal="left" vertical="center"/>
    </xf>
    <xf borderId="13" fillId="6" fontId="18" numFmtId="49" xfId="0" applyAlignment="1" applyBorder="1" applyFont="1" applyNumberFormat="1">
      <alignment horizontal="left" readingOrder="0" vertical="center"/>
    </xf>
    <xf borderId="13" fillId="6" fontId="18" numFmtId="165" xfId="0" applyAlignment="1" applyBorder="1" applyFont="1" applyNumberFormat="1">
      <alignment horizontal="left" vertical="center"/>
    </xf>
    <xf borderId="39" fillId="6" fontId="18" numFmtId="0" xfId="0" applyAlignment="1" applyBorder="1" applyFont="1">
      <alignment horizontal="left" shrinkToFit="0" vertical="center" wrapText="1"/>
    </xf>
    <xf borderId="13" fillId="2" fontId="18" numFmtId="0" xfId="0" applyAlignment="1" applyBorder="1" applyFont="1">
      <alignment horizontal="left" shrinkToFit="0" vertical="center" wrapText="1"/>
    </xf>
    <xf borderId="39" fillId="6" fontId="29" numFmtId="0" xfId="0" applyAlignment="1" applyBorder="1" applyFont="1">
      <alignment horizontal="left" readingOrder="0" vertical="center"/>
    </xf>
    <xf borderId="0" fillId="2" fontId="21" numFmtId="0" xfId="0" applyAlignment="1" applyFont="1">
      <alignment horizontal="left"/>
    </xf>
    <xf borderId="39" fillId="6" fontId="29" numFmtId="0" xfId="0" applyAlignment="1" applyBorder="1" applyFont="1">
      <alignment horizontal="left"/>
    </xf>
    <xf borderId="13" fillId="6" fontId="29" numFmtId="0" xfId="0" applyAlignment="1" applyBorder="1" applyFont="1">
      <alignment horizontal="left"/>
    </xf>
    <xf borderId="13" fillId="6" fontId="29" numFmtId="49" xfId="0" applyAlignment="1" applyBorder="1" applyFont="1" applyNumberFormat="1">
      <alignment horizontal="left" readingOrder="0"/>
    </xf>
    <xf borderId="13" fillId="6" fontId="29" numFmtId="165" xfId="0" applyAlignment="1" applyBorder="1" applyFont="1" applyNumberFormat="1">
      <alignment horizontal="left"/>
    </xf>
    <xf borderId="13" fillId="2" fontId="29" numFmtId="0" xfId="0" applyAlignment="1" applyBorder="1" applyFont="1">
      <alignment horizontal="left"/>
    </xf>
    <xf borderId="13" fillId="6" fontId="29" numFmtId="0" xfId="0" applyAlignment="1" applyBorder="1" applyFont="1">
      <alignment horizontal="left" shrinkToFit="0" wrapText="1"/>
    </xf>
    <xf borderId="13" fillId="6" fontId="29" numFmtId="49" xfId="0" applyAlignment="1" applyBorder="1" applyFont="1" applyNumberFormat="1">
      <alignment horizontal="left" readingOrder="0" shrinkToFit="0" wrapText="1"/>
    </xf>
    <xf borderId="13" fillId="6" fontId="29" numFmtId="165" xfId="0" applyAlignment="1" applyBorder="1" applyFont="1" applyNumberFormat="1">
      <alignment horizontal="left" shrinkToFit="0" wrapText="1"/>
    </xf>
    <xf borderId="0" fillId="2" fontId="21" numFmtId="0" xfId="0" applyAlignment="1" applyFont="1">
      <alignment horizontal="left" readingOrder="0"/>
    </xf>
    <xf borderId="13" fillId="2" fontId="29" numFmtId="0" xfId="0" applyAlignment="1" applyBorder="1" applyFont="1">
      <alignment horizontal="left" readingOrder="0"/>
    </xf>
    <xf borderId="0" fillId="2" fontId="21" numFmtId="0" xfId="0" applyAlignment="1" applyFont="1">
      <alignment horizontal="left"/>
    </xf>
    <xf borderId="13" fillId="6" fontId="29" numFmtId="0" xfId="0" applyAlignment="1" applyBorder="1" applyFont="1">
      <alignment horizontal="left"/>
    </xf>
    <xf borderId="13" fillId="6" fontId="18" numFmtId="165" xfId="0" applyAlignment="1" applyBorder="1" applyFont="1" applyNumberFormat="1">
      <alignment horizontal="left"/>
    </xf>
    <xf borderId="13" fillId="2" fontId="29" numFmtId="0" xfId="0" applyAlignment="1" applyBorder="1" applyFont="1">
      <alignment horizontal="left"/>
    </xf>
    <xf borderId="0" fillId="2" fontId="21" numFmtId="164" xfId="0" applyAlignment="1" applyFont="1" applyNumberFormat="1">
      <alignment horizontal="left"/>
    </xf>
    <xf borderId="13" fillId="2" fontId="29" numFmtId="164" xfId="0" applyAlignment="1" applyBorder="1" applyFont="1" applyNumberFormat="1">
      <alignment horizontal="left" readingOrder="0"/>
    </xf>
    <xf borderId="13" fillId="6" fontId="29" numFmtId="49" xfId="0" applyAlignment="1" applyBorder="1" applyFont="1" applyNumberFormat="1">
      <alignment horizontal="left"/>
    </xf>
    <xf borderId="42" fillId="6" fontId="29" numFmtId="0" xfId="0" applyAlignment="1" applyBorder="1" applyFont="1">
      <alignment horizontal="left" readingOrder="0"/>
    </xf>
    <xf borderId="16" fillId="6" fontId="29" numFmtId="0" xfId="0" applyAlignment="1" applyBorder="1" applyFont="1">
      <alignment horizontal="left" readingOrder="0"/>
    </xf>
    <xf borderId="16" fillId="6" fontId="29" numFmtId="49" xfId="0" applyAlignment="1" applyBorder="1" applyFont="1" applyNumberFormat="1">
      <alignment horizontal="left" readingOrder="0"/>
    </xf>
    <xf borderId="16" fillId="6" fontId="18" numFmtId="165" xfId="0" applyAlignment="1" applyBorder="1" applyFont="1" applyNumberFormat="1">
      <alignment horizontal="left" readingOrder="0"/>
    </xf>
    <xf borderId="16" fillId="2" fontId="29" numFmtId="0" xfId="0" applyAlignment="1" applyBorder="1" applyFont="1">
      <alignment horizontal="left" readingOrder="0"/>
    </xf>
    <xf borderId="16" fillId="2" fontId="18" numFmtId="0" xfId="0" applyAlignment="1" applyBorder="1" applyFont="1">
      <alignment horizontal="left" readingOrder="0" vertical="center"/>
    </xf>
    <xf borderId="16" fillId="2" fontId="29" numFmtId="0" xfId="0" applyAlignment="1" applyBorder="1" applyFont="1">
      <alignment horizontal="left"/>
    </xf>
    <xf borderId="43" fillId="6" fontId="29" numFmtId="0" xfId="0" applyAlignment="1" applyBorder="1" applyFont="1">
      <alignment horizontal="left"/>
    </xf>
    <xf borderId="44" fillId="6" fontId="29" numFmtId="0" xfId="0" applyAlignment="1" applyBorder="1" applyFont="1">
      <alignment horizontal="left"/>
    </xf>
    <xf borderId="44" fillId="6" fontId="29" numFmtId="49" xfId="0" applyAlignment="1" applyBorder="1" applyFont="1" applyNumberFormat="1">
      <alignment horizontal="left" readingOrder="0"/>
    </xf>
    <xf borderId="44" fillId="6" fontId="18" numFmtId="165" xfId="0" applyAlignment="1" applyBorder="1" applyFont="1" applyNumberFormat="1">
      <alignment horizontal="left"/>
    </xf>
    <xf borderId="45" fillId="2" fontId="18" numFmtId="10" xfId="0" applyAlignment="1" applyBorder="1" applyFont="1" applyNumberFormat="1">
      <alignment horizontal="center" vertical="bottom"/>
    </xf>
    <xf borderId="44" fillId="2" fontId="18" numFmtId="10" xfId="0" applyAlignment="1" applyBorder="1" applyFont="1" applyNumberFormat="1">
      <alignment horizontal="center" readingOrder="0" vertical="center"/>
    </xf>
    <xf borderId="44" fillId="2" fontId="29" numFmtId="0" xfId="0" applyAlignment="1" applyBorder="1" applyFont="1">
      <alignment horizontal="left" readingOrder="0"/>
    </xf>
    <xf borderId="44" fillId="2" fontId="18" numFmtId="0" xfId="0" applyAlignment="1" applyBorder="1" applyFont="1">
      <alignment horizontal="left" readingOrder="0" vertical="center"/>
    </xf>
    <xf borderId="44" fillId="2" fontId="29" numFmtId="0" xfId="0" applyAlignment="1" applyBorder="1" applyFont="1">
      <alignment horizontal="left"/>
    </xf>
    <xf borderId="46" fillId="2" fontId="29" numFmtId="164" xfId="0" applyAlignment="1" applyBorder="1" applyFont="1" applyNumberFormat="1">
      <alignment horizontal="center" vertical="bottom"/>
    </xf>
    <xf borderId="47" fillId="2" fontId="29" numFmtId="164" xfId="0" applyAlignment="1" applyBorder="1" applyFont="1" applyNumberFormat="1">
      <alignment horizontal="center" vertical="bottom"/>
    </xf>
    <xf borderId="0" fillId="2" fontId="21" numFmtId="49" xfId="0" applyAlignment="1" applyFont="1" applyNumberFormat="1">
      <alignment horizontal="left"/>
    </xf>
    <xf borderId="0" fillId="2" fontId="30" numFmtId="0" xfId="0" applyFont="1"/>
    <xf borderId="0" fillId="2" fontId="21" numFmtId="0" xfId="0" applyAlignment="1" applyFont="1">
      <alignment horizontal="center"/>
    </xf>
    <xf borderId="0" fillId="2" fontId="31" numFmtId="0" xfId="0" applyAlignment="1" applyFont="1">
      <alignment horizontal="center" readingOrder="0" shrinkToFit="0" vertical="center" wrapText="1"/>
    </xf>
    <xf borderId="0" fillId="2" fontId="4" numFmtId="0" xfId="0" applyAlignment="1" applyFont="1">
      <alignment horizontal="center" readingOrder="0" shrinkToFit="0" vertical="center" wrapText="1"/>
    </xf>
    <xf borderId="0" fillId="2" fontId="32" numFmtId="0" xfId="0" applyAlignment="1" applyFont="1">
      <alignment horizontal="center" shrinkToFit="0" vertical="center" wrapText="1"/>
    </xf>
    <xf borderId="0" fillId="2" fontId="33" numFmtId="166" xfId="0" applyAlignment="1" applyFont="1" applyNumberFormat="1">
      <alignment horizontal="center" readingOrder="0" shrinkToFit="0" vertical="center" wrapText="1"/>
    </xf>
    <xf borderId="0" fillId="2" fontId="33" numFmtId="167" xfId="0" applyAlignment="1" applyFont="1" applyNumberFormat="1">
      <alignment horizontal="center" readingOrder="0" shrinkToFit="0" vertical="center" wrapText="1"/>
    </xf>
    <xf borderId="0" fillId="2" fontId="33" numFmtId="0" xfId="0" applyAlignment="1" applyFont="1">
      <alignment horizontal="center" readingOrder="0" shrinkToFit="0" vertical="center" wrapText="1"/>
    </xf>
    <xf borderId="0" fillId="2" fontId="34" numFmtId="0" xfId="0" applyAlignment="1" applyFont="1">
      <alignment vertical="bottom"/>
    </xf>
    <xf borderId="48" fillId="4" fontId="31" numFmtId="0" xfId="0" applyAlignment="1" applyBorder="1" applyFont="1">
      <alignment horizontal="center" readingOrder="0" shrinkToFit="0" vertical="center" wrapText="1"/>
    </xf>
    <xf borderId="49" fillId="0" fontId="11" numFmtId="0" xfId="0" applyBorder="1" applyFont="1"/>
    <xf borderId="49" fillId="7" fontId="4" numFmtId="0" xfId="0" applyAlignment="1" applyBorder="1" applyFill="1" applyFont="1">
      <alignment horizontal="center" readingOrder="0" shrinkToFit="0" vertical="center" wrapText="1"/>
    </xf>
    <xf borderId="50" fillId="0" fontId="11" numFmtId="0" xfId="0" applyBorder="1" applyFont="1"/>
    <xf borderId="48" fillId="4" fontId="32" numFmtId="0" xfId="0" applyAlignment="1" applyBorder="1" applyFont="1">
      <alignment horizontal="center" shrinkToFit="0" vertical="center" wrapText="1"/>
    </xf>
    <xf borderId="51" fillId="2" fontId="33" numFmtId="166" xfId="0" applyAlignment="1" applyBorder="1" applyFont="1" applyNumberFormat="1">
      <alignment horizontal="center" readingOrder="0" shrinkToFit="0" vertical="center" wrapText="1"/>
    </xf>
    <xf borderId="51" fillId="2" fontId="33" numFmtId="167" xfId="0" applyAlignment="1" applyBorder="1" applyFont="1" applyNumberFormat="1">
      <alignment horizontal="center" readingOrder="0" shrinkToFit="0" vertical="center" wrapText="1"/>
    </xf>
    <xf borderId="51" fillId="2" fontId="33" numFmtId="0" xfId="0" applyAlignment="1" applyBorder="1" applyFont="1">
      <alignment horizontal="center" readingOrder="0" shrinkToFit="0" vertical="center" wrapText="1"/>
    </xf>
    <xf borderId="52" fillId="2" fontId="33" numFmtId="0" xfId="0" applyAlignment="1" applyBorder="1" applyFont="1">
      <alignment horizontal="center" readingOrder="0" shrinkToFit="0" vertical="center" wrapText="1"/>
    </xf>
    <xf borderId="0" fillId="2" fontId="35" numFmtId="0" xfId="0" applyAlignment="1" applyFont="1">
      <alignment vertical="bottom"/>
    </xf>
    <xf borderId="53" fillId="4" fontId="36" numFmtId="0" xfId="0" applyAlignment="1" applyBorder="1" applyFont="1">
      <alignment horizontal="center" readingOrder="0" shrinkToFit="0" vertical="center" wrapText="1"/>
    </xf>
    <xf borderId="54" fillId="0" fontId="11" numFmtId="0" xfId="0" applyBorder="1" applyFont="1"/>
    <xf borderId="54" fillId="4" fontId="36" numFmtId="168" xfId="0" applyAlignment="1" applyBorder="1" applyFont="1" applyNumberFormat="1">
      <alignment horizontal="center" shrinkToFit="0" vertical="center" wrapText="1"/>
    </xf>
    <xf borderId="54" fillId="4" fontId="36" numFmtId="0" xfId="0" applyAlignment="1" applyBorder="1" applyFont="1">
      <alignment horizontal="center" readingOrder="0" shrinkToFit="0" vertical="center" wrapText="1"/>
    </xf>
    <xf borderId="55" fillId="4" fontId="36" numFmtId="0" xfId="0" applyAlignment="1" applyBorder="1" applyFont="1">
      <alignment horizontal="center" readingOrder="0" shrinkToFit="0" vertical="center" wrapText="1"/>
    </xf>
    <xf borderId="56" fillId="4" fontId="35" numFmtId="166" xfId="0" applyAlignment="1" applyBorder="1" applyFont="1" applyNumberFormat="1">
      <alignment horizontal="center" vertical="center"/>
    </xf>
    <xf borderId="44" fillId="2" fontId="37" numFmtId="165" xfId="0" applyAlignment="1" applyBorder="1" applyFont="1" applyNumberFormat="1">
      <alignment horizontal="center" vertical="bottom"/>
    </xf>
    <xf borderId="44" fillId="2" fontId="38" numFmtId="167" xfId="0" applyAlignment="1" applyBorder="1" applyFont="1" applyNumberFormat="1">
      <alignment horizontal="center" vertical="bottom"/>
    </xf>
    <xf borderId="44" fillId="2" fontId="39" numFmtId="10" xfId="0" applyAlignment="1" applyBorder="1" applyFont="1" applyNumberFormat="1">
      <alignment horizontal="center" vertical="bottom"/>
    </xf>
    <xf borderId="57" fillId="2" fontId="40" numFmtId="10" xfId="0" applyAlignment="1" applyBorder="1" applyFont="1" applyNumberFormat="1">
      <alignment horizontal="center" vertical="bottom"/>
    </xf>
    <xf borderId="0" fillId="2" fontId="41" numFmtId="0" xfId="0" applyAlignment="1" applyFont="1">
      <alignment vertical="bottom"/>
    </xf>
    <xf borderId="0" fillId="2" fontId="36" numFmtId="0" xfId="0" applyAlignment="1" applyFont="1">
      <alignment horizontal="center" readingOrder="0" shrinkToFit="0" vertical="center" wrapText="1"/>
    </xf>
    <xf borderId="0" fillId="7" fontId="21" numFmtId="0" xfId="0" applyAlignment="1" applyFont="1">
      <alignment horizontal="center" readingOrder="0" vertical="bottom"/>
    </xf>
    <xf borderId="58" fillId="7" fontId="21" numFmtId="0" xfId="0" applyAlignment="1" applyBorder="1" applyFont="1">
      <alignment readingOrder="0" vertical="bottom"/>
    </xf>
    <xf borderId="11" fillId="7" fontId="21" numFmtId="169" xfId="0" applyAlignment="1" applyBorder="1" applyFont="1" applyNumberFormat="1">
      <alignment horizontal="right" readingOrder="0" vertical="bottom"/>
    </xf>
    <xf borderId="12" fillId="2" fontId="21" numFmtId="0" xfId="0" applyAlignment="1" applyBorder="1" applyFont="1">
      <alignment horizontal="center" vertical="bottom"/>
    </xf>
    <xf borderId="10" fillId="2" fontId="21" numFmtId="170" xfId="0" applyAlignment="1" applyBorder="1" applyFont="1" applyNumberFormat="1">
      <alignment horizontal="center" vertical="bottom"/>
    </xf>
    <xf borderId="59" fillId="2" fontId="21" numFmtId="165" xfId="0" applyAlignment="1" applyBorder="1" applyFont="1" applyNumberFormat="1">
      <alignment horizontal="center" vertical="bottom"/>
    </xf>
    <xf borderId="60" fillId="6" fontId="42" numFmtId="0" xfId="0" applyAlignment="1" applyBorder="1" applyFont="1">
      <alignment horizontal="center" vertical="center"/>
    </xf>
    <xf borderId="13" fillId="0" fontId="11" numFmtId="0" xfId="0" applyBorder="1" applyFont="1"/>
    <xf borderId="61" fillId="0" fontId="11" numFmtId="0" xfId="0" applyBorder="1" applyFont="1"/>
    <xf borderId="0" fillId="2" fontId="43" numFmtId="0" xfId="0" applyAlignment="1" applyFont="1">
      <alignment shrinkToFit="0" wrapText="1"/>
    </xf>
    <xf borderId="0" fillId="2" fontId="21" numFmtId="0" xfId="0" applyAlignment="1" applyFont="1">
      <alignment readingOrder="0" vertical="bottom"/>
    </xf>
    <xf borderId="0" fillId="6" fontId="21" numFmtId="0" xfId="0" applyAlignment="1" applyFont="1">
      <alignment horizontal="center" readingOrder="0" vertical="bottom"/>
    </xf>
    <xf borderId="60" fillId="6" fontId="21" numFmtId="0" xfId="0" applyAlignment="1" applyBorder="1" applyFont="1">
      <alignment readingOrder="0" vertical="bottom"/>
    </xf>
    <xf borderId="14" fillId="6" fontId="21" numFmtId="169" xfId="0" applyAlignment="1" applyBorder="1" applyFont="1" applyNumberFormat="1">
      <alignment horizontal="right" readingOrder="0" vertical="bottom"/>
    </xf>
    <xf borderId="15" fillId="2" fontId="21" numFmtId="0" xfId="0" applyAlignment="1" applyBorder="1" applyFont="1">
      <alignment horizontal="center" vertical="bottom"/>
    </xf>
    <xf borderId="13" fillId="2" fontId="21" numFmtId="170" xfId="0" applyAlignment="1" applyBorder="1" applyFont="1" applyNumberFormat="1">
      <alignment horizontal="center" vertical="bottom"/>
    </xf>
    <xf borderId="61" fillId="2" fontId="21" numFmtId="165" xfId="0" applyAlignment="1" applyBorder="1" applyFont="1" applyNumberFormat="1">
      <alignment horizontal="center" vertical="bottom"/>
    </xf>
    <xf borderId="62" fillId="6" fontId="21" numFmtId="0" xfId="0" applyAlignment="1" applyBorder="1" applyFont="1">
      <alignment shrinkToFit="0" vertical="top" wrapText="1"/>
    </xf>
    <xf borderId="16" fillId="0" fontId="11" numFmtId="0" xfId="0" applyBorder="1" applyFont="1"/>
    <xf borderId="63" fillId="0" fontId="11" numFmtId="0" xfId="0" applyBorder="1" applyFont="1"/>
    <xf borderId="0" fillId="2" fontId="43" numFmtId="0" xfId="0" applyFont="1"/>
    <xf borderId="60" fillId="7" fontId="21" numFmtId="0" xfId="0" applyAlignment="1" applyBorder="1" applyFont="1">
      <alignment readingOrder="0" vertical="bottom"/>
    </xf>
    <xf borderId="14" fillId="7" fontId="21" numFmtId="169" xfId="0" applyAlignment="1" applyBorder="1" applyFont="1" applyNumberFormat="1">
      <alignment horizontal="right" readingOrder="0" vertical="bottom"/>
    </xf>
    <xf borderId="64" fillId="0" fontId="11" numFmtId="0" xfId="0" applyBorder="1" applyFont="1"/>
    <xf borderId="65" fillId="0" fontId="11" numFmtId="0" xfId="0" applyBorder="1" applyFont="1"/>
    <xf borderId="14" fillId="7" fontId="21" numFmtId="169" xfId="0" applyAlignment="1" applyBorder="1" applyFont="1" applyNumberFormat="1">
      <alignment horizontal="center" readingOrder="0" vertical="bottom"/>
    </xf>
    <xf borderId="14" fillId="6" fontId="21" numFmtId="169" xfId="0" applyAlignment="1" applyBorder="1" applyFont="1" applyNumberFormat="1">
      <alignment horizontal="center" readingOrder="0" vertical="bottom"/>
    </xf>
    <xf borderId="60" fillId="7" fontId="21" numFmtId="0" xfId="0" applyAlignment="1" applyBorder="1" applyFont="1">
      <alignment vertical="bottom"/>
    </xf>
    <xf borderId="14" fillId="7" fontId="21" numFmtId="169" xfId="0" applyAlignment="1" applyBorder="1" applyFont="1" applyNumberFormat="1">
      <alignment horizontal="center" vertical="bottom"/>
    </xf>
    <xf borderId="0" fillId="2" fontId="21" numFmtId="0" xfId="0" applyAlignment="1" applyFont="1">
      <alignment vertical="bottom"/>
    </xf>
    <xf borderId="60" fillId="6" fontId="21" numFmtId="0" xfId="0" applyAlignment="1" applyBorder="1" applyFont="1">
      <alignment vertical="bottom"/>
    </xf>
    <xf borderId="14" fillId="6" fontId="21" numFmtId="169" xfId="0" applyAlignment="1" applyBorder="1" applyFont="1" applyNumberFormat="1">
      <alignment horizontal="center" vertical="bottom"/>
    </xf>
    <xf borderId="60" fillId="2" fontId="44" numFmtId="0" xfId="0" applyAlignment="1" applyBorder="1" applyFont="1">
      <alignment horizontal="left" vertical="bottom"/>
    </xf>
    <xf borderId="13" fillId="6" fontId="11" numFmtId="0" xfId="0" applyBorder="1" applyFont="1"/>
    <xf borderId="13" fillId="7" fontId="44" numFmtId="0" xfId="0" applyAlignment="1" applyBorder="1" applyFont="1">
      <alignment horizontal="center" readingOrder="0" vertical="bottom"/>
    </xf>
    <xf borderId="13" fillId="2" fontId="18" numFmtId="168" xfId="0" applyAlignment="1" applyBorder="1" applyFont="1" applyNumberFormat="1">
      <alignment horizontal="center" vertical="bottom"/>
    </xf>
    <xf borderId="44" fillId="2" fontId="45" numFmtId="168" xfId="0" applyAlignment="1" applyBorder="1" applyFont="1" applyNumberFormat="1">
      <alignment horizontal="center" vertical="bottom"/>
    </xf>
    <xf borderId="57" fillId="2" fontId="46" numFmtId="165" xfId="0" applyAlignment="1" applyBorder="1" applyFont="1" applyNumberFormat="1">
      <alignment horizontal="center" vertical="bottom"/>
    </xf>
    <xf borderId="0" fillId="2" fontId="18" numFmtId="168" xfId="0" applyAlignment="1" applyFont="1" applyNumberFormat="1">
      <alignment horizontal="center" vertical="bottom"/>
    </xf>
    <xf borderId="60" fillId="2" fontId="47" numFmtId="166" xfId="0" applyAlignment="1" applyBorder="1" applyFont="1" applyNumberFormat="1">
      <alignment readingOrder="0" vertical="bottom"/>
    </xf>
    <xf borderId="13" fillId="7" fontId="11" numFmtId="0" xfId="0" applyBorder="1" applyFont="1"/>
    <xf borderId="13" fillId="7" fontId="47" numFmtId="10" xfId="0" applyAlignment="1" applyBorder="1" applyFont="1" applyNumberFormat="1">
      <alignment horizontal="center" readingOrder="0" vertical="bottom"/>
    </xf>
    <xf borderId="13" fillId="2" fontId="44" numFmtId="0" xfId="0" applyAlignment="1" applyBorder="1" applyFont="1">
      <alignment horizontal="left" readingOrder="0" vertical="bottom"/>
    </xf>
    <xf borderId="10" fillId="2" fontId="44" numFmtId="0" xfId="0" applyAlignment="1" applyBorder="1" applyFont="1">
      <alignment horizontal="center" vertical="bottom"/>
    </xf>
    <xf borderId="59" fillId="2" fontId="48" numFmtId="0" xfId="0" applyAlignment="1" applyBorder="1" applyFont="1">
      <alignment horizontal="center" vertical="bottom"/>
    </xf>
    <xf borderId="0" fillId="2" fontId="44" numFmtId="0" xfId="0" applyAlignment="1" applyFont="1">
      <alignment horizontal="left" vertical="bottom"/>
    </xf>
    <xf borderId="60" fillId="2" fontId="49" numFmtId="0" xfId="0" applyAlignment="1" applyBorder="1" applyFont="1">
      <alignment horizontal="left" vertical="bottom"/>
    </xf>
    <xf borderId="13" fillId="2" fontId="44" numFmtId="0" xfId="0" applyAlignment="1" applyBorder="1" applyFont="1">
      <alignment horizontal="left" vertical="bottom"/>
    </xf>
    <xf borderId="13" fillId="2" fontId="44" numFmtId="0" xfId="0" applyAlignment="1" applyBorder="1" applyFont="1">
      <alignment vertical="bottom"/>
    </xf>
    <xf borderId="13" fillId="2" fontId="50" numFmtId="0" xfId="0" applyAlignment="1" applyBorder="1" applyFont="1">
      <alignment horizontal="center" vertical="bottom"/>
    </xf>
    <xf borderId="61" fillId="2" fontId="44" numFmtId="167" xfId="0" applyAlignment="1" applyBorder="1" applyFont="1" applyNumberFormat="1">
      <alignment horizontal="center" vertical="bottom"/>
    </xf>
    <xf borderId="0" fillId="2" fontId="34" numFmtId="171" xfId="0" applyAlignment="1" applyFont="1" applyNumberFormat="1">
      <alignment vertical="bottom"/>
    </xf>
    <xf borderId="60" fillId="2" fontId="47" numFmtId="0" xfId="0" applyAlignment="1" applyBorder="1" applyFont="1">
      <alignment horizontal="left" vertical="bottom"/>
    </xf>
    <xf borderId="57" fillId="7" fontId="51" numFmtId="167" xfId="0" applyAlignment="1" applyBorder="1" applyFont="1" applyNumberFormat="1">
      <alignment horizontal="center" readingOrder="0" vertical="bottom"/>
    </xf>
    <xf borderId="0" fillId="2" fontId="47" numFmtId="0" xfId="0" applyAlignment="1" applyFont="1">
      <alignment horizontal="left" vertical="bottom"/>
    </xf>
    <xf borderId="60" fillId="2" fontId="44" numFmtId="0" xfId="0" applyAlignment="1" applyBorder="1" applyFont="1">
      <alignment horizontal="left" readingOrder="0" shrinkToFit="0" vertical="bottom" wrapText="0"/>
    </xf>
    <xf borderId="13" fillId="2" fontId="44" numFmtId="0" xfId="0" applyAlignment="1" applyBorder="1" applyFont="1">
      <alignment horizontal="right" vertical="bottom"/>
    </xf>
    <xf borderId="59" fillId="2" fontId="52" numFmtId="167" xfId="0" applyAlignment="1" applyBorder="1" applyFont="1" applyNumberFormat="1">
      <alignment horizontal="center" vertical="bottom"/>
    </xf>
    <xf borderId="60" fillId="2" fontId="44" numFmtId="0" xfId="0" applyAlignment="1" applyBorder="1" applyFont="1">
      <alignment horizontal="left" readingOrder="0" vertical="bottom"/>
    </xf>
    <xf borderId="13" fillId="2" fontId="44" numFmtId="0" xfId="0" applyAlignment="1" applyBorder="1" applyFont="1">
      <alignment readingOrder="0" vertical="bottom"/>
    </xf>
    <xf borderId="13" fillId="2" fontId="44" numFmtId="167" xfId="0" applyAlignment="1" applyBorder="1" applyFont="1" applyNumberFormat="1">
      <alignment horizontal="center" vertical="bottom"/>
    </xf>
    <xf borderId="61" fillId="2" fontId="44" numFmtId="10" xfId="0" applyAlignment="1" applyBorder="1" applyFont="1" applyNumberFormat="1">
      <alignment horizontal="right" vertical="bottom"/>
    </xf>
    <xf borderId="0" fillId="2" fontId="34" numFmtId="10" xfId="0" applyAlignment="1" applyFont="1" applyNumberFormat="1">
      <alignment vertical="bottom"/>
    </xf>
    <xf borderId="0" fillId="2" fontId="44" numFmtId="0" xfId="0" applyAlignment="1" applyFont="1">
      <alignment horizontal="left" readingOrder="0" vertical="bottom"/>
    </xf>
    <xf borderId="66" fillId="2" fontId="47" numFmtId="0" xfId="0" applyAlignment="1" applyBorder="1" applyFont="1">
      <alignment horizontal="left" vertical="top"/>
    </xf>
    <xf borderId="67" fillId="0" fontId="11" numFmtId="0" xfId="0" applyBorder="1" applyFont="1"/>
    <xf borderId="67" fillId="2" fontId="47" numFmtId="0" xfId="0" applyAlignment="1" applyBorder="1" applyFont="1">
      <alignment horizontal="left" vertical="top"/>
    </xf>
    <xf borderId="67" fillId="2" fontId="47" numFmtId="0" xfId="0" applyAlignment="1" applyBorder="1" applyFont="1">
      <alignment vertical="top"/>
    </xf>
    <xf borderId="67" fillId="2" fontId="53" numFmtId="167" xfId="0" applyAlignment="1" applyBorder="1" applyFont="1" applyNumberFormat="1">
      <alignment horizontal="center" vertical="top"/>
    </xf>
    <xf borderId="68" fillId="2" fontId="54" numFmtId="10" xfId="0" applyAlignment="1" applyBorder="1" applyFont="1" applyNumberFormat="1">
      <alignment horizontal="right" vertical="top"/>
    </xf>
    <xf borderId="69" fillId="0" fontId="11" numFmtId="0" xfId="0" applyBorder="1" applyFont="1"/>
    <xf borderId="70" fillId="0" fontId="11" numFmtId="0" xfId="0" applyBorder="1" applyFont="1"/>
    <xf borderId="71" fillId="0" fontId="11" numFmtId="0" xfId="0" applyBorder="1" applyFont="1"/>
    <xf borderId="0" fillId="2" fontId="47" numFmtId="0" xfId="0" applyAlignment="1" applyFont="1">
      <alignment horizontal="left" vertical="top"/>
    </xf>
    <xf borderId="0" fillId="2" fontId="43" numFmtId="0" xfId="0" applyAlignment="1" applyFont="1">
      <alignment horizontal="center"/>
    </xf>
    <xf borderId="0" fillId="2" fontId="21" numFmtId="0" xfId="0" applyAlignment="1" applyFont="1">
      <alignment shrinkToFit="0" vertical="top" wrapText="1"/>
    </xf>
    <xf borderId="13" fillId="7" fontId="47" numFmtId="9" xfId="0" applyAlignment="1" applyBorder="1" applyFont="1" applyNumberFormat="1">
      <alignment horizontal="center" readingOrder="0" vertical="bottom"/>
    </xf>
    <xf borderId="14" fillId="7" fontId="21" numFmtId="169" xfId="0" applyAlignment="1" applyBorder="1" applyFont="1" applyNumberFormat="1">
      <alignment horizontal="right" vertical="bottom"/>
    </xf>
    <xf borderId="14" fillId="6" fontId="21" numFmtId="169" xfId="0" applyAlignment="1" applyBorder="1" applyFont="1" applyNumberFormat="1">
      <alignment horizontal="right" vertical="bottom"/>
    </xf>
    <xf borderId="0" fillId="2" fontId="21" numFmtId="0" xfId="0" applyAlignment="1" applyFont="1">
      <alignment readingOrder="0"/>
    </xf>
    <xf borderId="72" fillId="0" fontId="55" numFmtId="0" xfId="0" applyAlignment="1" applyBorder="1" applyFont="1">
      <alignment horizontal="center" readingOrder="0" shrinkToFit="0" vertical="center" wrapText="1"/>
    </xf>
    <xf borderId="73" fillId="0" fontId="55" numFmtId="0" xfId="0" applyAlignment="1" applyBorder="1" applyFont="1">
      <alignment horizontal="center" readingOrder="0" shrinkToFit="0" vertical="center" wrapText="1"/>
    </xf>
    <xf borderId="74" fillId="0" fontId="55" numFmtId="0" xfId="0" applyAlignment="1" applyBorder="1" applyFont="1">
      <alignment horizontal="center" readingOrder="0" shrinkToFit="0" vertical="center" wrapText="1"/>
    </xf>
    <xf borderId="75" fillId="0" fontId="55" numFmtId="0" xfId="0" applyAlignment="1" applyBorder="1" applyFont="1">
      <alignment horizontal="center" readingOrder="0" shrinkToFit="0" vertical="center" wrapText="1"/>
    </xf>
    <xf borderId="76" fillId="0" fontId="55" numFmtId="0" xfId="0" applyAlignment="1" applyBorder="1" applyFont="1">
      <alignment horizontal="center" readingOrder="0" shrinkToFit="0" vertical="center" wrapText="1"/>
    </xf>
    <xf borderId="77" fillId="0" fontId="56" numFmtId="49" xfId="0" applyAlignment="1" applyBorder="1" applyFont="1" applyNumberFormat="1">
      <alignment horizontal="center" shrinkToFit="0" vertical="center" wrapText="1"/>
    </xf>
    <xf borderId="78" fillId="2" fontId="56" numFmtId="0" xfId="0" applyAlignment="1" applyBorder="1" applyFont="1">
      <alignment horizontal="center" readingOrder="0" shrinkToFit="0" vertical="center" wrapText="0"/>
    </xf>
    <xf borderId="79" fillId="2" fontId="56" numFmtId="10" xfId="0" applyAlignment="1" applyBorder="1" applyFont="1" applyNumberFormat="1">
      <alignment horizontal="center" shrinkToFit="0" vertical="center" wrapText="0"/>
    </xf>
    <xf borderId="80" fillId="2" fontId="56" numFmtId="167" xfId="0" applyAlignment="1" applyBorder="1" applyFont="1" applyNumberFormat="1">
      <alignment horizontal="center" shrinkToFit="0" vertical="center" wrapText="0"/>
    </xf>
    <xf borderId="80" fillId="0" fontId="19" numFmtId="165" xfId="0" applyAlignment="1" applyBorder="1" applyFont="1" applyNumberFormat="1">
      <alignment horizontal="center" shrinkToFit="0" vertical="center" wrapText="0"/>
    </xf>
    <xf borderId="80" fillId="0" fontId="56" numFmtId="167" xfId="0" applyAlignment="1" applyBorder="1" applyFont="1" applyNumberFormat="1">
      <alignment horizontal="center" shrinkToFit="0" vertical="center" wrapText="0"/>
    </xf>
    <xf borderId="80" fillId="2" fontId="56" numFmtId="10" xfId="0" applyAlignment="1" applyBorder="1" applyFont="1" applyNumberFormat="1">
      <alignment horizontal="center" shrinkToFit="0" vertical="center" wrapText="0"/>
    </xf>
    <xf borderId="80" fillId="0" fontId="19" numFmtId="165" xfId="0" applyAlignment="1" applyBorder="1" applyFont="1" applyNumberFormat="1">
      <alignment shrinkToFit="0" vertical="center" wrapText="0"/>
    </xf>
    <xf borderId="80" fillId="2" fontId="56" numFmtId="165" xfId="0" applyAlignment="1" applyBorder="1" applyFont="1" applyNumberFormat="1">
      <alignment shrinkToFit="0" vertical="center" wrapText="0"/>
    </xf>
    <xf borderId="80" fillId="2" fontId="56" numFmtId="165" xfId="0" applyAlignment="1" applyBorder="1" applyFont="1" applyNumberFormat="1">
      <alignment horizontal="center" shrinkToFit="0" vertical="center" wrapText="0"/>
    </xf>
    <xf borderId="81" fillId="2" fontId="57" numFmtId="0" xfId="0" applyAlignment="1" applyBorder="1" applyFont="1">
      <alignment horizontal="center" shrinkToFit="0" vertical="center" wrapText="0"/>
    </xf>
    <xf borderId="82" fillId="0" fontId="56" numFmtId="49" xfId="0" applyAlignment="1" applyBorder="1" applyFont="1" applyNumberFormat="1">
      <alignment horizontal="center" shrinkToFit="0" vertical="center" wrapText="1"/>
    </xf>
    <xf borderId="83" fillId="2" fontId="56" numFmtId="0" xfId="0" applyAlignment="1" applyBorder="1" applyFont="1">
      <alignment horizontal="center" readingOrder="0" shrinkToFit="0" vertical="center" wrapText="0"/>
    </xf>
    <xf borderId="84" fillId="2" fontId="56" numFmtId="10" xfId="0" applyAlignment="1" applyBorder="1" applyFont="1" applyNumberFormat="1">
      <alignment horizontal="center" shrinkToFit="0" vertical="center" wrapText="0"/>
    </xf>
    <xf borderId="85" fillId="2" fontId="56" numFmtId="167" xfId="0" applyAlignment="1" applyBorder="1" applyFont="1" applyNumberFormat="1">
      <alignment horizontal="center" shrinkToFit="0" vertical="center" wrapText="0"/>
    </xf>
    <xf borderId="85" fillId="0" fontId="56" numFmtId="165" xfId="0" applyAlignment="1" applyBorder="1" applyFont="1" applyNumberFormat="1">
      <alignment horizontal="center" shrinkToFit="0" vertical="center" wrapText="0"/>
    </xf>
    <xf borderId="85" fillId="0" fontId="56" numFmtId="167" xfId="0" applyAlignment="1" applyBorder="1" applyFont="1" applyNumberFormat="1">
      <alignment horizontal="center" shrinkToFit="0" vertical="center" wrapText="0"/>
    </xf>
    <xf borderId="85" fillId="2" fontId="56" numFmtId="10" xfId="0" applyAlignment="1" applyBorder="1" applyFont="1" applyNumberFormat="1">
      <alignment horizontal="center" shrinkToFit="0" vertical="center" wrapText="0"/>
    </xf>
    <xf borderId="85" fillId="0" fontId="56" numFmtId="165" xfId="0" applyAlignment="1" applyBorder="1" applyFont="1" applyNumberFormat="1">
      <alignment shrinkToFit="0" vertical="center" wrapText="0"/>
    </xf>
    <xf borderId="85" fillId="2" fontId="56" numFmtId="165" xfId="0" applyAlignment="1" applyBorder="1" applyFont="1" applyNumberFormat="1">
      <alignment shrinkToFit="0" vertical="center" wrapText="0"/>
    </xf>
    <xf borderId="85" fillId="2" fontId="56" numFmtId="165" xfId="0" applyAlignment="1" applyBorder="1" applyFont="1" applyNumberFormat="1">
      <alignment horizontal="center" shrinkToFit="0" vertical="center" wrapText="0"/>
    </xf>
    <xf borderId="80" fillId="8" fontId="56" numFmtId="165" xfId="0" applyAlignment="1" applyBorder="1" applyFill="1" applyFont="1" applyNumberFormat="1">
      <alignment shrinkToFit="0" vertical="center" wrapText="0"/>
    </xf>
    <xf borderId="80" fillId="8" fontId="56" numFmtId="10" xfId="0" applyAlignment="1" applyBorder="1" applyFont="1" applyNumberFormat="1">
      <alignment horizontal="center" shrinkToFit="0" vertical="center" wrapText="0"/>
    </xf>
    <xf borderId="81" fillId="8" fontId="57" numFmtId="0" xfId="0" applyAlignment="1" applyBorder="1" applyFont="1">
      <alignment horizontal="center" shrinkToFit="0" vertical="center" wrapText="0"/>
    </xf>
    <xf borderId="85" fillId="8" fontId="56" numFmtId="165" xfId="0" applyAlignment="1" applyBorder="1" applyFont="1" applyNumberFormat="1">
      <alignment shrinkToFit="0" vertical="center" wrapText="0"/>
    </xf>
    <xf borderId="85" fillId="8" fontId="56" numFmtId="10" xfId="0" applyAlignment="1" applyBorder="1" applyFont="1" applyNumberFormat="1">
      <alignment horizontal="center" shrinkToFit="0" vertical="center" wrapText="0"/>
    </xf>
    <xf borderId="86" fillId="8" fontId="57" numFmtId="0" xfId="0" applyAlignment="1" applyBorder="1" applyFont="1">
      <alignment horizontal="center" shrinkToFit="0" vertical="center" wrapText="0"/>
    </xf>
    <xf borderId="87" fillId="8" fontId="57" numFmtId="0" xfId="0" applyAlignment="1" applyBorder="1" applyFont="1">
      <alignment horizontal="center" shrinkToFit="0" vertical="center" wrapText="0"/>
    </xf>
    <xf borderId="80" fillId="0" fontId="56" numFmtId="165" xfId="0" applyAlignment="1" applyBorder="1" applyFont="1" applyNumberFormat="1">
      <alignment horizontal="center" shrinkToFit="0" vertical="center" wrapText="0"/>
    </xf>
    <xf borderId="80" fillId="0" fontId="56" numFmtId="165" xfId="0" applyAlignment="1" applyBorder="1" applyFont="1" applyNumberFormat="1">
      <alignment shrinkToFit="0" vertical="center" wrapText="0"/>
    </xf>
    <xf borderId="87" fillId="2" fontId="57" numFmtId="0" xfId="0" applyAlignment="1" applyBorder="1" applyFont="1">
      <alignment horizontal="center" shrinkToFit="0" vertical="center" wrapText="0"/>
    </xf>
    <xf borderId="88" fillId="2" fontId="57" numFmtId="0" xfId="0" applyAlignment="1" applyBorder="1" applyFont="1">
      <alignment horizontal="center" shrinkToFit="0" vertical="center" wrapText="0"/>
    </xf>
    <xf borderId="0" fillId="2" fontId="22" numFmtId="0" xfId="0" applyAlignment="1" applyFont="1">
      <alignment readingOrder="0" shrinkToFit="0" vertical="center" wrapText="1"/>
    </xf>
    <xf borderId="89" fillId="0" fontId="56" numFmtId="49" xfId="0" applyAlignment="1" applyBorder="1" applyFont="1" applyNumberFormat="1">
      <alignment horizontal="center" shrinkToFit="0" vertical="center" wrapText="1"/>
    </xf>
    <xf borderId="90" fillId="2" fontId="56" numFmtId="0" xfId="0" applyAlignment="1" applyBorder="1" applyFont="1">
      <alignment horizontal="center" readingOrder="0" shrinkToFit="0" vertical="center" wrapText="0"/>
    </xf>
    <xf borderId="91" fillId="2" fontId="56" numFmtId="10" xfId="0" applyAlignment="1" applyBorder="1" applyFont="1" applyNumberFormat="1">
      <alignment horizontal="center" shrinkToFit="0" vertical="center" wrapText="0"/>
    </xf>
    <xf borderId="92" fillId="2" fontId="56" numFmtId="167" xfId="0" applyAlignment="1" applyBorder="1" applyFont="1" applyNumberFormat="1">
      <alignment horizontal="center" shrinkToFit="0" vertical="center" wrapText="0"/>
    </xf>
    <xf borderId="92" fillId="2" fontId="56" numFmtId="165" xfId="0" applyAlignment="1" applyBorder="1" applyFont="1" applyNumberFormat="1">
      <alignment horizontal="center" shrinkToFit="0" vertical="center" wrapText="0"/>
    </xf>
    <xf borderId="92" fillId="0" fontId="56" numFmtId="167" xfId="0" applyAlignment="1" applyBorder="1" applyFont="1" applyNumberFormat="1">
      <alignment horizontal="center" shrinkToFit="0" vertical="center" wrapText="0"/>
    </xf>
    <xf borderId="92" fillId="2" fontId="56" numFmtId="10" xfId="0" applyAlignment="1" applyBorder="1" applyFont="1" applyNumberFormat="1">
      <alignment horizontal="center" shrinkToFit="0" vertical="center" wrapText="0"/>
    </xf>
    <xf borderId="92" fillId="8" fontId="56" numFmtId="165" xfId="0" applyAlignment="1" applyBorder="1" applyFont="1" applyNumberFormat="1">
      <alignment shrinkToFit="0" vertical="center" wrapText="0"/>
    </xf>
    <xf borderId="92" fillId="8" fontId="56" numFmtId="10" xfId="0" applyAlignment="1" applyBorder="1" applyFont="1" applyNumberFormat="1">
      <alignment horizontal="center" shrinkToFit="0" vertical="center" wrapText="0"/>
    </xf>
    <xf borderId="93" fillId="8" fontId="57" numFmtId="0" xfId="0" applyAlignment="1" applyBorder="1" applyFont="1">
      <alignment horizontal="center" shrinkToFit="0" vertical="center" wrapText="0"/>
    </xf>
    <xf borderId="0" fillId="2" fontId="9" numFmtId="0" xfId="0" applyAlignment="1" applyFont="1">
      <alignment horizontal="center" vertical="center"/>
    </xf>
    <xf borderId="94" fillId="3" fontId="58" numFmtId="0" xfId="0" applyAlignment="1" applyBorder="1" applyFont="1">
      <alignment horizontal="center" readingOrder="0"/>
    </xf>
    <xf borderId="95" fillId="5" fontId="11" numFmtId="0" xfId="0" applyBorder="1" applyFont="1"/>
    <xf borderId="96" fillId="5" fontId="11" numFmtId="0" xfId="0" applyBorder="1" applyFont="1"/>
    <xf borderId="97" fillId="9" fontId="59" numFmtId="0" xfId="0" applyAlignment="1" applyBorder="1" applyFill="1" applyFont="1">
      <alignment horizontal="center" readingOrder="0" vertical="center"/>
    </xf>
    <xf borderId="13" fillId="9" fontId="11" numFmtId="0" xfId="0" applyBorder="1" applyFont="1"/>
    <xf borderId="13" fillId="9" fontId="12" numFmtId="0" xfId="0" applyAlignment="1" applyBorder="1" applyFont="1">
      <alignment readingOrder="0"/>
    </xf>
    <xf borderId="13" fillId="9" fontId="59" numFmtId="0" xfId="0" applyAlignment="1" applyBorder="1" applyFont="1">
      <alignment horizontal="center" readingOrder="0" vertical="center"/>
    </xf>
    <xf borderId="98" fillId="9" fontId="11" numFmtId="0" xfId="0" applyBorder="1" applyFont="1"/>
    <xf borderId="99" fillId="2" fontId="60" numFmtId="10" xfId="0" applyAlignment="1" applyBorder="1" applyFont="1" applyNumberFormat="1">
      <alignment horizontal="center"/>
    </xf>
    <xf borderId="100" fillId="2" fontId="11" numFmtId="0" xfId="0" applyBorder="1" applyFont="1"/>
    <xf borderId="101" fillId="2" fontId="11" numFmtId="0" xfId="0" applyBorder="1" applyFont="1"/>
    <xf borderId="97" fillId="10" fontId="21" numFmtId="0" xfId="0" applyBorder="1" applyFill="1" applyFont="1"/>
    <xf borderId="13" fillId="10" fontId="4" numFmtId="0" xfId="0" applyAlignment="1" applyBorder="1" applyFont="1">
      <alignment horizontal="center" readingOrder="0" shrinkToFit="0" vertical="center" wrapText="1"/>
    </xf>
    <xf borderId="13" fillId="10" fontId="61" numFmtId="0" xfId="0" applyAlignment="1" applyBorder="1" applyFont="1">
      <alignment horizontal="center" shrinkToFit="0" vertical="center" wrapText="1"/>
    </xf>
    <xf borderId="98" fillId="10" fontId="4" numFmtId="0" xfId="0" applyAlignment="1" applyBorder="1" applyFont="1">
      <alignment horizontal="center" readingOrder="0" shrinkToFit="0" vertical="center" wrapText="1"/>
    </xf>
    <xf borderId="102" fillId="3" fontId="62" numFmtId="0" xfId="0" applyAlignment="1" applyBorder="1" applyFont="1">
      <alignment horizontal="center"/>
    </xf>
    <xf borderId="103" fillId="5" fontId="11" numFmtId="0" xfId="0" applyBorder="1" applyFont="1"/>
    <xf borderId="97" fillId="9" fontId="4" numFmtId="0" xfId="0" applyAlignment="1" applyBorder="1" applyFont="1">
      <alignment horizontal="center" shrinkToFit="0" vertical="center" wrapText="1"/>
    </xf>
    <xf borderId="13" fillId="9" fontId="22" numFmtId="0" xfId="0" applyAlignment="1" applyBorder="1" applyFont="1">
      <alignment horizontal="center" shrinkToFit="0" vertical="center" wrapText="1"/>
    </xf>
    <xf borderId="13" fillId="9" fontId="22" numFmtId="171" xfId="0" applyAlignment="1" applyBorder="1" applyFont="1" applyNumberFormat="1">
      <alignment horizontal="center" shrinkToFit="0" vertical="center" wrapText="1"/>
    </xf>
    <xf borderId="13" fillId="9" fontId="4" numFmtId="49" xfId="0" applyAlignment="1" applyBorder="1" applyFont="1" applyNumberFormat="1">
      <alignment horizontal="center" shrinkToFit="0" vertical="center" wrapText="1"/>
    </xf>
    <xf borderId="98" fillId="9" fontId="22" numFmtId="171" xfId="0" applyAlignment="1" applyBorder="1" applyFont="1" applyNumberFormat="1">
      <alignment horizontal="center" shrinkToFit="0" vertical="center" wrapText="1"/>
    </xf>
    <xf borderId="97" fillId="10" fontId="4" numFmtId="0" xfId="0" applyAlignment="1" applyBorder="1" applyFont="1">
      <alignment horizontal="center" shrinkToFit="0" vertical="center" wrapText="1"/>
    </xf>
    <xf borderId="13" fillId="10" fontId="22" numFmtId="0" xfId="0" applyAlignment="1" applyBorder="1" applyFont="1">
      <alignment horizontal="center" shrinkToFit="0" vertical="center" wrapText="1"/>
    </xf>
    <xf borderId="13" fillId="10" fontId="22" numFmtId="171" xfId="0" applyAlignment="1" applyBorder="1" applyFont="1" applyNumberFormat="1">
      <alignment horizontal="center" shrinkToFit="0" vertical="center" wrapText="1"/>
    </xf>
    <xf borderId="13" fillId="10" fontId="4" numFmtId="0" xfId="0" applyAlignment="1" applyBorder="1" applyFont="1">
      <alignment horizontal="center" shrinkToFit="0" vertical="center" wrapText="1"/>
    </xf>
    <xf borderId="98" fillId="10" fontId="22" numFmtId="171" xfId="0" applyAlignment="1" applyBorder="1" applyFont="1" applyNumberFormat="1">
      <alignment horizontal="center" shrinkToFit="0" vertical="center" wrapText="1"/>
    </xf>
    <xf borderId="94" fillId="3" fontId="62" numFmtId="0" xfId="0" applyAlignment="1" applyBorder="1" applyFont="1">
      <alignment horizontal="center"/>
    </xf>
    <xf borderId="13" fillId="9" fontId="4" numFmtId="0" xfId="0" applyAlignment="1" applyBorder="1" applyFont="1">
      <alignment horizontal="center" shrinkToFit="0" vertical="center" wrapText="1"/>
    </xf>
    <xf borderId="99" fillId="2" fontId="60" numFmtId="171" xfId="0" applyAlignment="1" applyBorder="1" applyFont="1" applyNumberFormat="1">
      <alignment horizontal="center"/>
    </xf>
    <xf borderId="94" fillId="3" fontId="62" numFmtId="0" xfId="0" applyAlignment="1" applyBorder="1" applyFont="1">
      <alignment horizontal="center" readingOrder="0"/>
    </xf>
    <xf borderId="99" fillId="2" fontId="60" numFmtId="171" xfId="0" applyAlignment="1" applyBorder="1" applyFont="1" applyNumberFormat="1">
      <alignment horizontal="center"/>
    </xf>
    <xf borderId="0" fillId="2" fontId="22" numFmtId="0" xfId="0" applyFont="1"/>
  </cellXfs>
  <cellStyles count="1">
    <cellStyle xfId="0" name="Normal" builtinId="0"/>
  </cellStyles>
  <dxfs count="14">
    <dxf>
      <font/>
      <fill>
        <patternFill patternType="none"/>
      </fill>
      <border/>
    </dxf>
    <dxf>
      <font/>
      <fill>
        <patternFill patternType="solid">
          <fgColor rgb="FFB4A7D6"/>
          <bgColor rgb="FFB4A7D6"/>
        </patternFill>
      </fill>
      <border/>
    </dxf>
    <dxf>
      <font/>
      <fill>
        <patternFill patternType="solid">
          <fgColor rgb="FFD9D2E9"/>
          <bgColor rgb="FFD9D2E9"/>
        </patternFill>
      </fill>
      <border/>
    </dxf>
    <dxf>
      <font/>
      <fill>
        <patternFill patternType="solid">
          <fgColor rgb="FF38761D"/>
          <bgColor rgb="FF38761D"/>
        </patternFill>
      </fill>
      <border/>
    </dxf>
    <dxf>
      <font/>
      <fill>
        <patternFill patternType="solid">
          <fgColor rgb="FFB7D7A8"/>
          <bgColor rgb="FFB7D7A8"/>
        </patternFill>
      </fill>
      <border/>
    </dxf>
    <dxf>
      <font/>
      <fill>
        <patternFill patternType="solid">
          <fgColor rgb="FFD9EAD3"/>
          <bgColor rgb="FFD9EAD3"/>
        </patternFill>
      </fill>
      <border/>
    </dxf>
    <dxf>
      <font/>
      <fill>
        <patternFill patternType="solid">
          <fgColor rgb="FFB4A7D7"/>
          <bgColor rgb="FFB4A7D7"/>
        </patternFill>
      </fill>
      <border/>
    </dxf>
    <dxf>
      <font/>
      <fill>
        <patternFill patternType="solid">
          <fgColor rgb="FFB6D7A8"/>
          <bgColor rgb="FFB6D7A8"/>
        </patternFill>
      </fill>
      <border/>
    </dxf>
    <dxf>
      <font>
        <color rgb="FF434343"/>
      </font>
      <fill>
        <patternFill patternType="solid">
          <fgColor rgb="FFEA9999"/>
          <bgColor rgb="FFEA9999"/>
        </patternFill>
      </fill>
      <border/>
    </dxf>
    <dxf>
      <font/>
      <fill>
        <patternFill patternType="solid">
          <fgColor rgb="FFB6D7A8"/>
          <bgColor rgb="FFB6D7A8"/>
        </patternFill>
      </fill>
      <border/>
    </dxf>
    <dxf>
      <font>
        <color rgb="FF434343"/>
      </font>
      <fill>
        <patternFill patternType="solid">
          <fgColor rgb="FF6FA8DC"/>
          <bgColor rgb="FF6FA8DC"/>
        </patternFill>
      </fill>
      <border/>
    </dxf>
    <dxf>
      <font>
        <color rgb="FF434343"/>
      </font>
      <fill>
        <patternFill patternType="solid">
          <fgColor rgb="FFF6B26B"/>
          <bgColor rgb="FFF6B26B"/>
        </patternFill>
      </fill>
      <border/>
    </dxf>
    <dxf>
      <font/>
      <fill>
        <patternFill patternType="solid">
          <fgColor rgb="FF6AA84F"/>
          <bgColor rgb="FF6AA84F"/>
        </patternFill>
      </fill>
      <border/>
    </dxf>
    <dxf>
      <font/>
      <fill>
        <patternFill patternType="solid">
          <fgColor rgb="FF93C47D"/>
          <bgColor rgb="FF93C47D"/>
        </patternFill>
      </fill>
      <border/>
    </dxf>
  </dxfs>
  <tableStyles count="20">
    <tableStyle count="2" pivot="0" name="Settings-style">
      <tableStyleElement dxfId="1" type="firstRowStripe"/>
      <tableStyleElement dxfId="2" type="secondRowStripe"/>
    </tableStyle>
    <tableStyle count="3" pivot="0" name="Settings-style 2">
      <tableStyleElement dxfId="3" type="headerRow"/>
      <tableStyleElement dxfId="1" type="firstRowStripe"/>
      <tableStyleElement dxfId="2" type="secondRowStripe"/>
    </tableStyle>
    <tableStyle count="2" pivot="0" name="Stock List-style">
      <tableStyleElement dxfId="1" type="firstRowStripe"/>
      <tableStyleElement dxfId="2" type="secondRowStripe"/>
    </tableStyle>
    <tableStyle count="2" pivot="0" name="Stock List-style 2">
      <tableStyleElement dxfId="4" type="firstRowStripe"/>
      <tableStyleElement dxfId="5" type="secondRowStripe"/>
    </tableStyle>
    <tableStyle count="2" pivot="0" name="Stock List-style 3">
      <tableStyleElement dxfId="6" type="firstRowStripe"/>
      <tableStyleElement dxfId="2" type="secondRowStripe"/>
    </tableStyle>
    <tableStyle count="2" pivot="0" name="Stock List-style 4">
      <tableStyleElement dxfId="7" type="firstRowStripe"/>
      <tableStyleElement dxfId="5" type="secondRowStripe"/>
    </tableStyle>
    <tableStyle count="2" pivot="0" name="COGS Recipes-style">
      <tableStyleElement dxfId="7" type="firstRowStripe"/>
      <tableStyleElement dxfId="5" type="secondRowStripe"/>
    </tableStyle>
    <tableStyle count="2" pivot="0" name="COGS Recipes-style 2">
      <tableStyleElement dxfId="7" type="firstRowStripe"/>
      <tableStyleElement dxfId="5" type="secondRowStripe"/>
    </tableStyle>
    <tableStyle count="2" pivot="0" name="COGS Recipes-style 3">
      <tableStyleElement dxfId="7" type="firstRowStripe"/>
      <tableStyleElement dxfId="5" type="secondRowStripe"/>
    </tableStyle>
    <tableStyle count="2" pivot="0" name="COGS Recipes-style 4">
      <tableStyleElement dxfId="7" type="firstRowStripe"/>
      <tableStyleElement dxfId="5" type="secondRowStripe"/>
    </tableStyle>
    <tableStyle count="2" pivot="0" name="COGS Recipes-style 5">
      <tableStyleElement dxfId="7" type="firstRowStripe"/>
      <tableStyleElement dxfId="5" type="secondRowStripe"/>
    </tableStyle>
    <tableStyle count="2" pivot="0" name="COGS Recipes-style 6">
      <tableStyleElement dxfId="7" type="firstRowStripe"/>
      <tableStyleElement dxfId="5" type="secondRowStripe"/>
    </tableStyle>
    <tableStyle count="2" pivot="0" name="COGS Recipes-style 7">
      <tableStyleElement dxfId="7" type="firstRowStripe"/>
      <tableStyleElement dxfId="5" type="secondRowStripe"/>
    </tableStyle>
    <tableStyle count="2" pivot="0" name="COGS Recipes-style 8">
      <tableStyleElement dxfId="7" type="firstRowStripe"/>
      <tableStyleElement dxfId="5" type="secondRowStripe"/>
    </tableStyle>
    <tableStyle count="2" pivot="0" name="COGS Recipes-style 9">
      <tableStyleElement dxfId="7" type="firstRowStripe"/>
      <tableStyleElement dxfId="5" type="secondRowStripe"/>
    </tableStyle>
    <tableStyle count="2" pivot="0" name="COGS Recipes-style 10">
      <tableStyleElement dxfId="7" type="firstRowStripe"/>
      <tableStyleElement dxfId="5" type="secondRowStripe"/>
    </tableStyle>
    <tableStyle count="2" pivot="0" name="COGS Recipes-style 11">
      <tableStyleElement dxfId="7" type="firstRowStripe"/>
      <tableStyleElement dxfId="5" type="secondRowStripe"/>
    </tableStyle>
    <tableStyle count="2" pivot="0" name="COGS Recipes-style 12">
      <tableStyleElement dxfId="7" type="firstRowStripe"/>
      <tableStyleElement dxfId="5" type="secondRowStripe"/>
    </tableStyle>
    <tableStyle count="2" pivot="0" name="COGS Recipes-style 13">
      <tableStyleElement dxfId="7" type="firstRowStripe"/>
      <tableStyleElement dxfId="5" type="secondRowStripe"/>
    </tableStyle>
    <tableStyle count="3" pivot="0" name="Item Performance-style">
      <tableStyleElement dxfId="12" type="headerRow"/>
      <tableStyleElement dxfId="13"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Verdana"/>
              </a:defRPr>
            </a:pPr>
            <a:r>
              <a:rPr b="1">
                <a:solidFill>
                  <a:srgbClr val="434343"/>
                </a:solidFill>
                <a:latin typeface="Verdana"/>
              </a:rPr>
              <a:t>Popularity, items sold</a:t>
            </a:r>
          </a:p>
        </c:rich>
      </c:tx>
      <c:overlay val="0"/>
    </c:title>
    <c:plotArea>
      <c:layout/>
      <c:doughnutChart>
        <c:varyColors val="1"/>
        <c:ser>
          <c:idx val="0"/>
          <c:order val="0"/>
          <c:tx>
            <c:strRef>
              <c:f>'Item Performance'!$D$3</c:f>
            </c:strRef>
          </c:tx>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dPt>
            <c:idx val="5"/>
            <c:spPr>
              <a:solidFill>
                <a:srgbClr val="F79646"/>
              </a:solidFill>
            </c:spPr>
          </c:dPt>
          <c:dPt>
            <c:idx val="6"/>
            <c:spPr>
              <a:solidFill>
                <a:srgbClr val="84A7D1"/>
              </a:solidFill>
            </c:spPr>
          </c:dPt>
          <c:dPt>
            <c:idx val="7"/>
            <c:spPr>
              <a:solidFill>
                <a:srgbClr val="D38582"/>
              </a:solidFill>
            </c:spPr>
          </c:dPt>
          <c:dPt>
            <c:idx val="8"/>
            <c:spPr>
              <a:solidFill>
                <a:srgbClr val="B9CF8B"/>
              </a:solidFill>
            </c:spPr>
          </c:dPt>
          <c:dPt>
            <c:idx val="9"/>
            <c:spPr>
              <a:solidFill>
                <a:srgbClr val="A693BE"/>
              </a:solidFill>
            </c:spPr>
          </c:dPt>
          <c:dPt>
            <c:idx val="10"/>
            <c:spPr>
              <a:solidFill>
                <a:srgbClr val="81C5D7"/>
              </a:solidFill>
            </c:spPr>
          </c:dPt>
          <c:dPt>
            <c:idx val="11"/>
            <c:spPr>
              <a:solidFill>
                <a:srgbClr val="F9B67E"/>
              </a:solidFill>
            </c:spPr>
          </c:dPt>
          <c:dPt>
            <c:idx val="12"/>
            <c:spPr>
              <a:solidFill>
                <a:srgbClr val="B9CDE5"/>
              </a:solidFill>
            </c:spPr>
          </c:dPt>
          <c:dLbls>
            <c:showLegendKey val="0"/>
            <c:showVal val="1"/>
            <c:showCatName val="0"/>
            <c:showSerName val="0"/>
            <c:showPercent val="0"/>
            <c:showBubbleSize val="0"/>
            <c:showLeaderLines val="1"/>
          </c:dLbls>
          <c:cat>
            <c:strRef>
              <c:f>'Item Performance'!$C$4:$C$16</c:f>
            </c:strRef>
          </c:cat>
          <c:val>
            <c:numRef>
              <c:f>'Item Performance'!$D$4:$D$16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434343"/>
              </a:solidFill>
              <a:latin typeface="+mn-lt"/>
            </a:defRPr>
          </a:pPr>
        </a:p>
      </c:txPr>
    </c:legend>
    <c:plotVisOnly val="1"/>
  </c:chart>
  <c:spPr>
    <a:solidFill>
      <a:srgbClr val="D9D2E9"/>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ubbleChart>
        <c:ser>
          <c:idx val="0"/>
          <c:order val="0"/>
          <c:tx>
            <c:strRef>
              <c:f>'Item Performance'!$C$4</c:f>
            </c:strRef>
          </c:tx>
          <c:dLbls>
            <c:dLblPos val="ctr"/>
            <c:showLegendKey val="0"/>
            <c:showVal val="0"/>
            <c:showCatName val="0"/>
            <c:showSerName val="1"/>
            <c:showPercent val="0"/>
            <c:showBubbleSize val="0"/>
          </c:dLbls>
          <c:xVal>
            <c:strRef>
              <c:f>'Item Performance'!$I$4</c:f>
            </c:strRef>
          </c:xVal>
          <c:yVal>
            <c:numRef>
              <c:f>'Item Performance'!$E$4</c:f>
              <c:numCache/>
            </c:numRef>
          </c:yVal>
          <c:bubbleSize>
            <c:numRef>
              <c:f>'Item Performance'!$L$4</c:f>
            </c:numRef>
          </c:bubbleSize>
        </c:ser>
        <c:ser>
          <c:idx val="1"/>
          <c:order val="1"/>
          <c:tx>
            <c:strRef>
              <c:f>'Item Performance'!$C$5</c:f>
            </c:strRef>
          </c:tx>
          <c:dLbls>
            <c:dLblPos val="ctr"/>
            <c:showLegendKey val="0"/>
            <c:showVal val="0"/>
            <c:showCatName val="0"/>
            <c:showSerName val="1"/>
            <c:showPercent val="0"/>
            <c:showBubbleSize val="0"/>
          </c:dLbls>
          <c:xVal>
            <c:strRef>
              <c:f>'Item Performance'!$I$5</c:f>
            </c:strRef>
          </c:xVal>
          <c:yVal>
            <c:numRef>
              <c:f>'Item Performance'!$E$5</c:f>
              <c:numCache/>
            </c:numRef>
          </c:yVal>
          <c:bubbleSize>
            <c:numRef>
              <c:f>'Item Performance'!$L$5</c:f>
            </c:numRef>
          </c:bubbleSize>
        </c:ser>
        <c:ser>
          <c:idx val="2"/>
          <c:order val="2"/>
          <c:tx>
            <c:strRef>
              <c:f>'Item Performance'!$C$6</c:f>
            </c:strRef>
          </c:tx>
          <c:dLbls>
            <c:dLblPos val="ctr"/>
            <c:showLegendKey val="0"/>
            <c:showVal val="0"/>
            <c:showCatName val="0"/>
            <c:showSerName val="1"/>
            <c:showPercent val="0"/>
            <c:showBubbleSize val="0"/>
          </c:dLbls>
          <c:xVal>
            <c:strRef>
              <c:f>'Item Performance'!$I$6</c:f>
            </c:strRef>
          </c:xVal>
          <c:yVal>
            <c:numRef>
              <c:f>'Item Performance'!$E$6</c:f>
              <c:numCache/>
            </c:numRef>
          </c:yVal>
          <c:bubbleSize>
            <c:numRef>
              <c:f>'Item Performance'!$L$6</c:f>
            </c:numRef>
          </c:bubbleSize>
        </c:ser>
        <c:ser>
          <c:idx val="3"/>
          <c:order val="3"/>
          <c:tx>
            <c:strRef>
              <c:f>'Item Performance'!$C$7</c:f>
            </c:strRef>
          </c:tx>
          <c:dLbls>
            <c:dLblPos val="ctr"/>
            <c:showLegendKey val="0"/>
            <c:showVal val="0"/>
            <c:showCatName val="0"/>
            <c:showSerName val="1"/>
            <c:showPercent val="0"/>
            <c:showBubbleSize val="0"/>
          </c:dLbls>
          <c:xVal>
            <c:strRef>
              <c:f>'Item Performance'!$I$7</c:f>
            </c:strRef>
          </c:xVal>
          <c:yVal>
            <c:numRef>
              <c:f>'Item Performance'!$E$7</c:f>
              <c:numCache/>
            </c:numRef>
          </c:yVal>
          <c:bubbleSize>
            <c:numRef>
              <c:f>'Item Performance'!$L$7</c:f>
            </c:numRef>
          </c:bubbleSize>
        </c:ser>
        <c:ser>
          <c:idx val="4"/>
          <c:order val="4"/>
          <c:tx>
            <c:strRef>
              <c:f>'Item Performance'!$C$8</c:f>
            </c:strRef>
          </c:tx>
          <c:dLbls>
            <c:dLblPos val="ctr"/>
            <c:showLegendKey val="0"/>
            <c:showVal val="0"/>
            <c:showCatName val="0"/>
            <c:showSerName val="1"/>
            <c:showPercent val="0"/>
            <c:showBubbleSize val="0"/>
          </c:dLbls>
          <c:xVal>
            <c:strRef>
              <c:f>'Item Performance'!$I$8</c:f>
            </c:strRef>
          </c:xVal>
          <c:yVal>
            <c:numRef>
              <c:f>'Item Performance'!$E$8</c:f>
              <c:numCache/>
            </c:numRef>
          </c:yVal>
          <c:bubbleSize>
            <c:numRef>
              <c:f>'Item Performance'!$L$8</c:f>
            </c:numRef>
          </c:bubbleSize>
        </c:ser>
        <c:ser>
          <c:idx val="5"/>
          <c:order val="5"/>
          <c:tx>
            <c:strRef>
              <c:f>'Item Performance'!$C$9</c:f>
            </c:strRef>
          </c:tx>
          <c:dLbls>
            <c:dLblPos val="ctr"/>
            <c:showLegendKey val="0"/>
            <c:showVal val="0"/>
            <c:showCatName val="0"/>
            <c:showSerName val="1"/>
            <c:showPercent val="0"/>
            <c:showBubbleSize val="0"/>
          </c:dLbls>
          <c:xVal>
            <c:strRef>
              <c:f>'Item Performance'!$I$9</c:f>
            </c:strRef>
          </c:xVal>
          <c:yVal>
            <c:numRef>
              <c:f>'Item Performance'!$E$9</c:f>
              <c:numCache/>
            </c:numRef>
          </c:yVal>
          <c:bubbleSize>
            <c:numRef>
              <c:f>'Item Performance'!$L$9</c:f>
            </c:numRef>
          </c:bubbleSize>
        </c:ser>
        <c:ser>
          <c:idx val="6"/>
          <c:order val="6"/>
          <c:tx>
            <c:strRef>
              <c:f>'Item Performance'!$C$10</c:f>
            </c:strRef>
          </c:tx>
          <c:dLbls>
            <c:dLblPos val="ctr"/>
            <c:showLegendKey val="0"/>
            <c:showVal val="0"/>
            <c:showCatName val="0"/>
            <c:showSerName val="1"/>
            <c:showPercent val="0"/>
            <c:showBubbleSize val="0"/>
          </c:dLbls>
          <c:xVal>
            <c:strRef>
              <c:f>'Item Performance'!$I$10</c:f>
            </c:strRef>
          </c:xVal>
          <c:yVal>
            <c:numRef>
              <c:f>'Item Performance'!$E$10</c:f>
              <c:numCache/>
            </c:numRef>
          </c:yVal>
          <c:bubbleSize>
            <c:numRef>
              <c:f>'Item Performance'!$L$10</c:f>
            </c:numRef>
          </c:bubbleSize>
        </c:ser>
        <c:ser>
          <c:idx val="7"/>
          <c:order val="7"/>
          <c:tx>
            <c:strRef>
              <c:f>'Item Performance'!$C$11</c:f>
            </c:strRef>
          </c:tx>
          <c:dLbls>
            <c:dLblPos val="ctr"/>
            <c:showLegendKey val="0"/>
            <c:showVal val="0"/>
            <c:showCatName val="0"/>
            <c:showSerName val="1"/>
            <c:showPercent val="0"/>
            <c:showBubbleSize val="0"/>
          </c:dLbls>
          <c:xVal>
            <c:strRef>
              <c:f>'Item Performance'!$I$11</c:f>
            </c:strRef>
          </c:xVal>
          <c:yVal>
            <c:numRef>
              <c:f>'Item Performance'!$E$11</c:f>
              <c:numCache/>
            </c:numRef>
          </c:yVal>
          <c:bubbleSize>
            <c:numRef>
              <c:f>'Item Performance'!$L$11</c:f>
            </c:numRef>
          </c:bubbleSize>
        </c:ser>
        <c:ser>
          <c:idx val="8"/>
          <c:order val="8"/>
          <c:tx>
            <c:strRef>
              <c:f>'Item Performance'!$C$12</c:f>
            </c:strRef>
          </c:tx>
          <c:dLbls>
            <c:dLblPos val="ctr"/>
            <c:showLegendKey val="0"/>
            <c:showVal val="0"/>
            <c:showCatName val="0"/>
            <c:showSerName val="1"/>
            <c:showPercent val="0"/>
            <c:showBubbleSize val="0"/>
          </c:dLbls>
          <c:xVal>
            <c:strRef>
              <c:f>'Item Performance'!$I$12</c:f>
            </c:strRef>
          </c:xVal>
          <c:yVal>
            <c:numRef>
              <c:f>'Item Performance'!$E$12</c:f>
              <c:numCache/>
            </c:numRef>
          </c:yVal>
          <c:bubbleSize>
            <c:numRef>
              <c:f>'Item Performance'!$L$12</c:f>
            </c:numRef>
          </c:bubbleSize>
        </c:ser>
        <c:ser>
          <c:idx val="9"/>
          <c:order val="9"/>
          <c:tx>
            <c:strRef>
              <c:f>'Item Performance'!$C$13</c:f>
            </c:strRef>
          </c:tx>
          <c:dLbls>
            <c:dLblPos val="ctr"/>
            <c:showLegendKey val="0"/>
            <c:showVal val="0"/>
            <c:showCatName val="0"/>
            <c:showSerName val="1"/>
            <c:showPercent val="0"/>
            <c:showBubbleSize val="0"/>
          </c:dLbls>
          <c:xVal>
            <c:strRef>
              <c:f>'Item Performance'!$I$13</c:f>
            </c:strRef>
          </c:xVal>
          <c:yVal>
            <c:numRef>
              <c:f>'Item Performance'!$E$13</c:f>
              <c:numCache/>
            </c:numRef>
          </c:yVal>
          <c:bubbleSize>
            <c:numRef>
              <c:f>'Item Performance'!$L$13</c:f>
            </c:numRef>
          </c:bubbleSize>
        </c:ser>
        <c:ser>
          <c:idx val="10"/>
          <c:order val="10"/>
          <c:tx>
            <c:strRef>
              <c:f>'Item Performance'!$C$14</c:f>
            </c:strRef>
          </c:tx>
          <c:dLbls>
            <c:dLblPos val="ctr"/>
            <c:showLegendKey val="0"/>
            <c:showVal val="0"/>
            <c:showCatName val="0"/>
            <c:showSerName val="1"/>
            <c:showPercent val="0"/>
            <c:showBubbleSize val="0"/>
          </c:dLbls>
          <c:xVal>
            <c:strRef>
              <c:f>'Item Performance'!$I$14</c:f>
            </c:strRef>
          </c:xVal>
          <c:yVal>
            <c:numRef>
              <c:f>'Item Performance'!$E$14</c:f>
              <c:numCache/>
            </c:numRef>
          </c:yVal>
          <c:bubbleSize>
            <c:numRef>
              <c:f>'Item Performance'!$L$14</c:f>
            </c:numRef>
          </c:bubbleSize>
        </c:ser>
        <c:ser>
          <c:idx val="11"/>
          <c:order val="11"/>
          <c:tx>
            <c:strRef>
              <c:f>'Item Performance'!$C$15</c:f>
            </c:strRef>
          </c:tx>
          <c:dLbls>
            <c:dLblPos val="ctr"/>
            <c:showLegendKey val="0"/>
            <c:showVal val="0"/>
            <c:showCatName val="0"/>
            <c:showSerName val="1"/>
            <c:showPercent val="0"/>
            <c:showBubbleSize val="0"/>
          </c:dLbls>
          <c:xVal>
            <c:strRef>
              <c:f>'Item Performance'!$I$15</c:f>
            </c:strRef>
          </c:xVal>
          <c:yVal>
            <c:numRef>
              <c:f>'Item Performance'!$E$15</c:f>
              <c:numCache/>
            </c:numRef>
          </c:yVal>
          <c:bubbleSize>
            <c:numRef>
              <c:f>'Item Performance'!$L$15</c:f>
            </c:numRef>
          </c:bubbleSize>
        </c:ser>
        <c:ser>
          <c:idx val="12"/>
          <c:order val="12"/>
          <c:tx>
            <c:strRef>
              <c:f>'Item Performance'!$C$16</c:f>
            </c:strRef>
          </c:tx>
          <c:dLbls>
            <c:dLblPos val="ctr"/>
            <c:showLegendKey val="0"/>
            <c:showVal val="0"/>
            <c:showCatName val="0"/>
            <c:showSerName val="1"/>
            <c:showPercent val="0"/>
            <c:showBubbleSize val="0"/>
          </c:dLbls>
          <c:xVal>
            <c:strRef>
              <c:f>'Item Performance'!$I$16</c:f>
            </c:strRef>
          </c:xVal>
          <c:yVal>
            <c:numRef>
              <c:f>'Item Performance'!$E$16</c:f>
              <c:numCache/>
            </c:numRef>
          </c:yVal>
          <c:bubbleSize>
            <c:numRef>
              <c:f>'Item Performance'!$L$16</c:f>
            </c:numRef>
          </c:bubbleSize>
        </c:ser>
        <c:axId val="1539795539"/>
        <c:axId val="1084803361"/>
      </c:bubbleChart>
      <c:valAx>
        <c:axId val="15397955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Tahoma"/>
                  </a:defRPr>
                </a:pPr>
                <a:r>
                  <a:rPr b="0">
                    <a:solidFill>
                      <a:srgbClr val="000000"/>
                    </a:solidFill>
                    <a:latin typeface="Tahoma"/>
                  </a:rPr>
                  <a:t>Gross Profit %</a:t>
                </a:r>
              </a:p>
            </c:rich>
          </c:tx>
          <c:overlay val="0"/>
        </c:title>
        <c:numFmt formatCode="General" sourceLinked="1"/>
        <c:majorTickMark val="none"/>
        <c:minorTickMark val="none"/>
        <c:tickLblPos val="nextTo"/>
        <c:spPr>
          <a:ln/>
        </c:spPr>
        <c:txPr>
          <a:bodyPr/>
          <a:lstStyle/>
          <a:p>
            <a:pPr lvl="0">
              <a:defRPr b="0">
                <a:solidFill>
                  <a:srgbClr val="000000"/>
                </a:solidFill>
                <a:latin typeface="Tahoma"/>
              </a:defRPr>
            </a:pPr>
          </a:p>
        </c:txPr>
        <c:crossAx val="1084803361"/>
      </c:valAx>
      <c:valAx>
        <c:axId val="1084803361"/>
        <c:scaling>
          <c:orientation val="minMax"/>
          <c:max val="0.25"/>
        </c:scaling>
        <c:delete val="0"/>
        <c:axPos val="l"/>
        <c:majorGridlines>
          <c:spPr>
            <a:ln>
              <a:solidFill>
                <a:srgbClr val="B6D7A8"/>
              </a:solidFill>
            </a:ln>
          </c:spPr>
        </c:majorGridlines>
        <c:minorGridlines>
          <c:spPr>
            <a:ln>
              <a:solidFill>
                <a:srgbClr val="D9EAD3"/>
              </a:solidFill>
            </a:ln>
          </c:spPr>
        </c:minorGridlines>
        <c:title>
          <c:tx>
            <c:rich>
              <a:bodyPr/>
              <a:lstStyle/>
              <a:p>
                <a:pPr lvl="0">
                  <a:defRPr b="0">
                    <a:solidFill>
                      <a:srgbClr val="000000"/>
                    </a:solidFill>
                    <a:latin typeface="Tahoma"/>
                  </a:defRPr>
                </a:pPr>
                <a:r>
                  <a:rPr b="0">
                    <a:solidFill>
                      <a:srgbClr val="000000"/>
                    </a:solidFill>
                    <a:latin typeface="Tahoma"/>
                  </a:rPr>
                  <a:t>Popularity</a:t>
                </a:r>
              </a:p>
            </c:rich>
          </c:tx>
          <c:overlay val="0"/>
        </c:title>
        <c:numFmt formatCode="General" sourceLinked="1"/>
        <c:majorTickMark val="none"/>
        <c:minorTickMark val="none"/>
        <c:tickLblPos val="nextTo"/>
        <c:spPr>
          <a:ln/>
        </c:spPr>
        <c:txPr>
          <a:bodyPr/>
          <a:lstStyle/>
          <a:p>
            <a:pPr lvl="0">
              <a:defRPr b="0">
                <a:solidFill>
                  <a:srgbClr val="000000"/>
                </a:solidFill>
                <a:latin typeface="Tahoma"/>
              </a:defRPr>
            </a:pPr>
          </a:p>
        </c:txPr>
        <c:crossAx val="1539795539"/>
      </c:valAx>
    </c:plotArea>
    <c:legend>
      <c:legendPos val="r"/>
      <c:overlay val="0"/>
      <c:txPr>
        <a:bodyPr/>
        <a:lstStyle/>
        <a:p>
          <a:pPr lvl="0">
            <a:defRPr b="0">
              <a:solidFill>
                <a:srgbClr val="1A1A1A"/>
              </a:solidFill>
              <a:latin typeface="Tahoma"/>
            </a:defRPr>
          </a:pPr>
        </a:p>
      </c:txPr>
    </c:legend>
    <c:plotVisOnly val="1"/>
  </c:chart>
  <c:spPr>
    <a:solidFill>
      <a:srgbClr val="D9D2E9"/>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Contributing Profit Margin</a:t>
            </a:r>
          </a:p>
        </c:rich>
      </c:tx>
      <c:overlay val="0"/>
    </c:title>
    <c:plotArea>
      <c:layout/>
      <c:barChart>
        <c:barDir val="col"/>
        <c:ser>
          <c:idx val="0"/>
          <c:order val="0"/>
          <c:tx>
            <c:strRef>
              <c:f>'Item Performance'!$I$3</c:f>
            </c:strRef>
          </c:tx>
          <c:spPr>
            <a:solidFill>
              <a:schemeClr val="accent1"/>
            </a:solidFill>
            <a:ln cmpd="sng">
              <a:solidFill>
                <a:srgbClr val="000000"/>
              </a:solidFill>
            </a:ln>
          </c:spPr>
          <c:cat>
            <c:strRef>
              <c:f>'Item Performance'!$C$4:$C$16</c:f>
            </c:strRef>
          </c:cat>
          <c:val>
            <c:numRef>
              <c:f>'Item Performance'!$I$4:$I$16</c:f>
              <c:numCache/>
            </c:numRef>
          </c:val>
        </c:ser>
        <c:axId val="1706870178"/>
        <c:axId val="1627135025"/>
      </c:barChart>
      <c:catAx>
        <c:axId val="17068701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Dishes</a:t>
                </a:r>
              </a:p>
            </c:rich>
          </c:tx>
          <c:overlay val="0"/>
        </c:title>
        <c:numFmt formatCode="General" sourceLinked="1"/>
        <c:majorTickMark val="none"/>
        <c:minorTickMark val="none"/>
        <c:spPr/>
        <c:txPr>
          <a:bodyPr/>
          <a:lstStyle/>
          <a:p>
            <a:pPr lvl="0">
              <a:defRPr b="0">
                <a:solidFill>
                  <a:srgbClr val="000000"/>
                </a:solidFill>
                <a:latin typeface="+mn-lt"/>
              </a:defRPr>
            </a:pPr>
          </a:p>
        </c:txPr>
        <c:crossAx val="1627135025"/>
      </c:catAx>
      <c:valAx>
        <c:axId val="1627135025"/>
        <c:scaling>
          <c:orientation val="minMax"/>
          <c:min val="0.6"/>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Gross Profit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6870178"/>
      </c:valAx>
      <c:lineChart>
        <c:varyColors val="0"/>
        <c:ser>
          <c:idx val="1"/>
          <c:order val="1"/>
          <c:tx>
            <c:strRef>
              <c:f>'Item Performance'!$J$3</c:f>
            </c:strRef>
          </c:tx>
          <c:spPr>
            <a:ln cmpd="sng">
              <a:solidFill>
                <a:srgbClr val="C0504D"/>
              </a:solidFill>
              <a:prstDash val="solid"/>
            </a:ln>
          </c:spPr>
          <c:marker>
            <c:symbol val="circle"/>
            <c:size val="7"/>
            <c:spPr>
              <a:solidFill>
                <a:srgbClr val="C0504D"/>
              </a:solidFill>
              <a:ln cmpd="sng">
                <a:solidFill>
                  <a:srgbClr val="C0504D"/>
                </a:solidFill>
              </a:ln>
            </c:spPr>
          </c:marker>
          <c:dLbls>
            <c:numFmt formatCode="#,##0.00;(#,##0.00)" sourceLinked="0"/>
            <c:txPr>
              <a:bodyPr/>
              <a:lstStyle/>
              <a:p>
                <a:pPr lvl="0">
                  <a:defRPr b="1" i="0" sz="1000"/>
                </a:pPr>
              </a:p>
            </c:txPr>
            <c:showLegendKey val="0"/>
            <c:showVal val="1"/>
            <c:showCatName val="0"/>
            <c:showSerName val="0"/>
            <c:showPercent val="0"/>
            <c:showBubbleSize val="0"/>
          </c:dLbls>
          <c:cat>
            <c:strRef>
              <c:f>'Item Performance'!$C$4:$C$16</c:f>
            </c:strRef>
          </c:cat>
          <c:val>
            <c:numRef>
              <c:f>'Item Performance'!$J$4:$J$16</c:f>
              <c:numCache/>
            </c:numRef>
          </c:val>
          <c:smooth val="0"/>
        </c:ser>
        <c:axId val="274501126"/>
        <c:axId val="1960921043"/>
      </c:lineChart>
      <c:catAx>
        <c:axId val="27450112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960921043"/>
      </c:catAx>
      <c:valAx>
        <c:axId val="196092104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Gross Profit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4501126"/>
        <c:crosses val="max"/>
      </c:valAx>
    </c:plotArea>
    <c:legend>
      <c:legendPos val="r"/>
      <c:overlay val="0"/>
      <c:txPr>
        <a:bodyPr/>
        <a:lstStyle/>
        <a:p>
          <a:pPr lvl="0">
            <a:defRPr b="0">
              <a:solidFill>
                <a:srgbClr val="1A1A1A"/>
              </a:solidFill>
              <a:latin typeface="+mn-lt"/>
            </a:defRPr>
          </a:pPr>
        </a:p>
      </c:txPr>
    </c:legend>
    <c:plotVisOnly val="1"/>
  </c:chart>
  <c:spPr>
    <a:solidFill>
      <a:srgbClr val="D9D2E9"/>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142875</xdr:rowOff>
    </xdr:from>
    <xdr:ext cx="2362200" cy="2362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276225</xdr:colOff>
      <xdr:row>0</xdr:row>
      <xdr:rowOff>161925</xdr:rowOff>
    </xdr:from>
    <xdr:ext cx="2362200" cy="2362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66675</xdr:colOff>
      <xdr:row>2</xdr:row>
      <xdr:rowOff>0</xdr:rowOff>
    </xdr:from>
    <xdr:ext cx="1114425" cy="1114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104775</xdr:colOff>
      <xdr:row>0</xdr:row>
      <xdr:rowOff>190500</xdr:rowOff>
    </xdr:from>
    <xdr:ext cx="6315075" cy="3095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419100</xdr:colOff>
      <xdr:row>9</xdr:row>
      <xdr:rowOff>142875</xdr:rowOff>
    </xdr:from>
    <xdr:ext cx="8391525" cy="38004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95250</xdr:colOff>
      <xdr:row>9</xdr:row>
      <xdr:rowOff>152400</xdr:rowOff>
    </xdr:from>
    <xdr:ext cx="6315075" cy="37814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tables/table1.xml><?xml version="1.0" encoding="utf-8"?>
<table xmlns="http://schemas.openxmlformats.org/spreadsheetml/2006/main" headerRowCount="0" ref="D4:D9" displayName="Table_1" name="Table_1" id="1">
  <tableColumns count="1">
    <tableColumn name="Column1" id="1"/>
  </tableColumns>
  <tableStyleInfo name="Settings-style" showColumnStripes="0" showFirstColumn="1" showLastColumn="1" showRowStripes="1"/>
</table>
</file>

<file path=xl/tables/table2.xml><?xml version="1.0" encoding="utf-8"?>
<table xmlns="http://schemas.openxmlformats.org/spreadsheetml/2006/main" ref="B13:D33" displayName="Table_2" name="Table_2" id="2">
  <tableColumns count="3">
    <tableColumn name="SUPPLIERS" id="1"/>
    <tableColumn name="FOOD CATEGORIES" id="2"/>
    <tableColumn name="UNITS OF MEASUREMENT" id="3"/>
  </tableColumns>
  <tableStyleInfo name="Settings-style 2" showColumnStripes="0" showFirstColumn="1" showLastColumn="1" showRowStripes="1"/>
</table>
</file>

<file path=xl/tables/table3.xml><?xml version="1.0" encoding="utf-8"?>
<table xmlns="http://schemas.openxmlformats.org/spreadsheetml/2006/main" headerRowCount="0" ref="C5:G496" displayName="Table_3" name="Table_3" id="3">
  <tableColumns count="5">
    <tableColumn name="Column1" id="1"/>
    <tableColumn name="Column2" id="2"/>
    <tableColumn name="Column3" id="3"/>
    <tableColumn name="Column4" id="4"/>
    <tableColumn name="Column5" id="5"/>
  </tableColumns>
  <tableStyleInfo name="Stock List-style" showColumnStripes="0" showFirstColumn="1" showLastColumn="1" showRowStripes="1"/>
</table>
</file>

<file path=xl/tables/table4.xml><?xml version="1.0" encoding="utf-8"?>
<table xmlns="http://schemas.openxmlformats.org/spreadsheetml/2006/main" headerRowCount="0" ref="H5:H496" displayName="Table_4" name="Table_4" id="4">
  <tableColumns count="1">
    <tableColumn name="Column1" id="1"/>
  </tableColumns>
  <tableStyleInfo name="Stock List-style 2" showColumnStripes="0" showFirstColumn="1" showLastColumn="1" showRowStripes="1"/>
</table>
</file>

<file path=xl/tables/table5.xml><?xml version="1.0" encoding="utf-8"?>
<table xmlns="http://schemas.openxmlformats.org/spreadsheetml/2006/main" headerRowCount="0" ref="I5:K496" displayName="Table_5" name="Table_5" id="5">
  <tableColumns count="3">
    <tableColumn name="Column1" id="1"/>
    <tableColumn name="Column2" id="2"/>
    <tableColumn name="Column3" id="3"/>
  </tableColumns>
  <tableStyleInfo name="Stock List-style 3" showColumnStripes="0" showFirstColumn="1" showLastColumn="1" showRowStripes="1"/>
</table>
</file>

<file path=xl/tables/table6.xml><?xml version="1.0" encoding="utf-8"?>
<table xmlns="http://schemas.openxmlformats.org/spreadsheetml/2006/main" headerRowCount="0" ref="L5:M496" displayName="Table_6" name="Table_6" id="6">
  <tableColumns count="2">
    <tableColumn name="Column1" id="1"/>
    <tableColumn name="Column2" id="2"/>
  </tableColumns>
  <tableStyleInfo name="Stock List-style 4" showColumnStripes="0" showFirstColumn="1" showLastColumn="1" showRowStripes="1"/>
</table>
</file>

<file path=xl/tables/table7.xml><?xml version="1.0" encoding="utf-8"?>
<table xmlns="http://schemas.openxmlformats.org/spreadsheetml/2006/main" headerRowCount="0" ref="E4:G16" displayName="Table_7" name="Table_7" id="7">
  <tableColumns count="3">
    <tableColumn name="Column1" id="1"/>
    <tableColumn name="Column2" id="2"/>
    <tableColumn name="Column3" id="3"/>
  </tableColumns>
  <tableStyleInfo name="COGS Recipes-style" showColumnStripes="0" showFirstColumn="1" showLastColumn="1" showRowStripes="1"/>
</table>
</file>

<file path=xl/tables/table8.xml><?xml version="1.0" encoding="utf-8"?>
<table xmlns="http://schemas.openxmlformats.org/spreadsheetml/2006/main" headerRowCount="0" ref="E28:G40" displayName="Table_8" name="Table_8" id="8">
  <tableColumns count="3">
    <tableColumn name="Column1" id="1"/>
    <tableColumn name="Column2" id="2"/>
    <tableColumn name="Column3" id="3"/>
  </tableColumns>
  <tableStyleInfo name="COGS Recipes-style 2" showColumnStripes="0" showFirstColumn="1" showLastColumn="1" showRowStripes="1"/>
</table>
</file>

<file path=xl/tables/table9.xml><?xml version="1.0" encoding="utf-8"?>
<table xmlns="http://schemas.openxmlformats.org/spreadsheetml/2006/main" headerRowCount="0" ref="E52:G64" displayName="Table_9" name="Table_9" id="9">
  <tableColumns count="3">
    <tableColumn name="Column1" id="1"/>
    <tableColumn name="Column2" id="2"/>
    <tableColumn name="Column3" id="3"/>
  </tableColumns>
  <tableStyleInfo name="COGS Recipes-style 3" showColumnStripes="0" showFirstColumn="1" showLastColumn="1" showRowStripes="1"/>
</table>
</file>

<file path=xl/tables/table10.xml><?xml version="1.0" encoding="utf-8"?>
<table xmlns="http://schemas.openxmlformats.org/spreadsheetml/2006/main" headerRowCount="0" ref="E76:G88" displayName="Table_10" name="Table_10" id="10">
  <tableColumns count="3">
    <tableColumn name="Column1" id="1"/>
    <tableColumn name="Column2" id="2"/>
    <tableColumn name="Column3" id="3"/>
  </tableColumns>
  <tableStyleInfo name="COGS Recipes-style 4" showColumnStripes="0" showFirstColumn="1" showLastColumn="1" showRowStripes="1"/>
</table>
</file>

<file path=xl/tables/table11.xml><?xml version="1.0" encoding="utf-8"?>
<table xmlns="http://schemas.openxmlformats.org/spreadsheetml/2006/main" headerRowCount="0" ref="E100:G112" displayName="Table_11" name="Table_11" id="11">
  <tableColumns count="3">
    <tableColumn name="Column1" id="1"/>
    <tableColumn name="Column2" id="2"/>
    <tableColumn name="Column3" id="3"/>
  </tableColumns>
  <tableStyleInfo name="COGS Recipes-style 5" showColumnStripes="0" showFirstColumn="1" showLastColumn="1" showRowStripes="1"/>
</table>
</file>

<file path=xl/tables/table12.xml><?xml version="1.0" encoding="utf-8"?>
<table xmlns="http://schemas.openxmlformats.org/spreadsheetml/2006/main" headerRowCount="0" ref="E124:G136" displayName="Table_12" name="Table_12" id="12">
  <tableColumns count="3">
    <tableColumn name="Column1" id="1"/>
    <tableColumn name="Column2" id="2"/>
    <tableColumn name="Column3" id="3"/>
  </tableColumns>
  <tableStyleInfo name="COGS Recipes-style 6" showColumnStripes="0" showFirstColumn="1" showLastColumn="1" showRowStripes="1"/>
</table>
</file>

<file path=xl/tables/table13.xml><?xml version="1.0" encoding="utf-8"?>
<table xmlns="http://schemas.openxmlformats.org/spreadsheetml/2006/main" headerRowCount="0" ref="E148:G160" displayName="Table_13" name="Table_13" id="13">
  <tableColumns count="3">
    <tableColumn name="Column1" id="1"/>
    <tableColumn name="Column2" id="2"/>
    <tableColumn name="Column3" id="3"/>
  </tableColumns>
  <tableStyleInfo name="COGS Recipes-style 7" showColumnStripes="0" showFirstColumn="1" showLastColumn="1" showRowStripes="1"/>
</table>
</file>

<file path=xl/tables/table14.xml><?xml version="1.0" encoding="utf-8"?>
<table xmlns="http://schemas.openxmlformats.org/spreadsheetml/2006/main" headerRowCount="0" ref="E172:G184" displayName="Table_14" name="Table_14" id="14">
  <tableColumns count="3">
    <tableColumn name="Column1" id="1"/>
    <tableColumn name="Column2" id="2"/>
    <tableColumn name="Column3" id="3"/>
  </tableColumns>
  <tableStyleInfo name="COGS Recipes-style 8" showColumnStripes="0" showFirstColumn="1" showLastColumn="1" showRowStripes="1"/>
</table>
</file>

<file path=xl/tables/table15.xml><?xml version="1.0" encoding="utf-8"?>
<table xmlns="http://schemas.openxmlformats.org/spreadsheetml/2006/main" headerRowCount="0" ref="E196:G208" displayName="Table_15" name="Table_15" id="15">
  <tableColumns count="3">
    <tableColumn name="Column1" id="1"/>
    <tableColumn name="Column2" id="2"/>
    <tableColumn name="Column3" id="3"/>
  </tableColumns>
  <tableStyleInfo name="COGS Recipes-style 9" showColumnStripes="0" showFirstColumn="1" showLastColumn="1" showRowStripes="1"/>
</table>
</file>

<file path=xl/tables/table16.xml><?xml version="1.0" encoding="utf-8"?>
<table xmlns="http://schemas.openxmlformats.org/spreadsheetml/2006/main" headerRowCount="0" ref="E220:G232" displayName="Table_16" name="Table_16" id="16">
  <tableColumns count="3">
    <tableColumn name="Column1" id="1"/>
    <tableColumn name="Column2" id="2"/>
    <tableColumn name="Column3" id="3"/>
  </tableColumns>
  <tableStyleInfo name="COGS Recipes-style 10" showColumnStripes="0" showFirstColumn="1" showLastColumn="1" showRowStripes="1"/>
</table>
</file>

<file path=xl/tables/table17.xml><?xml version="1.0" encoding="utf-8"?>
<table xmlns="http://schemas.openxmlformats.org/spreadsheetml/2006/main" headerRowCount="0" ref="E244:G256" displayName="Table_17" name="Table_17" id="17">
  <tableColumns count="3">
    <tableColumn name="Column1" id="1"/>
    <tableColumn name="Column2" id="2"/>
    <tableColumn name="Column3" id="3"/>
  </tableColumns>
  <tableStyleInfo name="COGS Recipes-style 11" showColumnStripes="0" showFirstColumn="1" showLastColumn="1" showRowStripes="1"/>
</table>
</file>

<file path=xl/tables/table18.xml><?xml version="1.0" encoding="utf-8"?>
<table xmlns="http://schemas.openxmlformats.org/spreadsheetml/2006/main" headerRowCount="0" ref="E268:G280" displayName="Table_18" name="Table_18" id="18">
  <tableColumns count="3">
    <tableColumn name="Column1" id="1"/>
    <tableColumn name="Column2" id="2"/>
    <tableColumn name="Column3" id="3"/>
  </tableColumns>
  <tableStyleInfo name="COGS Recipes-style 12" showColumnStripes="0" showFirstColumn="1" showLastColumn="1" showRowStripes="1"/>
</table>
</file>

<file path=xl/tables/table19.xml><?xml version="1.0" encoding="utf-8"?>
<table xmlns="http://schemas.openxmlformats.org/spreadsheetml/2006/main" headerRowCount="0" ref="E292:G304" displayName="Table_19" name="Table_19" id="19">
  <tableColumns count="3">
    <tableColumn name="Column1" id="1"/>
    <tableColumn name="Column2" id="2"/>
    <tableColumn name="Column3" id="3"/>
  </tableColumns>
  <tableStyleInfo name="COGS Recipes-style 13" showColumnStripes="0" showFirstColumn="1" showLastColumn="1" showRowStripes="1"/>
</table>
</file>

<file path=xl/tables/table20.xml><?xml version="1.0" encoding="utf-8"?>
<table xmlns="http://schemas.openxmlformats.org/spreadsheetml/2006/main" ref="C3:P16" displayName="Dashboard" name="Dashboard" id="20">
  <tableColumns count="14">
    <tableColumn name="Dish" id="1"/>
    <tableColumn name="Number Sold" id="2"/>
    <tableColumn name="Popularity" id="3"/>
    <tableColumn name="Item Food Cost" id="4"/>
    <tableColumn name="Total Sales Inc. GST" id="5"/>
    <tableColumn name="Item Sale Price" id="6"/>
    <tableColumn name="Gross Profit" id="7"/>
    <tableColumn name="Item Gross Profit excl. GST" id="8"/>
    <tableColumn name="Total Cost" id="9"/>
    <tableColumn name="Total Revenue     ex GST" id="10"/>
    <tableColumn name="Total Profit ex GST" id="11"/>
    <tableColumn name="Profit Cat" id="12"/>
    <tableColumn name="Popularity Cat" id="13"/>
    <tableColumn name="Menu Item Class" id="14"/>
  </tableColumns>
  <tableStyleInfo name="Item Performanc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 Id="rId6" Type="http://schemas.openxmlformats.org/officeDocument/2006/relationships/table" Target="../tables/table1.xml"/><Relationship Id="rId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9" Type="http://schemas.openxmlformats.org/officeDocument/2006/relationships/table" Target="../tables/table6.xml"/><Relationship Id="rId6" Type="http://schemas.openxmlformats.org/officeDocument/2006/relationships/table" Target="../tables/table3.xml"/><Relationship Id="rId7" Type="http://schemas.openxmlformats.org/officeDocument/2006/relationships/table" Target="../tables/table4.xml"/><Relationship Id="rId8"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10.xml"/><Relationship Id="rId22" Type="http://schemas.openxmlformats.org/officeDocument/2006/relationships/table" Target="../tables/table12.xml"/><Relationship Id="rId21" Type="http://schemas.openxmlformats.org/officeDocument/2006/relationships/table" Target="../tables/table11.xml"/><Relationship Id="rId24" Type="http://schemas.openxmlformats.org/officeDocument/2006/relationships/table" Target="../tables/table14.xml"/><Relationship Id="rId23" Type="http://schemas.openxmlformats.org/officeDocument/2006/relationships/table" Target="../tables/table13.xml"/><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 Id="rId26" Type="http://schemas.openxmlformats.org/officeDocument/2006/relationships/table" Target="../tables/table16.xml"/><Relationship Id="rId25" Type="http://schemas.openxmlformats.org/officeDocument/2006/relationships/table" Target="../tables/table15.xml"/><Relationship Id="rId17" Type="http://schemas.openxmlformats.org/officeDocument/2006/relationships/table" Target="../tables/table7.xml"/><Relationship Id="rId28" Type="http://schemas.openxmlformats.org/officeDocument/2006/relationships/table" Target="../tables/table18.xml"/><Relationship Id="rId27" Type="http://schemas.openxmlformats.org/officeDocument/2006/relationships/table" Target="../tables/table17.xml"/><Relationship Id="rId19" Type="http://schemas.openxmlformats.org/officeDocument/2006/relationships/table" Target="../tables/table9.xml"/><Relationship Id="rId18" Type="http://schemas.openxmlformats.org/officeDocument/2006/relationships/table" Target="../tables/table8.xml"/><Relationship Id="rId29" Type="http://schemas.openxmlformats.org/officeDocument/2006/relationships/table" Target="../tables/table1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6.75"/>
    <col customWidth="1" min="2" max="2" width="123.13"/>
    <col customWidth="1" min="3" max="3" width="3.2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1"/>
      <c r="D2" s="1"/>
      <c r="E2" s="1"/>
      <c r="F2" s="1"/>
      <c r="G2" s="1"/>
      <c r="H2" s="1"/>
      <c r="I2" s="1"/>
      <c r="J2" s="1"/>
      <c r="K2" s="1"/>
      <c r="L2" s="1"/>
      <c r="M2" s="1"/>
      <c r="N2" s="1"/>
      <c r="O2" s="1"/>
      <c r="P2" s="1"/>
      <c r="Q2" s="1"/>
      <c r="R2" s="1"/>
      <c r="S2" s="1"/>
      <c r="T2" s="1"/>
      <c r="U2" s="1"/>
      <c r="V2" s="1"/>
      <c r="W2" s="1"/>
      <c r="X2" s="1"/>
      <c r="Y2" s="1"/>
      <c r="Z2" s="1"/>
    </row>
    <row r="3">
      <c r="A3" s="1"/>
      <c r="B3" s="3" t="s">
        <v>1</v>
      </c>
      <c r="C3" s="1"/>
      <c r="D3" s="1"/>
      <c r="E3" s="1"/>
      <c r="F3" s="1"/>
      <c r="G3" s="1"/>
      <c r="H3" s="1"/>
      <c r="I3" s="1"/>
      <c r="J3" s="1"/>
      <c r="K3" s="1"/>
      <c r="L3" s="1"/>
      <c r="M3" s="1"/>
      <c r="N3" s="1"/>
      <c r="O3" s="1"/>
      <c r="P3" s="1"/>
      <c r="Q3" s="1"/>
      <c r="R3" s="1"/>
      <c r="S3" s="1"/>
      <c r="T3" s="1"/>
      <c r="U3" s="1"/>
      <c r="V3" s="1"/>
      <c r="W3" s="1"/>
      <c r="X3" s="1"/>
      <c r="Y3" s="1"/>
      <c r="Z3" s="1"/>
    </row>
    <row r="4">
      <c r="A4" s="1"/>
      <c r="B4" s="4" t="s">
        <v>2</v>
      </c>
      <c r="C4" s="1"/>
      <c r="D4" s="1"/>
      <c r="E4" s="1"/>
      <c r="F4" s="1"/>
      <c r="G4" s="1"/>
      <c r="H4" s="1"/>
      <c r="I4" s="1"/>
      <c r="J4" s="1"/>
      <c r="K4" s="1"/>
      <c r="L4" s="1"/>
      <c r="M4" s="1"/>
      <c r="N4" s="1"/>
      <c r="O4" s="1"/>
      <c r="P4" s="1"/>
      <c r="Q4" s="1"/>
      <c r="R4" s="1"/>
      <c r="S4" s="1"/>
      <c r="T4" s="1"/>
      <c r="U4" s="1"/>
      <c r="V4" s="1"/>
      <c r="W4" s="1"/>
      <c r="X4" s="1"/>
      <c r="Y4" s="1"/>
      <c r="Z4" s="1"/>
    </row>
    <row r="5">
      <c r="A5" s="1"/>
      <c r="B5" s="4" t="s">
        <v>3</v>
      </c>
      <c r="C5" s="1"/>
      <c r="D5" s="1"/>
      <c r="E5" s="1"/>
      <c r="F5" s="1"/>
      <c r="G5" s="1"/>
      <c r="H5" s="1"/>
      <c r="I5" s="1"/>
      <c r="J5" s="1"/>
      <c r="K5" s="1"/>
      <c r="L5" s="1"/>
      <c r="M5" s="1"/>
      <c r="N5" s="1"/>
      <c r="O5" s="1"/>
      <c r="P5" s="1"/>
      <c r="Q5" s="1"/>
      <c r="R5" s="1"/>
      <c r="S5" s="1"/>
      <c r="T5" s="1"/>
      <c r="U5" s="1"/>
      <c r="V5" s="1"/>
      <c r="W5" s="1"/>
      <c r="X5" s="1"/>
      <c r="Y5" s="1"/>
      <c r="Z5" s="1"/>
    </row>
    <row r="6">
      <c r="A6" s="1"/>
      <c r="B6" s="4" t="s">
        <v>4</v>
      </c>
      <c r="C6" s="1"/>
      <c r="D6" s="1"/>
      <c r="E6" s="1"/>
      <c r="F6" s="1"/>
      <c r="G6" s="1"/>
      <c r="H6" s="1"/>
      <c r="I6" s="1"/>
      <c r="J6" s="1"/>
      <c r="K6" s="1"/>
      <c r="L6" s="1"/>
      <c r="M6" s="1"/>
      <c r="N6" s="1"/>
      <c r="O6" s="1"/>
      <c r="P6" s="1"/>
      <c r="Q6" s="1"/>
      <c r="R6" s="1"/>
      <c r="S6" s="1"/>
      <c r="T6" s="1"/>
      <c r="U6" s="1"/>
      <c r="V6" s="1"/>
      <c r="W6" s="1"/>
      <c r="X6" s="1"/>
      <c r="Y6" s="1"/>
      <c r="Z6" s="1"/>
    </row>
    <row r="7">
      <c r="A7" s="1"/>
      <c r="B7" s="4" t="s">
        <v>5</v>
      </c>
      <c r="C7" s="1"/>
      <c r="D7" s="1"/>
      <c r="E7" s="1"/>
      <c r="F7" s="1"/>
      <c r="G7" s="1"/>
      <c r="H7" s="1"/>
      <c r="I7" s="1"/>
      <c r="J7" s="1"/>
      <c r="K7" s="1"/>
      <c r="L7" s="1"/>
      <c r="M7" s="1"/>
      <c r="N7" s="1"/>
      <c r="O7" s="1"/>
      <c r="P7" s="1"/>
      <c r="Q7" s="1"/>
      <c r="R7" s="1"/>
      <c r="S7" s="1"/>
      <c r="T7" s="1"/>
      <c r="U7" s="1"/>
      <c r="V7" s="1"/>
      <c r="W7" s="1"/>
      <c r="X7" s="1"/>
      <c r="Y7" s="1"/>
      <c r="Z7" s="1"/>
    </row>
    <row r="8">
      <c r="A8" s="1"/>
      <c r="B8" s="4" t="s">
        <v>6</v>
      </c>
      <c r="C8" s="1"/>
      <c r="D8" s="1"/>
      <c r="E8" s="1"/>
      <c r="F8" s="1"/>
      <c r="G8" s="1"/>
      <c r="H8" s="1"/>
      <c r="I8" s="1"/>
      <c r="J8" s="1"/>
      <c r="K8" s="1"/>
      <c r="L8" s="1"/>
      <c r="M8" s="1"/>
      <c r="N8" s="1"/>
      <c r="O8" s="1"/>
      <c r="P8" s="1"/>
      <c r="Q8" s="1"/>
      <c r="R8" s="1"/>
      <c r="S8" s="1"/>
      <c r="T8" s="1"/>
      <c r="U8" s="1"/>
      <c r="V8" s="1"/>
      <c r="W8" s="1"/>
      <c r="X8" s="1"/>
      <c r="Y8" s="1"/>
      <c r="Z8" s="1"/>
    </row>
    <row r="9">
      <c r="A9" s="1"/>
      <c r="B9" s="5" t="s">
        <v>7</v>
      </c>
      <c r="C9" s="1"/>
      <c r="D9" s="1"/>
      <c r="E9" s="1"/>
      <c r="F9" s="1"/>
      <c r="G9" s="1"/>
      <c r="H9" s="1"/>
      <c r="I9" s="1"/>
      <c r="J9" s="1"/>
      <c r="K9" s="1"/>
      <c r="L9" s="1"/>
      <c r="M9" s="1"/>
      <c r="N9" s="1"/>
      <c r="O9" s="1"/>
      <c r="P9" s="1"/>
      <c r="Q9" s="1"/>
      <c r="R9" s="1"/>
      <c r="S9" s="1"/>
      <c r="T9" s="1"/>
      <c r="U9" s="1"/>
      <c r="V9" s="1"/>
      <c r="W9" s="1"/>
      <c r="X9" s="1"/>
      <c r="Y9" s="1"/>
      <c r="Z9" s="1"/>
    </row>
    <row r="10">
      <c r="A10" s="1"/>
      <c r="B10" s="6" t="s">
        <v>8</v>
      </c>
      <c r="C10" s="1"/>
      <c r="D10" s="1"/>
      <c r="E10" s="1"/>
      <c r="F10" s="1"/>
      <c r="G10" s="1"/>
      <c r="H10" s="1"/>
      <c r="I10" s="1"/>
      <c r="J10" s="1"/>
      <c r="K10" s="1"/>
      <c r="L10" s="1"/>
      <c r="M10" s="1"/>
      <c r="N10" s="1"/>
      <c r="O10" s="1"/>
      <c r="P10" s="1"/>
      <c r="Q10" s="1"/>
      <c r="R10" s="1"/>
      <c r="S10" s="1"/>
      <c r="T10" s="1"/>
      <c r="U10" s="1"/>
      <c r="V10" s="1"/>
      <c r="W10" s="1"/>
      <c r="X10" s="1"/>
      <c r="Y10" s="1"/>
      <c r="Z10" s="1"/>
    </row>
    <row r="11">
      <c r="A11" s="1"/>
      <c r="B11" s="7" t="s">
        <v>9</v>
      </c>
      <c r="C11" s="1"/>
      <c r="D11" s="1"/>
      <c r="E11" s="1"/>
      <c r="F11" s="1"/>
      <c r="G11" s="1"/>
      <c r="H11" s="1"/>
      <c r="I11" s="1"/>
      <c r="J11" s="1"/>
      <c r="K11" s="1"/>
      <c r="L11" s="1"/>
      <c r="M11" s="1"/>
      <c r="N11" s="1"/>
      <c r="O11" s="1"/>
      <c r="P11" s="1"/>
      <c r="Q11" s="1"/>
      <c r="R11" s="1"/>
      <c r="S11" s="1"/>
      <c r="T11" s="1"/>
      <c r="U11" s="1"/>
      <c r="V11" s="1"/>
      <c r="W11" s="1"/>
      <c r="X11" s="1"/>
      <c r="Y11" s="1"/>
      <c r="Z11" s="1"/>
    </row>
    <row r="12">
      <c r="A12" s="1"/>
      <c r="B12" s="5" t="s">
        <v>10</v>
      </c>
      <c r="C12" s="1"/>
      <c r="D12" s="1"/>
      <c r="E12" s="1"/>
      <c r="F12" s="1"/>
      <c r="G12" s="1"/>
      <c r="H12" s="1"/>
      <c r="I12" s="1"/>
      <c r="J12" s="1"/>
      <c r="K12" s="1"/>
      <c r="L12" s="1"/>
      <c r="M12" s="1"/>
      <c r="N12" s="1"/>
      <c r="O12" s="1"/>
      <c r="P12" s="1"/>
      <c r="Q12" s="1"/>
      <c r="R12" s="1"/>
      <c r="S12" s="1"/>
      <c r="T12" s="1"/>
      <c r="U12" s="1"/>
      <c r="V12" s="1"/>
      <c r="W12" s="1"/>
      <c r="X12" s="1"/>
      <c r="Y12" s="1"/>
      <c r="Z12" s="1"/>
    </row>
    <row r="13">
      <c r="A13" s="1"/>
      <c r="B13" s="6" t="s">
        <v>11</v>
      </c>
      <c r="C13" s="1"/>
      <c r="D13" s="1"/>
      <c r="E13" s="8"/>
      <c r="F13" s="1"/>
      <c r="G13" s="1"/>
      <c r="H13" s="1"/>
      <c r="I13" s="1"/>
      <c r="J13" s="1"/>
      <c r="K13" s="1"/>
      <c r="L13" s="1"/>
      <c r="M13" s="1"/>
      <c r="N13" s="1"/>
      <c r="O13" s="1"/>
      <c r="P13" s="1"/>
      <c r="Q13" s="1"/>
      <c r="R13" s="1"/>
      <c r="S13" s="1"/>
      <c r="T13" s="1"/>
      <c r="U13" s="1"/>
      <c r="V13" s="1"/>
      <c r="W13" s="1"/>
      <c r="X13" s="1"/>
      <c r="Y13" s="1"/>
      <c r="Z13" s="1"/>
    </row>
    <row r="14">
      <c r="A14" s="1"/>
      <c r="B14" s="7" t="s">
        <v>12</v>
      </c>
      <c r="C14" s="1"/>
      <c r="D14" s="1"/>
      <c r="E14" s="1"/>
      <c r="F14" s="1"/>
      <c r="G14" s="1"/>
      <c r="H14" s="1"/>
      <c r="I14" s="1"/>
      <c r="J14" s="1"/>
      <c r="K14" s="1"/>
      <c r="L14" s="1"/>
      <c r="M14" s="1"/>
      <c r="N14" s="1"/>
      <c r="O14" s="1"/>
      <c r="P14" s="1"/>
      <c r="Q14" s="1"/>
      <c r="R14" s="1"/>
      <c r="S14" s="1"/>
      <c r="T14" s="1"/>
      <c r="U14" s="1"/>
      <c r="V14" s="1"/>
      <c r="W14" s="1"/>
      <c r="X14" s="1"/>
      <c r="Y14" s="1"/>
      <c r="Z14" s="1"/>
    </row>
    <row r="15">
      <c r="A15" s="1"/>
      <c r="B15" s="4" t="s">
        <v>13</v>
      </c>
      <c r="C15" s="1"/>
      <c r="D15" s="1"/>
      <c r="E15" s="1"/>
      <c r="F15" s="1"/>
      <c r="G15" s="1"/>
      <c r="H15" s="1"/>
      <c r="I15" s="1"/>
      <c r="J15" s="1"/>
      <c r="K15" s="1"/>
      <c r="L15" s="1"/>
      <c r="M15" s="1"/>
      <c r="N15" s="1"/>
      <c r="O15" s="1"/>
      <c r="P15" s="1"/>
      <c r="Q15" s="1"/>
      <c r="R15" s="1"/>
      <c r="S15" s="1"/>
      <c r="T15" s="1"/>
      <c r="U15" s="1"/>
      <c r="V15" s="1"/>
      <c r="W15" s="1"/>
      <c r="X15" s="1"/>
      <c r="Y15" s="1"/>
      <c r="Z15" s="1"/>
    </row>
    <row r="16">
      <c r="A16" s="1"/>
      <c r="B16" s="5" t="s">
        <v>14</v>
      </c>
      <c r="C16" s="1"/>
      <c r="D16" s="1"/>
      <c r="E16" s="1"/>
      <c r="F16" s="1"/>
      <c r="G16" s="1"/>
      <c r="H16" s="1"/>
      <c r="I16" s="1"/>
      <c r="J16" s="1"/>
      <c r="K16" s="1"/>
      <c r="L16" s="1"/>
      <c r="M16" s="1"/>
      <c r="N16" s="1"/>
      <c r="O16" s="1"/>
      <c r="P16" s="1"/>
      <c r="Q16" s="1"/>
      <c r="R16" s="1"/>
      <c r="S16" s="1"/>
      <c r="T16" s="1"/>
      <c r="U16" s="1"/>
      <c r="V16" s="1"/>
      <c r="W16" s="1"/>
      <c r="X16" s="1"/>
      <c r="Y16" s="1"/>
      <c r="Z16" s="1"/>
    </row>
    <row r="17">
      <c r="A17" s="1"/>
      <c r="B17" s="6" t="s">
        <v>15</v>
      </c>
      <c r="C17" s="1"/>
      <c r="D17" s="1"/>
      <c r="E17" s="1"/>
      <c r="F17" s="1"/>
      <c r="G17" s="1"/>
      <c r="H17" s="1"/>
      <c r="I17" s="1"/>
      <c r="J17" s="1"/>
      <c r="K17" s="1"/>
      <c r="L17" s="1"/>
      <c r="M17" s="1"/>
      <c r="N17" s="1"/>
      <c r="O17" s="1"/>
      <c r="P17" s="1"/>
      <c r="Q17" s="1"/>
      <c r="R17" s="1"/>
      <c r="S17" s="1"/>
      <c r="T17" s="1"/>
      <c r="U17" s="1"/>
      <c r="V17" s="1"/>
      <c r="W17" s="1"/>
      <c r="X17" s="1"/>
      <c r="Y17" s="1"/>
      <c r="Z17" s="1"/>
    </row>
    <row r="18">
      <c r="A18" s="1"/>
      <c r="B18" s="7" t="s">
        <v>16</v>
      </c>
      <c r="C18" s="1"/>
      <c r="D18" s="1"/>
      <c r="E18" s="1"/>
      <c r="F18" s="1"/>
      <c r="G18" s="1"/>
      <c r="H18" s="1"/>
      <c r="I18" s="1"/>
      <c r="J18" s="1"/>
      <c r="K18" s="1"/>
      <c r="L18" s="1"/>
      <c r="M18" s="1"/>
      <c r="N18" s="1"/>
      <c r="O18" s="1"/>
      <c r="P18" s="1"/>
      <c r="Q18" s="1"/>
      <c r="R18" s="1"/>
      <c r="S18" s="1"/>
      <c r="T18" s="1"/>
      <c r="U18" s="1"/>
      <c r="V18" s="1"/>
      <c r="W18" s="1"/>
      <c r="X18" s="1"/>
      <c r="Y18" s="1"/>
      <c r="Z18" s="1"/>
    </row>
    <row r="19">
      <c r="A19" s="1"/>
      <c r="B19" s="4" t="s">
        <v>17</v>
      </c>
      <c r="C19" s="1"/>
      <c r="D19" s="1"/>
      <c r="E19" s="1"/>
      <c r="F19" s="1"/>
      <c r="G19" s="1"/>
      <c r="H19" s="1"/>
      <c r="I19" s="1"/>
      <c r="J19" s="1"/>
      <c r="K19" s="1"/>
      <c r="L19" s="1"/>
      <c r="M19" s="1"/>
      <c r="N19" s="1"/>
      <c r="O19" s="1"/>
      <c r="P19" s="1"/>
      <c r="Q19" s="1"/>
      <c r="R19" s="1"/>
      <c r="S19" s="1"/>
      <c r="T19" s="1"/>
      <c r="U19" s="1"/>
      <c r="V19" s="1"/>
      <c r="W19" s="1"/>
      <c r="X19" s="1"/>
      <c r="Y19" s="1"/>
      <c r="Z19" s="1"/>
    </row>
    <row r="20">
      <c r="A20" s="1"/>
      <c r="B20" s="4" t="s">
        <v>18</v>
      </c>
      <c r="C20" s="1"/>
      <c r="D20" s="1"/>
      <c r="E20" s="1"/>
      <c r="F20" s="1"/>
      <c r="G20" s="1"/>
      <c r="H20" s="1"/>
      <c r="I20" s="1"/>
      <c r="J20" s="1"/>
      <c r="K20" s="1"/>
      <c r="L20" s="1"/>
      <c r="M20" s="1"/>
      <c r="N20" s="1"/>
      <c r="O20" s="1"/>
      <c r="P20" s="1"/>
      <c r="Q20" s="1"/>
      <c r="R20" s="1"/>
      <c r="S20" s="1"/>
      <c r="T20" s="1"/>
      <c r="U20" s="1"/>
      <c r="V20" s="1"/>
      <c r="W20" s="1"/>
      <c r="X20" s="1"/>
      <c r="Y20" s="1"/>
      <c r="Z20" s="1"/>
    </row>
    <row r="21">
      <c r="A21" s="1"/>
      <c r="B21" s="4" t="s">
        <v>19</v>
      </c>
      <c r="C21" s="1"/>
      <c r="D21" s="1"/>
      <c r="E21" s="1"/>
      <c r="F21" s="1"/>
      <c r="G21" s="1"/>
      <c r="H21" s="1"/>
      <c r="I21" s="1"/>
      <c r="J21" s="1"/>
      <c r="K21" s="1"/>
      <c r="L21" s="1"/>
      <c r="M21" s="1"/>
      <c r="N21" s="1"/>
      <c r="O21" s="1"/>
      <c r="P21" s="1"/>
      <c r="Q21" s="1"/>
      <c r="R21" s="1"/>
      <c r="S21" s="1"/>
      <c r="T21" s="1"/>
      <c r="U21" s="1"/>
      <c r="V21" s="1"/>
      <c r="W21" s="1"/>
      <c r="X21" s="1"/>
      <c r="Y21" s="1"/>
      <c r="Z21" s="1"/>
    </row>
    <row r="22">
      <c r="A22" s="1"/>
      <c r="B22" s="5" t="s">
        <v>20</v>
      </c>
      <c r="C22" s="1"/>
      <c r="D22" s="1"/>
      <c r="E22" s="1"/>
      <c r="F22" s="1"/>
      <c r="G22" s="1"/>
      <c r="H22" s="1"/>
      <c r="I22" s="1"/>
      <c r="J22" s="1"/>
      <c r="K22" s="1"/>
      <c r="L22" s="1"/>
      <c r="M22" s="1"/>
      <c r="N22" s="1"/>
      <c r="O22" s="1"/>
      <c r="P22" s="1"/>
      <c r="Q22" s="1"/>
      <c r="R22" s="1"/>
      <c r="S22" s="1"/>
      <c r="T22" s="1"/>
      <c r="U22" s="1"/>
      <c r="V22" s="1"/>
      <c r="W22" s="1"/>
      <c r="X22" s="1"/>
      <c r="Y22" s="1"/>
      <c r="Z22" s="1"/>
    </row>
    <row r="23">
      <c r="A23" s="1"/>
      <c r="B23" s="6" t="s">
        <v>21</v>
      </c>
      <c r="C23" s="1"/>
      <c r="D23" s="1"/>
      <c r="E23" s="1"/>
      <c r="F23" s="1"/>
      <c r="G23" s="1"/>
      <c r="H23" s="1"/>
      <c r="I23" s="1"/>
      <c r="J23" s="1"/>
      <c r="K23" s="1"/>
      <c r="L23" s="1"/>
      <c r="M23" s="1"/>
      <c r="N23" s="1"/>
      <c r="O23" s="1"/>
      <c r="P23" s="1"/>
      <c r="Q23" s="1"/>
      <c r="R23" s="1"/>
      <c r="S23" s="1"/>
      <c r="T23" s="1"/>
      <c r="U23" s="1"/>
      <c r="V23" s="1"/>
      <c r="W23" s="1"/>
      <c r="X23" s="1"/>
      <c r="Y23" s="1"/>
      <c r="Z23" s="1"/>
    </row>
    <row r="24">
      <c r="A24" s="1"/>
      <c r="B24" s="7" t="s">
        <v>22</v>
      </c>
      <c r="C24" s="1"/>
      <c r="D24" s="1"/>
      <c r="E24" s="1"/>
      <c r="F24" s="1"/>
      <c r="G24" s="1"/>
      <c r="H24" s="1"/>
      <c r="I24" s="1"/>
      <c r="J24" s="1"/>
      <c r="K24" s="1"/>
      <c r="L24" s="1"/>
      <c r="M24" s="1"/>
      <c r="N24" s="1"/>
      <c r="O24" s="1"/>
      <c r="P24" s="1"/>
      <c r="Q24" s="1"/>
      <c r="R24" s="1"/>
      <c r="S24" s="1"/>
      <c r="T24" s="1"/>
      <c r="U24" s="1"/>
      <c r="V24" s="1"/>
      <c r="W24" s="1"/>
      <c r="X24" s="1"/>
      <c r="Y24" s="1"/>
      <c r="Z24" s="1"/>
    </row>
    <row r="25">
      <c r="A25" s="1"/>
      <c r="B25" s="4" t="s">
        <v>23</v>
      </c>
      <c r="C25" s="1"/>
      <c r="D25" s="1"/>
      <c r="E25" s="1"/>
      <c r="F25" s="1"/>
      <c r="G25" s="1"/>
      <c r="H25" s="1"/>
      <c r="I25" s="1"/>
      <c r="J25" s="1"/>
      <c r="K25" s="1"/>
      <c r="L25" s="1"/>
      <c r="M25" s="1"/>
      <c r="N25" s="1"/>
      <c r="O25" s="1"/>
      <c r="P25" s="1"/>
      <c r="Q25" s="1"/>
      <c r="R25" s="1"/>
      <c r="S25" s="1"/>
      <c r="T25" s="1"/>
      <c r="U25" s="1"/>
      <c r="V25" s="1"/>
      <c r="W25" s="1"/>
      <c r="X25" s="1"/>
      <c r="Y25" s="1"/>
      <c r="Z25" s="1"/>
    </row>
    <row r="26">
      <c r="A26" s="1"/>
      <c r="B26" s="5" t="s">
        <v>24</v>
      </c>
      <c r="C26" s="1"/>
      <c r="D26" s="1"/>
      <c r="E26" s="1"/>
      <c r="F26" s="1"/>
      <c r="G26" s="1"/>
      <c r="H26" s="1"/>
      <c r="I26" s="1"/>
      <c r="J26" s="1"/>
      <c r="K26" s="1"/>
      <c r="L26" s="1"/>
      <c r="M26" s="1"/>
      <c r="N26" s="1"/>
      <c r="O26" s="1"/>
      <c r="P26" s="1"/>
      <c r="Q26" s="1"/>
      <c r="R26" s="1"/>
      <c r="S26" s="1"/>
      <c r="T26" s="1"/>
      <c r="U26" s="1"/>
      <c r="V26" s="1"/>
      <c r="W26" s="1"/>
      <c r="X26" s="1"/>
      <c r="Y26" s="1"/>
      <c r="Z26" s="1"/>
    </row>
    <row r="27">
      <c r="A27" s="1"/>
      <c r="B27" s="9" t="s">
        <v>25</v>
      </c>
      <c r="C27" s="1"/>
      <c r="D27" s="1"/>
      <c r="E27" s="1"/>
      <c r="F27" s="1"/>
      <c r="G27" s="1"/>
      <c r="H27" s="1"/>
      <c r="I27" s="1"/>
      <c r="J27" s="1"/>
      <c r="K27" s="1"/>
      <c r="L27" s="1"/>
      <c r="M27" s="1"/>
      <c r="N27" s="1"/>
      <c r="O27" s="1"/>
      <c r="P27" s="1"/>
      <c r="Q27" s="1"/>
      <c r="R27" s="1"/>
      <c r="S27" s="1"/>
      <c r="T27" s="1"/>
      <c r="U27" s="1"/>
      <c r="V27" s="1"/>
      <c r="W27" s="1"/>
      <c r="X27" s="1"/>
      <c r="Y27" s="1"/>
      <c r="Z27" s="1"/>
    </row>
    <row r="28">
      <c r="A28" s="1"/>
      <c r="B28" s="7" t="s">
        <v>26</v>
      </c>
      <c r="C28" s="1"/>
      <c r="D28" s="1"/>
      <c r="E28" s="1"/>
      <c r="F28" s="1"/>
      <c r="G28" s="1"/>
      <c r="H28" s="1"/>
      <c r="I28" s="1"/>
      <c r="J28" s="1"/>
      <c r="K28" s="1"/>
      <c r="L28" s="1"/>
      <c r="M28" s="1"/>
      <c r="N28" s="1"/>
      <c r="O28" s="1"/>
      <c r="P28" s="1"/>
      <c r="Q28" s="1"/>
      <c r="R28" s="1"/>
      <c r="S28" s="1"/>
      <c r="T28" s="1"/>
      <c r="U28" s="1"/>
      <c r="V28" s="1"/>
      <c r="W28" s="1"/>
      <c r="X28" s="1"/>
      <c r="Y28" s="1"/>
      <c r="Z28" s="1"/>
    </row>
    <row r="29">
      <c r="A29" s="1"/>
      <c r="B29" s="4" t="s">
        <v>27</v>
      </c>
      <c r="C29" s="1"/>
      <c r="D29" s="1"/>
      <c r="E29" s="1"/>
      <c r="F29" s="1"/>
      <c r="G29" s="1"/>
      <c r="H29" s="1"/>
      <c r="I29" s="1"/>
      <c r="J29" s="1"/>
      <c r="K29" s="1"/>
      <c r="L29" s="1"/>
      <c r="M29" s="1"/>
      <c r="N29" s="1"/>
      <c r="O29" s="1"/>
      <c r="P29" s="1"/>
      <c r="Q29" s="1"/>
      <c r="R29" s="1"/>
      <c r="S29" s="1"/>
      <c r="T29" s="1"/>
      <c r="U29" s="1"/>
      <c r="V29" s="1"/>
      <c r="W29" s="1"/>
      <c r="X29" s="1"/>
      <c r="Y29" s="1"/>
      <c r="Z29" s="1"/>
    </row>
    <row r="30">
      <c r="A30" s="1"/>
      <c r="B30" s="10" t="s">
        <v>28</v>
      </c>
      <c r="C30" s="1"/>
      <c r="D30" s="1"/>
      <c r="E30" s="1"/>
      <c r="F30" s="1"/>
      <c r="G30" s="1"/>
      <c r="H30" s="1"/>
      <c r="I30" s="1"/>
      <c r="J30" s="1"/>
      <c r="K30" s="1"/>
      <c r="L30" s="1"/>
      <c r="M30" s="1"/>
      <c r="N30" s="1"/>
      <c r="O30" s="1"/>
      <c r="P30" s="1"/>
      <c r="Q30" s="1"/>
      <c r="R30" s="1"/>
      <c r="S30" s="1"/>
      <c r="T30" s="1"/>
      <c r="U30" s="1"/>
      <c r="V30" s="1"/>
      <c r="W30" s="1"/>
      <c r="X30" s="1"/>
      <c r="Y30" s="1"/>
      <c r="Z30" s="1"/>
    </row>
    <row r="31">
      <c r="A31" s="1"/>
      <c r="B31" s="4" t="s">
        <v>29</v>
      </c>
      <c r="C31" s="1"/>
      <c r="D31" s="1"/>
      <c r="E31" s="1"/>
      <c r="F31" s="1"/>
      <c r="G31" s="1"/>
      <c r="H31" s="1"/>
      <c r="I31" s="1"/>
      <c r="J31" s="1"/>
      <c r="K31" s="1"/>
      <c r="L31" s="1"/>
      <c r="M31" s="1"/>
      <c r="N31" s="1"/>
      <c r="O31" s="1"/>
      <c r="P31" s="1"/>
      <c r="Q31" s="1"/>
      <c r="R31" s="1"/>
      <c r="S31" s="1"/>
      <c r="T31" s="1"/>
      <c r="U31" s="1"/>
      <c r="V31" s="1"/>
      <c r="W31" s="1"/>
      <c r="X31" s="1"/>
      <c r="Y31" s="1"/>
      <c r="Z31" s="1"/>
    </row>
    <row r="32">
      <c r="A32" s="1"/>
      <c r="B32" s="4" t="s">
        <v>30</v>
      </c>
      <c r="C32" s="1"/>
      <c r="D32" s="1"/>
      <c r="E32" s="1"/>
      <c r="F32" s="1"/>
      <c r="G32" s="1"/>
      <c r="H32" s="1"/>
      <c r="I32" s="1"/>
      <c r="J32" s="1"/>
      <c r="K32" s="1"/>
      <c r="L32" s="1"/>
      <c r="M32" s="1"/>
      <c r="N32" s="1"/>
      <c r="O32" s="1"/>
      <c r="P32" s="1"/>
      <c r="Q32" s="1"/>
      <c r="R32" s="1"/>
      <c r="S32" s="1"/>
      <c r="T32" s="1"/>
      <c r="U32" s="1"/>
      <c r="V32" s="1"/>
      <c r="W32" s="1"/>
      <c r="X32" s="1"/>
      <c r="Y32" s="1"/>
      <c r="Z32" s="1"/>
    </row>
    <row r="33">
      <c r="A33" s="1"/>
      <c r="B33" s="4" t="s">
        <v>31</v>
      </c>
      <c r="C33" s="1"/>
      <c r="D33" s="1"/>
      <c r="E33" s="1"/>
      <c r="F33" s="1"/>
      <c r="G33" s="1"/>
      <c r="H33" s="1"/>
      <c r="I33" s="1"/>
      <c r="J33" s="1"/>
      <c r="K33" s="1"/>
      <c r="L33" s="1"/>
      <c r="M33" s="1"/>
      <c r="N33" s="1"/>
      <c r="O33" s="1"/>
      <c r="P33" s="1"/>
      <c r="Q33" s="1"/>
      <c r="R33" s="1"/>
      <c r="S33" s="1"/>
      <c r="T33" s="1"/>
      <c r="U33" s="1"/>
      <c r="V33" s="1"/>
      <c r="W33" s="1"/>
      <c r="X33" s="1"/>
      <c r="Y33" s="1"/>
      <c r="Z33" s="1"/>
    </row>
    <row r="34">
      <c r="A34" s="1"/>
      <c r="B34" s="4" t="s">
        <v>32</v>
      </c>
      <c r="C34" s="1"/>
      <c r="D34" s="1"/>
      <c r="E34" s="1"/>
      <c r="F34" s="1"/>
      <c r="G34" s="1"/>
      <c r="H34" s="1"/>
      <c r="I34" s="1"/>
      <c r="J34" s="1"/>
      <c r="K34" s="1"/>
      <c r="L34" s="1"/>
      <c r="M34" s="1"/>
      <c r="N34" s="1"/>
      <c r="O34" s="1"/>
      <c r="P34" s="1"/>
      <c r="Q34" s="1"/>
      <c r="R34" s="1"/>
      <c r="S34" s="1"/>
      <c r="T34" s="1"/>
      <c r="U34" s="1"/>
      <c r="V34" s="1"/>
      <c r="W34" s="1"/>
      <c r="X34" s="1"/>
      <c r="Y34" s="1"/>
      <c r="Z34" s="1"/>
    </row>
    <row r="35">
      <c r="A35" s="1"/>
      <c r="B35" s="4" t="s">
        <v>33</v>
      </c>
      <c r="C35" s="1"/>
      <c r="D35" s="1"/>
      <c r="E35" s="1"/>
      <c r="F35" s="1"/>
      <c r="G35" s="1"/>
      <c r="H35" s="1"/>
      <c r="I35" s="1"/>
      <c r="J35" s="1"/>
      <c r="K35" s="1"/>
      <c r="L35" s="1"/>
      <c r="M35" s="1"/>
      <c r="N35" s="1"/>
      <c r="O35" s="1"/>
      <c r="P35" s="1"/>
      <c r="Q35" s="1"/>
      <c r="R35" s="1"/>
      <c r="S35" s="1"/>
      <c r="T35" s="1"/>
      <c r="U35" s="1"/>
      <c r="V35" s="1"/>
      <c r="W35" s="1"/>
      <c r="X35" s="1"/>
      <c r="Y35" s="1"/>
      <c r="Z35" s="1"/>
    </row>
    <row r="36">
      <c r="A36" s="1"/>
      <c r="B36" s="4" t="s">
        <v>34</v>
      </c>
      <c r="C36" s="1"/>
      <c r="D36" s="1"/>
      <c r="E36" s="1"/>
      <c r="F36" s="1"/>
      <c r="G36" s="1"/>
      <c r="H36" s="1"/>
      <c r="I36" s="1"/>
      <c r="J36" s="1"/>
      <c r="K36" s="1"/>
      <c r="L36" s="1"/>
      <c r="M36" s="1"/>
      <c r="N36" s="1"/>
      <c r="O36" s="1"/>
      <c r="P36" s="1"/>
      <c r="Q36" s="1"/>
      <c r="R36" s="1"/>
      <c r="S36" s="1"/>
      <c r="T36" s="1"/>
      <c r="U36" s="1"/>
      <c r="V36" s="1"/>
      <c r="W36" s="1"/>
      <c r="X36" s="1"/>
      <c r="Y36" s="1"/>
      <c r="Z36" s="1"/>
    </row>
    <row r="37">
      <c r="A37" s="1"/>
      <c r="B37" s="4" t="s">
        <v>35</v>
      </c>
      <c r="C37" s="1"/>
      <c r="D37" s="1"/>
      <c r="E37" s="1"/>
      <c r="F37" s="1"/>
      <c r="G37" s="1"/>
      <c r="H37" s="1"/>
      <c r="I37" s="1"/>
      <c r="J37" s="1"/>
      <c r="K37" s="1"/>
      <c r="L37" s="1"/>
      <c r="M37" s="1"/>
      <c r="N37" s="1"/>
      <c r="O37" s="1"/>
      <c r="P37" s="1"/>
      <c r="Q37" s="1"/>
      <c r="R37" s="1"/>
      <c r="S37" s="1"/>
      <c r="T37" s="1"/>
      <c r="U37" s="1"/>
      <c r="V37" s="1"/>
      <c r="W37" s="1"/>
      <c r="X37" s="1"/>
      <c r="Y37" s="1"/>
      <c r="Z37" s="1"/>
    </row>
    <row r="38">
      <c r="A38" s="1"/>
      <c r="B38" s="5" t="s">
        <v>36</v>
      </c>
      <c r="C38" s="1"/>
      <c r="D38" s="1"/>
      <c r="E38" s="1"/>
      <c r="F38" s="1"/>
      <c r="G38" s="1"/>
      <c r="H38" s="1"/>
      <c r="I38" s="1"/>
      <c r="J38" s="1"/>
      <c r="K38" s="1"/>
      <c r="L38" s="1"/>
      <c r="M38" s="1"/>
      <c r="N38" s="1"/>
      <c r="O38" s="1"/>
      <c r="P38" s="1"/>
      <c r="Q38" s="1"/>
      <c r="R38" s="1"/>
      <c r="S38" s="1"/>
      <c r="T38" s="1"/>
      <c r="U38" s="1"/>
      <c r="V38" s="1"/>
      <c r="W38" s="1"/>
      <c r="X38" s="1"/>
      <c r="Y38" s="1"/>
      <c r="Z38" s="1"/>
    </row>
    <row r="39">
      <c r="A39" s="1"/>
      <c r="B39" s="6" t="s">
        <v>37</v>
      </c>
      <c r="C39" s="1"/>
      <c r="D39" s="1"/>
      <c r="E39" s="1"/>
      <c r="F39" s="1"/>
      <c r="G39" s="1"/>
      <c r="H39" s="1"/>
      <c r="I39" s="1"/>
      <c r="J39" s="1"/>
      <c r="K39" s="1"/>
      <c r="L39" s="1"/>
      <c r="M39" s="1"/>
      <c r="N39" s="1"/>
      <c r="O39" s="1"/>
      <c r="P39" s="1"/>
      <c r="Q39" s="1"/>
      <c r="R39" s="1"/>
      <c r="S39" s="1"/>
      <c r="T39" s="1"/>
      <c r="U39" s="1"/>
      <c r="V39" s="1"/>
      <c r="W39" s="1"/>
      <c r="X39" s="1"/>
      <c r="Y39" s="1"/>
      <c r="Z39" s="1"/>
    </row>
    <row r="40">
      <c r="A40" s="1"/>
      <c r="B40" s="7" t="s">
        <v>38</v>
      </c>
      <c r="C40" s="1"/>
      <c r="D40" s="1"/>
      <c r="E40" s="1"/>
      <c r="F40" s="1"/>
      <c r="G40" s="1"/>
      <c r="H40" s="1"/>
      <c r="I40" s="1"/>
      <c r="J40" s="1"/>
      <c r="K40" s="1"/>
      <c r="L40" s="1"/>
      <c r="M40" s="1"/>
      <c r="N40" s="1"/>
      <c r="O40" s="1"/>
      <c r="P40" s="1"/>
      <c r="Q40" s="1"/>
      <c r="R40" s="1"/>
      <c r="S40" s="1"/>
      <c r="T40" s="1"/>
      <c r="U40" s="1"/>
      <c r="V40" s="1"/>
      <c r="W40" s="1"/>
      <c r="X40" s="1"/>
      <c r="Y40" s="1"/>
      <c r="Z40" s="1"/>
    </row>
    <row r="41">
      <c r="A41" s="1"/>
      <c r="B41" s="4" t="s">
        <v>39</v>
      </c>
      <c r="C41" s="1"/>
      <c r="D41" s="1"/>
      <c r="E41" s="1"/>
      <c r="F41" s="1"/>
      <c r="G41" s="1"/>
      <c r="H41" s="1"/>
      <c r="I41" s="1"/>
      <c r="J41" s="1"/>
      <c r="K41" s="1"/>
      <c r="L41" s="1"/>
      <c r="M41" s="1"/>
      <c r="N41" s="1"/>
      <c r="O41" s="1"/>
      <c r="P41" s="1"/>
      <c r="Q41" s="1"/>
      <c r="R41" s="1"/>
      <c r="S41" s="1"/>
      <c r="T41" s="1"/>
      <c r="U41" s="1"/>
      <c r="V41" s="1"/>
      <c r="W41" s="1"/>
      <c r="X41" s="1"/>
      <c r="Y41" s="1"/>
      <c r="Z41" s="1"/>
    </row>
    <row r="42">
      <c r="A42" s="1"/>
      <c r="B42" s="4" t="s">
        <v>40</v>
      </c>
      <c r="C42" s="1"/>
      <c r="D42" s="1"/>
      <c r="E42" s="1"/>
      <c r="F42" s="1"/>
      <c r="G42" s="1"/>
      <c r="H42" s="1"/>
      <c r="I42" s="1"/>
      <c r="J42" s="1"/>
      <c r="K42" s="1"/>
      <c r="L42" s="1"/>
      <c r="M42" s="1"/>
      <c r="N42" s="1"/>
      <c r="O42" s="1"/>
      <c r="P42" s="1"/>
      <c r="Q42" s="1"/>
      <c r="R42" s="1"/>
      <c r="S42" s="1"/>
      <c r="T42" s="1"/>
      <c r="U42" s="1"/>
      <c r="V42" s="1"/>
      <c r="W42" s="1"/>
      <c r="X42" s="1"/>
      <c r="Y42" s="1"/>
      <c r="Z42" s="1"/>
    </row>
    <row r="43">
      <c r="A43" s="1"/>
      <c r="B43" s="11" t="s">
        <v>41</v>
      </c>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sheetData>
  <hyperlinks>
    <hyperlink display="Before you start throwing ingredients into the Stock List, let’s make sure your Settings page is set up right — because this is the control panel for your whole costing sheet." location="Settings!A1" ref="B3"/>
    <hyperlink display="🥕 Step 1 – Stock List" location="'Stock List'!A1" ref="B10"/>
    <hyperlink display="🍳 Step 2 – COGS Recipes" location="'COGS Recipes'!A1" ref="B13"/>
    <hyperlink display="💰 Contribution Margins" location="Dashboard!A1" ref="B17"/>
    <hyperlink display="🗑 Wastage – Never Lose Money Again" location="Wastage" ref="B23"/>
    <hyperlink display="📊 &quot;Reality Check&quot; - Item Performance (the moment you find out your ‘crowd favourite’ isn’t paying the rent)" location="NumbersSold" ref="B27"/>
    <hyperlink display="2️⃣ Drop your sold items into Column B on the Item Performance page — yes, all of them, even the disasters." location="NumbersSold" ref="B30"/>
    <hyperlink display="🔥 From Burnt Toast to Chef’s Kiss – Action Plan" location="'COGS Recipes'!A1" ref="B3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sheetViews>
  <sheetFormatPr customHeight="1" defaultColWidth="12.63" defaultRowHeight="15.0"/>
  <cols>
    <col customWidth="1" min="1" max="1" width="5.25"/>
    <col customWidth="1" min="2" max="2" width="36.63"/>
    <col customWidth="1" min="3" max="3" width="38.38"/>
    <col customWidth="1" min="4" max="4" width="53.25"/>
    <col customWidth="1" min="5" max="5" width="3.88"/>
    <col customWidth="1" min="6" max="7" width="30.75"/>
    <col customWidth="1" min="8" max="8" width="23.38"/>
    <col customWidth="1" min="9" max="9" width="8.63"/>
  </cols>
  <sheetData>
    <row r="1">
      <c r="A1" s="12"/>
      <c r="B1" s="13"/>
      <c r="C1" s="14"/>
      <c r="E1" s="12"/>
      <c r="F1" s="15"/>
      <c r="G1" s="15"/>
      <c r="H1" s="15"/>
      <c r="I1" s="15"/>
    </row>
    <row r="2">
      <c r="A2" s="1"/>
      <c r="B2" s="16" t="s">
        <v>42</v>
      </c>
      <c r="C2" s="17"/>
      <c r="D2" s="18"/>
      <c r="E2" s="1"/>
      <c r="F2" s="19"/>
      <c r="G2" s="19"/>
      <c r="H2" s="19"/>
      <c r="I2" s="1"/>
    </row>
    <row r="3">
      <c r="A3" s="1"/>
      <c r="B3" s="20"/>
      <c r="C3" s="21"/>
      <c r="D3" s="22"/>
      <c r="E3" s="1"/>
      <c r="G3" s="19"/>
      <c r="H3" s="19"/>
      <c r="I3" s="1"/>
    </row>
    <row r="4">
      <c r="A4" s="1"/>
      <c r="B4" s="23" t="s">
        <v>43</v>
      </c>
      <c r="C4" s="24"/>
      <c r="D4" s="25" t="s">
        <v>44</v>
      </c>
      <c r="E4" s="1"/>
      <c r="G4" s="19"/>
      <c r="H4" s="19"/>
      <c r="I4" s="1"/>
    </row>
    <row r="5">
      <c r="A5" s="1"/>
      <c r="B5" s="26" t="s">
        <v>45</v>
      </c>
      <c r="C5" s="24"/>
      <c r="D5" s="27" t="s">
        <v>46</v>
      </c>
      <c r="E5" s="1"/>
      <c r="G5" s="19"/>
      <c r="H5" s="19"/>
      <c r="I5" s="1"/>
    </row>
    <row r="6">
      <c r="A6" s="1"/>
      <c r="B6" s="28" t="s">
        <v>47</v>
      </c>
      <c r="C6" s="24"/>
      <c r="D6" s="29">
        <v>0.1</v>
      </c>
      <c r="E6" s="1"/>
      <c r="G6" s="19"/>
      <c r="H6" s="19"/>
      <c r="I6" s="1"/>
    </row>
    <row r="7">
      <c r="A7" s="1"/>
      <c r="B7" s="26" t="s">
        <v>48</v>
      </c>
      <c r="C7" s="24"/>
      <c r="D7" s="30" t="b">
        <v>1</v>
      </c>
      <c r="E7" s="1"/>
      <c r="G7" s="19"/>
      <c r="H7" s="19"/>
      <c r="I7" s="1"/>
    </row>
    <row r="8">
      <c r="A8" s="1"/>
      <c r="B8" s="31" t="s">
        <v>49</v>
      </c>
      <c r="C8" s="24"/>
      <c r="D8" s="32" t="b">
        <v>1</v>
      </c>
      <c r="E8" s="1"/>
      <c r="G8" s="19"/>
      <c r="H8" s="19"/>
      <c r="I8" s="1"/>
    </row>
    <row r="9">
      <c r="A9" s="1"/>
      <c r="B9" s="33" t="s">
        <v>50</v>
      </c>
      <c r="C9" s="34"/>
      <c r="D9" s="35" t="b">
        <v>1</v>
      </c>
      <c r="E9" s="1"/>
      <c r="G9" s="19"/>
      <c r="H9" s="19"/>
      <c r="I9" s="1"/>
    </row>
    <row r="10">
      <c r="A10" s="1"/>
      <c r="B10" s="1"/>
      <c r="C10" s="1"/>
      <c r="D10" s="1"/>
      <c r="E10" s="1"/>
      <c r="G10" s="19"/>
      <c r="H10" s="19"/>
      <c r="I10" s="1"/>
    </row>
    <row r="11">
      <c r="A11" s="1"/>
      <c r="B11" s="1"/>
      <c r="C11" s="1"/>
      <c r="D11" s="1"/>
      <c r="E11" s="1"/>
      <c r="F11" s="1"/>
      <c r="G11" s="1"/>
      <c r="H11" s="1"/>
      <c r="I11" s="1"/>
    </row>
    <row r="12">
      <c r="A12" s="1"/>
      <c r="B12" s="36" t="s">
        <v>51</v>
      </c>
      <c r="C12" s="37" t="str">
        <f t="shared" ref="C12:D12" si="1">B12</f>
        <v>tap here for more info</v>
      </c>
      <c r="D12" s="38" t="str">
        <f t="shared" si="1"/>
        <v>tap here for more info</v>
      </c>
      <c r="E12" s="1"/>
      <c r="F12" s="1"/>
      <c r="G12" s="1"/>
      <c r="H12" s="1"/>
      <c r="I12" s="1"/>
    </row>
    <row r="13">
      <c r="A13" s="12"/>
      <c r="B13" s="39" t="s">
        <v>52</v>
      </c>
      <c r="C13" s="40" t="s">
        <v>53</v>
      </c>
      <c r="D13" s="41" t="s">
        <v>54</v>
      </c>
      <c r="E13" s="1"/>
      <c r="F13" s="1"/>
      <c r="G13" s="1"/>
      <c r="H13" s="1"/>
      <c r="I13" s="1"/>
    </row>
    <row r="14">
      <c r="A14" s="42"/>
      <c r="B14" s="43"/>
      <c r="C14" s="44"/>
      <c r="D14" s="45"/>
      <c r="E14" s="1"/>
      <c r="F14" s="1"/>
      <c r="G14" s="1"/>
      <c r="H14" s="1"/>
      <c r="I14" s="1"/>
    </row>
    <row r="15">
      <c r="A15" s="46"/>
      <c r="B15" s="47" t="s">
        <v>55</v>
      </c>
      <c r="C15" s="48" t="s">
        <v>56</v>
      </c>
      <c r="D15" s="49" t="s">
        <v>57</v>
      </c>
      <c r="E15" s="1"/>
      <c r="F15" s="1"/>
      <c r="G15" s="1"/>
      <c r="H15" s="1"/>
      <c r="I15" s="1"/>
    </row>
    <row r="16">
      <c r="A16" s="50"/>
      <c r="B16" s="51" t="s">
        <v>58</v>
      </c>
      <c r="C16" s="52" t="s">
        <v>59</v>
      </c>
      <c r="D16" s="53" t="s">
        <v>60</v>
      </c>
      <c r="E16" s="1"/>
      <c r="F16" s="1"/>
      <c r="G16" s="1"/>
      <c r="H16" s="1"/>
      <c r="I16" s="1"/>
    </row>
    <row r="17">
      <c r="A17" s="46"/>
      <c r="B17" s="51" t="s">
        <v>61</v>
      </c>
      <c r="C17" s="52" t="s">
        <v>62</v>
      </c>
      <c r="D17" s="54" t="s">
        <v>63</v>
      </c>
      <c r="E17" s="1"/>
      <c r="F17" s="1"/>
      <c r="G17" s="1"/>
      <c r="H17" s="1"/>
      <c r="I17" s="1"/>
    </row>
    <row r="18">
      <c r="A18" s="50"/>
      <c r="B18" s="51" t="s">
        <v>64</v>
      </c>
      <c r="C18" s="52" t="s">
        <v>65</v>
      </c>
      <c r="D18" s="54" t="s">
        <v>66</v>
      </c>
      <c r="E18" s="1"/>
      <c r="F18" s="1"/>
      <c r="G18" s="1"/>
      <c r="H18" s="1"/>
      <c r="I18" s="1"/>
    </row>
    <row r="19">
      <c r="A19" s="46"/>
      <c r="B19" s="51" t="s">
        <v>67</v>
      </c>
      <c r="C19" s="52" t="s">
        <v>68</v>
      </c>
      <c r="D19" s="54" t="s">
        <v>69</v>
      </c>
      <c r="E19" s="1"/>
      <c r="F19" s="1"/>
      <c r="G19" s="1"/>
      <c r="H19" s="1"/>
      <c r="I19" s="1"/>
    </row>
    <row r="20">
      <c r="A20" s="50"/>
      <c r="B20" s="51" t="s">
        <v>70</v>
      </c>
      <c r="C20" s="52" t="s">
        <v>71</v>
      </c>
      <c r="D20" s="55"/>
      <c r="E20" s="1"/>
      <c r="F20" s="1"/>
      <c r="G20" s="1"/>
      <c r="H20" s="1"/>
      <c r="I20" s="1"/>
    </row>
    <row r="21">
      <c r="A21" s="56"/>
      <c r="B21" s="51" t="s">
        <v>72</v>
      </c>
      <c r="C21" s="52" t="s">
        <v>73</v>
      </c>
      <c r="D21" s="55"/>
      <c r="E21" s="1"/>
      <c r="F21" s="1"/>
      <c r="G21" s="1"/>
      <c r="H21" s="1"/>
      <c r="I21" s="1"/>
    </row>
    <row r="22">
      <c r="A22" s="57"/>
      <c r="B22" s="51" t="s">
        <v>74</v>
      </c>
      <c r="C22" s="52" t="s">
        <v>75</v>
      </c>
      <c r="D22" s="55"/>
      <c r="E22" s="1"/>
      <c r="F22" s="1"/>
      <c r="G22" s="1"/>
      <c r="H22" s="1"/>
      <c r="I22" s="1"/>
    </row>
    <row r="23">
      <c r="A23" s="58"/>
      <c r="B23" s="51" t="s">
        <v>76</v>
      </c>
      <c r="C23" s="59" t="s">
        <v>77</v>
      </c>
      <c r="D23" s="55"/>
      <c r="E23" s="1"/>
      <c r="F23" s="1"/>
      <c r="G23" s="1"/>
      <c r="H23" s="1"/>
      <c r="I23" s="1"/>
    </row>
    <row r="24">
      <c r="A24" s="58"/>
      <c r="B24" s="51" t="s">
        <v>78</v>
      </c>
      <c r="C24" s="52"/>
      <c r="D24" s="55"/>
      <c r="E24" s="1"/>
      <c r="F24" s="1"/>
      <c r="G24" s="1"/>
      <c r="H24" s="1"/>
      <c r="I24" s="1"/>
    </row>
    <row r="25">
      <c r="A25" s="58"/>
      <c r="B25" s="51" t="s">
        <v>79</v>
      </c>
      <c r="C25" s="52"/>
      <c r="D25" s="55"/>
      <c r="E25" s="1"/>
      <c r="F25" s="1"/>
      <c r="G25" s="1"/>
      <c r="H25" s="1"/>
      <c r="I25" s="1"/>
    </row>
    <row r="26">
      <c r="A26" s="56"/>
      <c r="B26" s="51" t="s">
        <v>80</v>
      </c>
      <c r="C26" s="52"/>
      <c r="D26" s="55"/>
      <c r="E26" s="1"/>
      <c r="F26" s="1"/>
      <c r="G26" s="1"/>
      <c r="H26" s="1"/>
      <c r="I26" s="1"/>
    </row>
    <row r="27">
      <c r="A27" s="56"/>
      <c r="B27" s="60" t="s">
        <v>81</v>
      </c>
      <c r="C27" s="52"/>
      <c r="D27" s="55"/>
      <c r="E27" s="1"/>
      <c r="F27" s="1"/>
      <c r="G27" s="1"/>
      <c r="H27" s="1"/>
      <c r="I27" s="1"/>
    </row>
    <row r="28">
      <c r="A28" s="56"/>
      <c r="B28" s="60" t="s">
        <v>82</v>
      </c>
      <c r="C28" s="52"/>
      <c r="D28" s="55"/>
      <c r="E28" s="1"/>
      <c r="F28" s="1"/>
      <c r="G28" s="1"/>
      <c r="H28" s="1"/>
      <c r="I28" s="1"/>
    </row>
    <row r="29">
      <c r="A29" s="50"/>
      <c r="B29" s="61"/>
      <c r="C29" s="62"/>
      <c r="D29" s="63"/>
      <c r="E29" s="1"/>
      <c r="F29" s="1"/>
      <c r="G29" s="1"/>
      <c r="H29" s="1"/>
      <c r="I29" s="1"/>
    </row>
    <row r="30">
      <c r="A30" s="46"/>
      <c r="B30" s="64"/>
      <c r="C30" s="62"/>
      <c r="D30" s="63"/>
      <c r="E30" s="1"/>
      <c r="F30" s="1"/>
      <c r="G30" s="1"/>
      <c r="H30" s="1"/>
      <c r="I30" s="1"/>
    </row>
    <row r="31">
      <c r="A31" s="46"/>
      <c r="B31" s="64"/>
      <c r="C31" s="62"/>
      <c r="D31" s="63"/>
      <c r="E31" s="1"/>
      <c r="F31" s="1"/>
      <c r="G31" s="1"/>
      <c r="H31" s="1"/>
      <c r="I31" s="1"/>
    </row>
    <row r="32">
      <c r="A32" s="46"/>
      <c r="B32" s="64"/>
      <c r="C32" s="62"/>
      <c r="D32" s="63"/>
      <c r="E32" s="1"/>
      <c r="F32" s="1"/>
      <c r="G32" s="1"/>
      <c r="H32" s="1"/>
      <c r="I32" s="1"/>
    </row>
    <row r="33">
      <c r="A33" s="46"/>
      <c r="B33" s="64"/>
      <c r="C33" s="62"/>
      <c r="D33" s="63"/>
      <c r="E33" s="1"/>
      <c r="F33" s="1"/>
      <c r="G33" s="1"/>
      <c r="H33" s="1"/>
      <c r="I33" s="1"/>
    </row>
    <row r="34">
      <c r="A34" s="46"/>
      <c r="B34" s="65"/>
      <c r="C34" s="65"/>
      <c r="D34" s="65"/>
      <c r="E34" s="1"/>
      <c r="F34" s="1"/>
      <c r="G34" s="1"/>
      <c r="H34" s="1"/>
      <c r="I34" s="1"/>
    </row>
    <row r="35">
      <c r="A35" s="46"/>
      <c r="B35" s="65"/>
      <c r="C35" s="65"/>
      <c r="D35" s="65"/>
      <c r="E35" s="1"/>
      <c r="F35" s="1"/>
      <c r="G35" s="1"/>
      <c r="H35" s="1"/>
      <c r="I35" s="1"/>
    </row>
    <row r="36">
      <c r="A36" s="66"/>
      <c r="B36" s="65"/>
      <c r="C36" s="65"/>
      <c r="D36" s="65"/>
      <c r="E36" s="1"/>
      <c r="F36" s="1"/>
      <c r="G36" s="1"/>
      <c r="H36" s="1"/>
      <c r="I36" s="1"/>
    </row>
    <row r="37">
      <c r="A37" s="66"/>
      <c r="B37" s="65"/>
      <c r="C37" s="65"/>
      <c r="D37" s="65"/>
      <c r="E37" s="1"/>
      <c r="F37" s="1"/>
      <c r="G37" s="1"/>
      <c r="H37" s="1"/>
      <c r="I37" s="1"/>
    </row>
    <row r="38">
      <c r="A38" s="66"/>
      <c r="B38" s="65"/>
      <c r="C38" s="65"/>
      <c r="D38" s="65"/>
      <c r="E38" s="1"/>
      <c r="F38" s="1"/>
      <c r="G38" s="1"/>
      <c r="H38" s="1"/>
      <c r="I38" s="67"/>
    </row>
    <row r="39">
      <c r="A39" s="66"/>
      <c r="B39" s="65"/>
      <c r="C39" s="65"/>
      <c r="D39" s="65"/>
      <c r="E39" s="1"/>
      <c r="F39" s="1"/>
      <c r="G39" s="1"/>
      <c r="H39" s="1"/>
      <c r="I39" s="67"/>
    </row>
    <row r="40">
      <c r="A40" s="66"/>
      <c r="B40" s="65"/>
      <c r="C40" s="65"/>
      <c r="D40" s="65"/>
      <c r="E40" s="1"/>
      <c r="F40" s="1"/>
      <c r="G40" s="1"/>
      <c r="H40" s="1"/>
      <c r="I40" s="67"/>
    </row>
    <row r="41">
      <c r="A41" s="66"/>
      <c r="B41" s="65"/>
      <c r="C41" s="65"/>
      <c r="D41" s="65"/>
      <c r="E41" s="1"/>
      <c r="F41" s="1"/>
      <c r="G41" s="1"/>
      <c r="H41" s="1"/>
      <c r="I41" s="67"/>
    </row>
    <row r="42">
      <c r="A42" s="66"/>
      <c r="B42" s="1"/>
      <c r="C42" s="1"/>
      <c r="D42" s="1"/>
      <c r="E42" s="1"/>
      <c r="F42" s="1"/>
      <c r="G42" s="1"/>
      <c r="H42" s="1"/>
      <c r="I42" s="67"/>
    </row>
    <row r="43">
      <c r="A43" s="66"/>
      <c r="B43" s="1"/>
      <c r="C43" s="1"/>
      <c r="D43" s="1"/>
      <c r="E43" s="1"/>
      <c r="F43" s="1"/>
      <c r="G43" s="1"/>
      <c r="H43" s="1"/>
      <c r="I43" s="67"/>
    </row>
    <row r="44">
      <c r="A44" s="66"/>
      <c r="B44" s="1"/>
      <c r="C44" s="1"/>
      <c r="D44" s="1"/>
      <c r="E44" s="1"/>
      <c r="F44" s="1"/>
      <c r="G44" s="1"/>
      <c r="H44" s="1"/>
      <c r="I44" s="67"/>
    </row>
    <row r="45">
      <c r="A45" s="66"/>
      <c r="B45" s="1"/>
      <c r="C45" s="1"/>
      <c r="D45" s="1"/>
      <c r="E45" s="1"/>
      <c r="F45" s="1"/>
      <c r="G45" s="1"/>
      <c r="H45" s="1"/>
      <c r="I45" s="67"/>
    </row>
    <row r="46">
      <c r="A46" s="66"/>
      <c r="B46" s="1"/>
      <c r="C46" s="1"/>
      <c r="D46" s="1"/>
      <c r="E46" s="1"/>
      <c r="F46" s="1"/>
      <c r="G46" s="1"/>
      <c r="H46" s="1"/>
      <c r="I46" s="67"/>
    </row>
    <row r="47">
      <c r="A47" s="66"/>
      <c r="B47" s="1"/>
      <c r="C47" s="1"/>
      <c r="D47" s="1"/>
      <c r="E47" s="1"/>
      <c r="F47" s="1"/>
      <c r="G47" s="1"/>
      <c r="H47" s="1"/>
      <c r="I47" s="67"/>
    </row>
    <row r="48">
      <c r="A48" s="1"/>
      <c r="B48" s="1"/>
      <c r="C48" s="1"/>
      <c r="D48" s="1"/>
      <c r="E48" s="1"/>
      <c r="F48" s="1"/>
      <c r="G48" s="1"/>
      <c r="H48" s="1"/>
      <c r="I48" s="1"/>
    </row>
    <row r="49">
      <c r="A49" s="1"/>
      <c r="B49" s="1"/>
      <c r="C49" s="1"/>
      <c r="D49" s="1"/>
      <c r="E49" s="1"/>
      <c r="F49" s="1"/>
      <c r="G49" s="1"/>
      <c r="H49" s="1"/>
      <c r="I49" s="1"/>
    </row>
    <row r="50">
      <c r="A50" s="1"/>
      <c r="E50" s="1"/>
      <c r="F50" s="1"/>
      <c r="G50" s="1"/>
      <c r="H50" s="1"/>
      <c r="I50" s="1"/>
    </row>
  </sheetData>
  <mergeCells count="10">
    <mergeCell ref="B7:C7"/>
    <mergeCell ref="B8:C8"/>
    <mergeCell ref="C1:D1"/>
    <mergeCell ref="B2:D2"/>
    <mergeCell ref="F2:F10"/>
    <mergeCell ref="B3:C3"/>
    <mergeCell ref="B4:C4"/>
    <mergeCell ref="B5:C5"/>
    <mergeCell ref="B6:C6"/>
    <mergeCell ref="B9:C9"/>
  </mergeCells>
  <dataValidations>
    <dataValidation type="list" allowBlank="1" showInputMessage="1" showErrorMessage="1" prompt="If you are operating from outside Autralia, please adjust the GST or VAT accordingly" sqref="D5">
      <formula1>"Afghanistan,Albania,Algeria,Andorra,Angola,Antigua and Barbuda,Argentina,Armenia,Australia,Austria,Azerbaijan,Bahamas,Bahrain,Bangladesh,Barbados,Belarus,Belgium,Belize,Benin,Bhutan,Bolivia,Bosnia and Herzegovina,Botswana,Brazil,Brunei,Bulgaria,Burkina Fa"&amp;"so,Burundi,Cabo Verde,Cambodia,Cameroon,Canada,Central African Republic,Chad,Chile,China,Colombia,Comoros,Congo (Congo-Brazzaville),Costa Rica,Côte d'Ivoire,Croatia,Cuba,Cyprus,Czechia (Czech Republic),Democratic Republic of the Congo,Denmark,Djibouti,Dom"&amp;"inica,Dominican Republic,Ecuador,Egypt,El Salvador,Equatorial Guinea,Eritrea,Estonia,Eswatini (fmr. """"Swaziland""""),Ethiopia,Fiji,Finland,France,Gabon,Gambia,Georgia,Germany,Ghana,Greece,Grenada,Guatemala,Guinea,Guinea-Bissau,Guyana,Haiti,Holy See,Hond"&amp;"uras,Hungary,Iceland,India,Indonesia,Iran,Iraq,Ireland,Israel,Italy,Jamaica,Japan,Jordan,Kazakhstan,Kenya,Kiribati,Kuwait,Kyrgyzstan,Laos,Latvia,Lebanon,Lesotho,Liberia,Libya,Liechtenstein,Lithuania,Luxembourg,Madagascar,Malawi,Malaysia,Maldives,Mali,Malt"&amp;"a,Marshall Islands,Mauritania,Mauritius,Mexico,Micronesia,Moldova,Monaco,Mongolia,Montenegro,Morocco,Mozambique,Myanmar (formerly Burma),Namibia,Nauru,Nepal,Netherlands,New Zealand,Nicaragua,Niger,Nigeria,North Korea,North Macedonia,Norway,Oman,Pakistan,P"&amp;"alau,Palestine State,Panama,Papua New Guinea,Paraguay,Peru,Philippines,Poland,Portugal,Qatar,Romania,Russia,Rwanda,Saint Kitts and Nevis,Saint Lucia,Saint Vincent and the Grenadines,Samoa,San Marino,Sao Tome and Principe,Saudi Arabia,Senegal,Serbia,Seyche"&amp;"lles,Sierra Leone,Singapore,Slovakia,Slovenia,Solomon Islands,Somalia,South Africa,South Korea,South Sudan,Spain,Sri Lanka,Sudan,Suriname,Sweden,Switzerland,Syria,Tajikistan,Tanzania,Thailand,Timor-Leste,Togo,Tonga,Trinidad and Tobago,Tunisia,Turkey,Turkm"&amp;"enistan,Tuvalu,Uganda,Ukraine,United Arab Emirates,United Kingdom,United States of America,Uruguay,Uzbekistan,Vanuatu,Venezuela,Vietnam,Yemen,Zambia,Zimbabwe"</formula1>
    </dataValidation>
  </dataValidations>
  <drawing r:id="rId2"/>
  <legacyDrawing r:id="rId3"/>
  <tableParts count="2">
    <tablePart r:id="rId6"/>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3.25"/>
    <col customWidth="1" min="3" max="3" width="25.25"/>
    <col customWidth="1" min="4" max="5" width="11.5"/>
    <col customWidth="1" min="6" max="6" width="13.13"/>
    <col customWidth="1" min="7" max="8" width="10.13"/>
    <col customWidth="1" min="9" max="9" width="16.75"/>
    <col customWidth="1" min="10" max="10" width="16.5"/>
    <col customWidth="1" min="11" max="11" width="9.88"/>
    <col customWidth="1" min="12" max="13" width="13.13"/>
    <col customWidth="1" min="14" max="14" width="16.0"/>
  </cols>
  <sheetData>
    <row r="1" ht="13.5" customHeight="1">
      <c r="A1" s="68"/>
      <c r="B1" s="68"/>
      <c r="C1" s="68"/>
      <c r="D1" s="68"/>
      <c r="E1" s="68"/>
      <c r="F1" s="68"/>
      <c r="G1" s="68"/>
      <c r="H1" s="68"/>
      <c r="I1" s="68"/>
      <c r="J1" s="68"/>
      <c r="K1" s="68"/>
      <c r="L1" s="68"/>
      <c r="M1" s="68"/>
      <c r="N1" s="67"/>
    </row>
    <row r="2" ht="11.25" customHeight="1">
      <c r="A2" s="68"/>
      <c r="B2" s="68"/>
      <c r="C2" s="68"/>
      <c r="D2" s="68"/>
      <c r="E2" s="68"/>
      <c r="F2" s="68"/>
      <c r="G2" s="68"/>
      <c r="H2" s="68"/>
      <c r="I2" s="68"/>
      <c r="J2" s="68"/>
      <c r="K2" s="68"/>
      <c r="L2" s="68"/>
      <c r="M2" s="68"/>
      <c r="N2" s="67"/>
    </row>
    <row r="3" ht="42.0" customHeight="1">
      <c r="A3" s="68"/>
      <c r="B3" s="68"/>
      <c r="C3" s="69" t="s">
        <v>83</v>
      </c>
      <c r="D3" s="70"/>
      <c r="E3" s="70"/>
      <c r="F3" s="70"/>
      <c r="G3" s="70"/>
      <c r="H3" s="70"/>
      <c r="I3" s="70"/>
      <c r="J3" s="70"/>
      <c r="K3" s="70"/>
      <c r="L3" s="70"/>
      <c r="M3" s="71"/>
      <c r="N3" s="67"/>
    </row>
    <row r="4" ht="47.25" customHeight="1">
      <c r="A4" s="72"/>
      <c r="B4" s="72"/>
      <c r="C4" s="73" t="s">
        <v>84</v>
      </c>
      <c r="D4" s="74" t="s">
        <v>85</v>
      </c>
      <c r="E4" s="75" t="s">
        <v>86</v>
      </c>
      <c r="F4" s="74" t="s">
        <v>87</v>
      </c>
      <c r="G4" s="74" t="s">
        <v>88</v>
      </c>
      <c r="H4" s="74" t="s">
        <v>89</v>
      </c>
      <c r="I4" s="76" t="s">
        <v>90</v>
      </c>
      <c r="J4" s="74" t="s">
        <v>91</v>
      </c>
      <c r="K4" s="74" t="s">
        <v>92</v>
      </c>
      <c r="L4" s="74" t="s">
        <v>93</v>
      </c>
      <c r="M4" s="77" t="s">
        <v>94</v>
      </c>
      <c r="N4" s="78"/>
    </row>
    <row r="5">
      <c r="A5" s="79"/>
      <c r="B5" s="79"/>
      <c r="C5" s="80" t="s">
        <v>95</v>
      </c>
      <c r="D5" s="81">
        <v>45.0</v>
      </c>
      <c r="E5" s="82" t="s">
        <v>57</v>
      </c>
      <c r="F5" s="83">
        <v>121.04</v>
      </c>
      <c r="G5" s="84">
        <v>0.01</v>
      </c>
      <c r="H5" s="85">
        <f>IF(Settings!$D$7=true, 1-G5,1)</f>
        <v>0.99</v>
      </c>
      <c r="I5" s="86" t="s">
        <v>55</v>
      </c>
      <c r="J5" s="87" t="s">
        <v>56</v>
      </c>
      <c r="K5" s="86"/>
      <c r="L5" s="88">
        <f t="shared" ref="L5:L496" si="1">if(C5="","", if(D5&lt;&gt;"",F5/D5,""))</f>
        <v>2.689777778</v>
      </c>
      <c r="M5" s="89">
        <f t="shared" ref="M5:M496" si="2">(1-H5)*L5+L5</f>
        <v>2.716675556</v>
      </c>
      <c r="N5" s="90"/>
    </row>
    <row r="6">
      <c r="A6" s="79"/>
      <c r="B6" s="79"/>
      <c r="C6" s="91" t="s">
        <v>96</v>
      </c>
      <c r="D6" s="92">
        <v>2500.0</v>
      </c>
      <c r="E6" s="93" t="s">
        <v>69</v>
      </c>
      <c r="F6" s="94">
        <v>23.41</v>
      </c>
      <c r="G6" s="95">
        <v>0.01</v>
      </c>
      <c r="H6" s="96">
        <f>IF(Settings!$D$7=true, 1-G6,1)</f>
        <v>0.99</v>
      </c>
      <c r="I6" s="97" t="s">
        <v>82</v>
      </c>
      <c r="J6" s="97" t="s">
        <v>59</v>
      </c>
      <c r="K6" s="98"/>
      <c r="L6" s="99">
        <f t="shared" si="1"/>
        <v>0.009364</v>
      </c>
      <c r="M6" s="100">
        <f t="shared" si="2"/>
        <v>0.00945764</v>
      </c>
      <c r="N6" s="90"/>
    </row>
    <row r="7">
      <c r="A7" s="79"/>
      <c r="B7" s="79"/>
      <c r="C7" s="101" t="s">
        <v>97</v>
      </c>
      <c r="D7" s="102">
        <v>720.0</v>
      </c>
      <c r="E7" s="93" t="s">
        <v>60</v>
      </c>
      <c r="F7" s="103">
        <v>12.73</v>
      </c>
      <c r="G7" s="84">
        <v>0.34</v>
      </c>
      <c r="H7" s="96">
        <f>IF(Settings!$D$7=true, 1-G7,1)</f>
        <v>0.66</v>
      </c>
      <c r="I7" s="98" t="s">
        <v>55</v>
      </c>
      <c r="J7" s="97" t="s">
        <v>62</v>
      </c>
      <c r="K7" s="98"/>
      <c r="L7" s="99">
        <f t="shared" si="1"/>
        <v>0.01768055556</v>
      </c>
      <c r="M7" s="100">
        <f t="shared" si="2"/>
        <v>0.02369194444</v>
      </c>
      <c r="N7" s="90"/>
    </row>
    <row r="8">
      <c r="A8" s="79"/>
      <c r="B8" s="79"/>
      <c r="C8" s="101" t="s">
        <v>98</v>
      </c>
      <c r="D8" s="102">
        <v>2000.0</v>
      </c>
      <c r="E8" s="93" t="s">
        <v>69</v>
      </c>
      <c r="F8" s="103">
        <v>4.18</v>
      </c>
      <c r="G8" s="84">
        <v>0.08</v>
      </c>
      <c r="H8" s="96">
        <f>IF(Settings!$D$7=true, 1-G8,1)</f>
        <v>0.92</v>
      </c>
      <c r="I8" s="98" t="s">
        <v>55</v>
      </c>
      <c r="J8" s="97" t="s">
        <v>62</v>
      </c>
      <c r="K8" s="98"/>
      <c r="L8" s="99">
        <f t="shared" si="1"/>
        <v>0.00209</v>
      </c>
      <c r="M8" s="100">
        <f t="shared" si="2"/>
        <v>0.0022572</v>
      </c>
      <c r="N8" s="90"/>
    </row>
    <row r="9">
      <c r="A9" s="104"/>
      <c r="B9" s="104"/>
      <c r="C9" s="101" t="s">
        <v>99</v>
      </c>
      <c r="D9" s="102">
        <v>1000.0</v>
      </c>
      <c r="E9" s="93" t="s">
        <v>60</v>
      </c>
      <c r="F9" s="103">
        <v>4.1</v>
      </c>
      <c r="G9" s="84">
        <v>0.05</v>
      </c>
      <c r="H9" s="96">
        <f>IF(Settings!$D$7=true, 1-G9,1)</f>
        <v>0.95</v>
      </c>
      <c r="I9" s="97" t="s">
        <v>58</v>
      </c>
      <c r="J9" s="97" t="s">
        <v>59</v>
      </c>
      <c r="K9" s="98"/>
      <c r="L9" s="99">
        <f t="shared" si="1"/>
        <v>0.0041</v>
      </c>
      <c r="M9" s="100">
        <f t="shared" si="2"/>
        <v>0.004305</v>
      </c>
      <c r="N9" s="90"/>
    </row>
    <row r="10">
      <c r="A10" s="104"/>
      <c r="B10" s="104"/>
      <c r="C10" s="101" t="s">
        <v>100</v>
      </c>
      <c r="D10" s="102">
        <v>1.0</v>
      </c>
      <c r="E10" s="93" t="s">
        <v>57</v>
      </c>
      <c r="F10" s="103">
        <v>2.3</v>
      </c>
      <c r="G10" s="84">
        <v>0.16</v>
      </c>
      <c r="H10" s="96">
        <f>IF(Settings!$D$7=true, 1-G10,1)</f>
        <v>0.84</v>
      </c>
      <c r="I10" s="97" t="s">
        <v>58</v>
      </c>
      <c r="J10" s="97" t="s">
        <v>59</v>
      </c>
      <c r="K10" s="98"/>
      <c r="L10" s="99">
        <f t="shared" si="1"/>
        <v>2.3</v>
      </c>
      <c r="M10" s="100">
        <f t="shared" si="2"/>
        <v>2.668</v>
      </c>
      <c r="N10" s="90"/>
    </row>
    <row r="11">
      <c r="A11" s="79"/>
      <c r="B11" s="79"/>
      <c r="C11" s="101" t="s">
        <v>101</v>
      </c>
      <c r="D11" s="102">
        <v>500.0</v>
      </c>
      <c r="E11" s="93" t="s">
        <v>60</v>
      </c>
      <c r="F11" s="103">
        <v>11.53</v>
      </c>
      <c r="G11" s="84">
        <v>0.34</v>
      </c>
      <c r="H11" s="96">
        <f>IF(Settings!$D$7=true, 1-G11,1)</f>
        <v>0.66</v>
      </c>
      <c r="I11" s="98" t="s">
        <v>55</v>
      </c>
      <c r="J11" s="97" t="s">
        <v>62</v>
      </c>
      <c r="K11" s="98"/>
      <c r="L11" s="99">
        <f t="shared" si="1"/>
        <v>0.02306</v>
      </c>
      <c r="M11" s="100">
        <f t="shared" si="2"/>
        <v>0.0309004</v>
      </c>
      <c r="N11" s="90"/>
    </row>
    <row r="12">
      <c r="A12" s="79"/>
      <c r="B12" s="79"/>
      <c r="C12" s="101" t="s">
        <v>102</v>
      </c>
      <c r="D12" s="102">
        <v>5000.0</v>
      </c>
      <c r="E12" s="93" t="s">
        <v>69</v>
      </c>
      <c r="F12" s="103">
        <v>19.24</v>
      </c>
      <c r="G12" s="84">
        <v>0.25</v>
      </c>
      <c r="H12" s="96">
        <f>IF(Settings!$D$7=true, 1-G12,1)</f>
        <v>0.75</v>
      </c>
      <c r="I12" s="98" t="s">
        <v>55</v>
      </c>
      <c r="J12" s="97" t="s">
        <v>62</v>
      </c>
      <c r="K12" s="98"/>
      <c r="L12" s="99">
        <f t="shared" si="1"/>
        <v>0.003848</v>
      </c>
      <c r="M12" s="100">
        <f t="shared" si="2"/>
        <v>0.00481</v>
      </c>
      <c r="N12" s="90"/>
    </row>
    <row r="13">
      <c r="A13" s="104"/>
      <c r="B13" s="104"/>
      <c r="C13" s="101" t="s">
        <v>103</v>
      </c>
      <c r="D13" s="102">
        <v>1000.0</v>
      </c>
      <c r="E13" s="93" t="s">
        <v>60</v>
      </c>
      <c r="F13" s="103">
        <v>2.7</v>
      </c>
      <c r="G13" s="84">
        <v>0.19</v>
      </c>
      <c r="H13" s="96">
        <f>IF(Settings!$D$7=true, 1-G13,1)</f>
        <v>0.81</v>
      </c>
      <c r="I13" s="97" t="s">
        <v>58</v>
      </c>
      <c r="J13" s="97" t="s">
        <v>65</v>
      </c>
      <c r="K13" s="98"/>
      <c r="L13" s="99">
        <f t="shared" si="1"/>
        <v>0.0027</v>
      </c>
      <c r="M13" s="100">
        <f t="shared" si="2"/>
        <v>0.003213</v>
      </c>
      <c r="N13" s="90"/>
    </row>
    <row r="14">
      <c r="A14" s="79"/>
      <c r="B14" s="79"/>
      <c r="C14" s="101" t="s">
        <v>104</v>
      </c>
      <c r="D14" s="102">
        <v>5000.0</v>
      </c>
      <c r="E14" s="93" t="s">
        <v>60</v>
      </c>
      <c r="F14" s="103">
        <v>78.31</v>
      </c>
      <c r="G14" s="84">
        <v>0.17</v>
      </c>
      <c r="H14" s="96">
        <f>IF(Settings!$D$7=true, 1-G14,1)</f>
        <v>0.83</v>
      </c>
      <c r="I14" s="98" t="s">
        <v>55</v>
      </c>
      <c r="J14" s="97" t="s">
        <v>68</v>
      </c>
      <c r="K14" s="98"/>
      <c r="L14" s="99">
        <f t="shared" si="1"/>
        <v>0.015662</v>
      </c>
      <c r="M14" s="100">
        <f t="shared" si="2"/>
        <v>0.01832454</v>
      </c>
      <c r="N14" s="90"/>
    </row>
    <row r="15">
      <c r="A15" s="79"/>
      <c r="B15" s="79"/>
      <c r="C15" s="101" t="s">
        <v>105</v>
      </c>
      <c r="D15" s="102">
        <v>2000.0</v>
      </c>
      <c r="E15" s="93" t="s">
        <v>60</v>
      </c>
      <c r="F15" s="103">
        <v>28.58</v>
      </c>
      <c r="G15" s="84">
        <v>0.32</v>
      </c>
      <c r="H15" s="96">
        <f>IF(Settings!$D$7=true, 1-G15,1)</f>
        <v>0.68</v>
      </c>
      <c r="I15" s="98" t="s">
        <v>55</v>
      </c>
      <c r="J15" s="97" t="s">
        <v>62</v>
      </c>
      <c r="K15" s="98"/>
      <c r="L15" s="99">
        <f t="shared" si="1"/>
        <v>0.01429</v>
      </c>
      <c r="M15" s="100">
        <f t="shared" si="2"/>
        <v>0.0188628</v>
      </c>
      <c r="N15" s="90"/>
    </row>
    <row r="16">
      <c r="A16" s="79"/>
      <c r="B16" s="79"/>
      <c r="C16" s="101" t="s">
        <v>106</v>
      </c>
      <c r="D16" s="102">
        <v>10000.0</v>
      </c>
      <c r="E16" s="93" t="s">
        <v>60</v>
      </c>
      <c r="F16" s="103">
        <v>57.21</v>
      </c>
      <c r="G16" s="84">
        <v>0.15</v>
      </c>
      <c r="H16" s="96">
        <f>IF(Settings!$D$7=true, 1-G16,1)</f>
        <v>0.85</v>
      </c>
      <c r="I16" s="98" t="s">
        <v>55</v>
      </c>
      <c r="J16" s="97" t="s">
        <v>62</v>
      </c>
      <c r="K16" s="98"/>
      <c r="L16" s="99">
        <f t="shared" si="1"/>
        <v>0.005721</v>
      </c>
      <c r="M16" s="100">
        <f t="shared" si="2"/>
        <v>0.00657915</v>
      </c>
      <c r="N16" s="90"/>
    </row>
    <row r="17">
      <c r="A17" s="79"/>
      <c r="B17" s="79"/>
      <c r="C17" s="101" t="s">
        <v>107</v>
      </c>
      <c r="D17" s="102">
        <v>3000.0</v>
      </c>
      <c r="E17" s="93" t="s">
        <v>60</v>
      </c>
      <c r="F17" s="103">
        <v>51.16</v>
      </c>
      <c r="G17" s="84">
        <v>0.26</v>
      </c>
      <c r="H17" s="96">
        <f>IF(Settings!$D$7=true, 1-G17,1)</f>
        <v>0.74</v>
      </c>
      <c r="I17" s="98" t="s">
        <v>55</v>
      </c>
      <c r="J17" s="97" t="s">
        <v>68</v>
      </c>
      <c r="K17" s="98"/>
      <c r="L17" s="99">
        <f t="shared" si="1"/>
        <v>0.01705333333</v>
      </c>
      <c r="M17" s="100">
        <f t="shared" si="2"/>
        <v>0.0214872</v>
      </c>
      <c r="N17" s="90"/>
    </row>
    <row r="18">
      <c r="A18" s="79"/>
      <c r="B18" s="79"/>
      <c r="C18" s="101" t="s">
        <v>108</v>
      </c>
      <c r="D18" s="102">
        <v>45.0</v>
      </c>
      <c r="E18" s="93" t="s">
        <v>60</v>
      </c>
      <c r="F18" s="103">
        <v>4.2</v>
      </c>
      <c r="G18" s="84">
        <v>0.24</v>
      </c>
      <c r="H18" s="96">
        <f>IF(Settings!$D$7=true, 1-G18,1)</f>
        <v>0.76</v>
      </c>
      <c r="I18" s="98" t="s">
        <v>55</v>
      </c>
      <c r="J18" s="97" t="s">
        <v>62</v>
      </c>
      <c r="K18" s="98"/>
      <c r="L18" s="99">
        <f t="shared" si="1"/>
        <v>0.09333333333</v>
      </c>
      <c r="M18" s="100">
        <f t="shared" si="2"/>
        <v>0.1157333333</v>
      </c>
      <c r="N18" s="90"/>
    </row>
    <row r="19">
      <c r="A19" s="79"/>
      <c r="B19" s="79"/>
      <c r="C19" s="101" t="s">
        <v>109</v>
      </c>
      <c r="D19" s="102">
        <v>4000.0</v>
      </c>
      <c r="E19" s="93" t="s">
        <v>60</v>
      </c>
      <c r="F19" s="103">
        <v>15.94</v>
      </c>
      <c r="G19" s="84">
        <v>0.29</v>
      </c>
      <c r="H19" s="96">
        <f>IF(Settings!$D$7=true, 1-G19,1)</f>
        <v>0.71</v>
      </c>
      <c r="I19" s="98" t="s">
        <v>55</v>
      </c>
      <c r="J19" s="97" t="s">
        <v>62</v>
      </c>
      <c r="K19" s="98"/>
      <c r="L19" s="99">
        <f t="shared" si="1"/>
        <v>0.003985</v>
      </c>
      <c r="M19" s="100">
        <f t="shared" si="2"/>
        <v>0.00514065</v>
      </c>
      <c r="N19" s="90"/>
    </row>
    <row r="20">
      <c r="A20" s="104"/>
      <c r="B20" s="104"/>
      <c r="C20" s="101" t="s">
        <v>110</v>
      </c>
      <c r="D20" s="102">
        <v>1000.0</v>
      </c>
      <c r="E20" s="93" t="s">
        <v>60</v>
      </c>
      <c r="F20" s="103">
        <v>6.6</v>
      </c>
      <c r="G20" s="84">
        <v>0.36</v>
      </c>
      <c r="H20" s="96">
        <f>IF(Settings!$D$7=true, 1-G20,1)</f>
        <v>0.64</v>
      </c>
      <c r="I20" s="97" t="s">
        <v>58</v>
      </c>
      <c r="J20" s="97" t="s">
        <v>59</v>
      </c>
      <c r="K20" s="98"/>
      <c r="L20" s="99">
        <f t="shared" si="1"/>
        <v>0.0066</v>
      </c>
      <c r="M20" s="100">
        <f t="shared" si="2"/>
        <v>0.008976</v>
      </c>
      <c r="N20" s="90"/>
    </row>
    <row r="21">
      <c r="A21" s="104"/>
      <c r="B21" s="104"/>
      <c r="C21" s="101" t="s">
        <v>111</v>
      </c>
      <c r="D21" s="102">
        <v>5000.0</v>
      </c>
      <c r="E21" s="93" t="s">
        <v>60</v>
      </c>
      <c r="F21" s="103">
        <v>12.24</v>
      </c>
      <c r="G21" s="84">
        <v>0.23</v>
      </c>
      <c r="H21" s="96">
        <f>IF(Settings!$D$7=true, 1-G21,1)</f>
        <v>0.77</v>
      </c>
      <c r="I21" s="97" t="s">
        <v>61</v>
      </c>
      <c r="J21" s="97" t="s">
        <v>71</v>
      </c>
      <c r="K21" s="98"/>
      <c r="L21" s="99">
        <f t="shared" si="1"/>
        <v>0.002448</v>
      </c>
      <c r="M21" s="100">
        <f t="shared" si="2"/>
        <v>0.00301104</v>
      </c>
      <c r="N21" s="90"/>
    </row>
    <row r="22">
      <c r="A22" s="104"/>
      <c r="B22" s="104"/>
      <c r="C22" s="101" t="s">
        <v>112</v>
      </c>
      <c r="D22" s="102">
        <v>1000.0</v>
      </c>
      <c r="E22" s="93" t="s">
        <v>60</v>
      </c>
      <c r="F22" s="103">
        <v>13.94</v>
      </c>
      <c r="G22" s="84">
        <v>0.01</v>
      </c>
      <c r="H22" s="96">
        <f>IF(Settings!$D$7=true, 1-G22,1)</f>
        <v>0.99</v>
      </c>
      <c r="I22" s="97" t="s">
        <v>61</v>
      </c>
      <c r="J22" s="97" t="s">
        <v>71</v>
      </c>
      <c r="K22" s="98"/>
      <c r="L22" s="99">
        <f t="shared" si="1"/>
        <v>0.01394</v>
      </c>
      <c r="M22" s="100">
        <f t="shared" si="2"/>
        <v>0.0140794</v>
      </c>
      <c r="N22" s="90"/>
    </row>
    <row r="23">
      <c r="A23" s="79"/>
      <c r="B23" s="79"/>
      <c r="C23" s="101" t="s">
        <v>113</v>
      </c>
      <c r="D23" s="102">
        <v>24.0</v>
      </c>
      <c r="E23" s="93" t="s">
        <v>57</v>
      </c>
      <c r="F23" s="103">
        <v>106.55</v>
      </c>
      <c r="G23" s="84">
        <v>0.3</v>
      </c>
      <c r="H23" s="96">
        <f>IF(Settings!$D$7=true, 1-G23,1)</f>
        <v>0.7</v>
      </c>
      <c r="I23" s="97" t="s">
        <v>64</v>
      </c>
      <c r="J23" s="97" t="s">
        <v>71</v>
      </c>
      <c r="K23" s="98"/>
      <c r="L23" s="99">
        <f t="shared" si="1"/>
        <v>4.439583333</v>
      </c>
      <c r="M23" s="100">
        <f t="shared" si="2"/>
        <v>5.771458333</v>
      </c>
      <c r="N23" s="90"/>
    </row>
    <row r="24">
      <c r="A24" s="79"/>
      <c r="B24" s="79"/>
      <c r="C24" s="101" t="s">
        <v>114</v>
      </c>
      <c r="D24" s="102">
        <v>12000.0</v>
      </c>
      <c r="E24" s="93" t="s">
        <v>60</v>
      </c>
      <c r="F24" s="103">
        <v>191.14</v>
      </c>
      <c r="G24" s="84">
        <v>0.3</v>
      </c>
      <c r="H24" s="96">
        <f>IF(Settings!$D$7=true, 1-G24,1)</f>
        <v>0.7</v>
      </c>
      <c r="I24" s="98" t="s">
        <v>55</v>
      </c>
      <c r="J24" s="97" t="s">
        <v>56</v>
      </c>
      <c r="K24" s="98"/>
      <c r="L24" s="99">
        <f t="shared" si="1"/>
        <v>0.01592833333</v>
      </c>
      <c r="M24" s="100">
        <f t="shared" si="2"/>
        <v>0.02070683333</v>
      </c>
      <c r="N24" s="90"/>
    </row>
    <row r="25">
      <c r="A25" s="79"/>
      <c r="B25" s="79"/>
      <c r="C25" s="101" t="s">
        <v>115</v>
      </c>
      <c r="D25" s="102">
        <v>1000.0</v>
      </c>
      <c r="E25" s="93" t="s">
        <v>60</v>
      </c>
      <c r="F25" s="103">
        <v>10.85</v>
      </c>
      <c r="G25" s="84">
        <v>0.17</v>
      </c>
      <c r="H25" s="96">
        <f>IF(Settings!$D$7=true, 1-G25,1)</f>
        <v>0.83</v>
      </c>
      <c r="I25" s="98" t="s">
        <v>55</v>
      </c>
      <c r="J25" s="97" t="s">
        <v>56</v>
      </c>
      <c r="K25" s="98"/>
      <c r="L25" s="99">
        <f t="shared" si="1"/>
        <v>0.01085</v>
      </c>
      <c r="M25" s="100">
        <f t="shared" si="2"/>
        <v>0.0126945</v>
      </c>
      <c r="N25" s="90"/>
    </row>
    <row r="26">
      <c r="A26" s="104"/>
      <c r="B26" s="104"/>
      <c r="C26" s="101" t="s">
        <v>116</v>
      </c>
      <c r="D26" s="102">
        <v>1000.0</v>
      </c>
      <c r="E26" s="93" t="s">
        <v>69</v>
      </c>
      <c r="F26" s="103">
        <v>5.7</v>
      </c>
      <c r="G26" s="84">
        <v>0.32</v>
      </c>
      <c r="H26" s="96">
        <f>IF(Settings!$D$7=true, 1-G26,1)</f>
        <v>0.68</v>
      </c>
      <c r="I26" s="97" t="s">
        <v>67</v>
      </c>
      <c r="J26" s="97" t="s">
        <v>73</v>
      </c>
      <c r="K26" s="98"/>
      <c r="L26" s="99">
        <f t="shared" si="1"/>
        <v>0.0057</v>
      </c>
      <c r="M26" s="100">
        <f t="shared" si="2"/>
        <v>0.007524</v>
      </c>
      <c r="N26" s="90"/>
    </row>
    <row r="27">
      <c r="A27" s="104"/>
      <c r="B27" s="104"/>
      <c r="C27" s="101" t="s">
        <v>117</v>
      </c>
      <c r="D27" s="102">
        <v>1000.0</v>
      </c>
      <c r="E27" s="93" t="s">
        <v>60</v>
      </c>
      <c r="F27" s="103">
        <v>1.55</v>
      </c>
      <c r="G27" s="84">
        <v>0.09</v>
      </c>
      <c r="H27" s="96">
        <f>IF(Settings!$D$7=true, 1-G27,1)</f>
        <v>0.91</v>
      </c>
      <c r="I27" s="97" t="s">
        <v>58</v>
      </c>
      <c r="J27" s="97" t="s">
        <v>59</v>
      </c>
      <c r="K27" s="98"/>
      <c r="L27" s="99">
        <f t="shared" si="1"/>
        <v>0.00155</v>
      </c>
      <c r="M27" s="100">
        <f t="shared" si="2"/>
        <v>0.0016895</v>
      </c>
      <c r="N27" s="90"/>
    </row>
    <row r="28">
      <c r="A28" s="79"/>
      <c r="B28" s="79"/>
      <c r="C28" s="101" t="s">
        <v>118</v>
      </c>
      <c r="D28" s="102">
        <v>3550.0</v>
      </c>
      <c r="E28" s="93" t="s">
        <v>60</v>
      </c>
      <c r="F28" s="103">
        <v>7.73</v>
      </c>
      <c r="G28" s="84">
        <v>0.05</v>
      </c>
      <c r="H28" s="96">
        <f>IF(Settings!$D$7=true, 1-G28,1)</f>
        <v>0.95</v>
      </c>
      <c r="I28" s="98" t="s">
        <v>55</v>
      </c>
      <c r="J28" s="97" t="s">
        <v>62</v>
      </c>
      <c r="K28" s="98"/>
      <c r="L28" s="99">
        <f t="shared" si="1"/>
        <v>0.002177464789</v>
      </c>
      <c r="M28" s="100">
        <f t="shared" si="2"/>
        <v>0.002286338028</v>
      </c>
      <c r="N28" s="90"/>
    </row>
    <row r="29">
      <c r="A29" s="79"/>
      <c r="B29" s="79"/>
      <c r="C29" s="101" t="s">
        <v>119</v>
      </c>
      <c r="D29" s="102">
        <v>2000.0</v>
      </c>
      <c r="E29" s="93" t="s">
        <v>60</v>
      </c>
      <c r="F29" s="103">
        <v>4.53</v>
      </c>
      <c r="G29" s="84">
        <v>0.07</v>
      </c>
      <c r="H29" s="96">
        <f>IF(Settings!$D$7=true, 1-G29,1)</f>
        <v>0.93</v>
      </c>
      <c r="I29" s="98" t="s">
        <v>55</v>
      </c>
      <c r="J29" s="97" t="s">
        <v>62</v>
      </c>
      <c r="K29" s="98"/>
      <c r="L29" s="99">
        <f t="shared" si="1"/>
        <v>0.002265</v>
      </c>
      <c r="M29" s="100">
        <f t="shared" si="2"/>
        <v>0.00242355</v>
      </c>
      <c r="N29" s="90"/>
    </row>
    <row r="30">
      <c r="A30" s="79"/>
      <c r="B30" s="79"/>
      <c r="C30" s="101" t="s">
        <v>120</v>
      </c>
      <c r="D30" s="102">
        <v>150.0</v>
      </c>
      <c r="E30" s="93" t="s">
        <v>57</v>
      </c>
      <c r="F30" s="103">
        <v>114.26</v>
      </c>
      <c r="G30" s="84">
        <v>0.18</v>
      </c>
      <c r="H30" s="96">
        <f>IF(Settings!$D$7=true, 1-G30,1)</f>
        <v>0.82</v>
      </c>
      <c r="I30" s="98" t="s">
        <v>55</v>
      </c>
      <c r="J30" s="97" t="s">
        <v>56</v>
      </c>
      <c r="K30" s="98"/>
      <c r="L30" s="99">
        <f t="shared" si="1"/>
        <v>0.7617333333</v>
      </c>
      <c r="M30" s="100">
        <f t="shared" si="2"/>
        <v>0.8988453333</v>
      </c>
      <c r="N30" s="90"/>
    </row>
    <row r="31">
      <c r="A31" s="79"/>
      <c r="B31" s="79"/>
      <c r="C31" s="101" t="s">
        <v>121</v>
      </c>
      <c r="D31" s="102">
        <v>750.0</v>
      </c>
      <c r="E31" s="93" t="s">
        <v>60</v>
      </c>
      <c r="F31" s="103">
        <v>16.87</v>
      </c>
      <c r="G31" s="84">
        <v>0.05</v>
      </c>
      <c r="H31" s="96">
        <f>IF(Settings!$D$7=true, 1-G31,1)</f>
        <v>0.95</v>
      </c>
      <c r="I31" s="98" t="s">
        <v>55</v>
      </c>
      <c r="J31" s="97" t="s">
        <v>62</v>
      </c>
      <c r="K31" s="98"/>
      <c r="L31" s="99">
        <f t="shared" si="1"/>
        <v>0.02249333333</v>
      </c>
      <c r="M31" s="100">
        <f t="shared" si="2"/>
        <v>0.023618</v>
      </c>
      <c r="N31" s="90"/>
    </row>
    <row r="32">
      <c r="A32" s="79"/>
      <c r="B32" s="79"/>
      <c r="C32" s="101" t="s">
        <v>122</v>
      </c>
      <c r="D32" s="102">
        <v>550.0</v>
      </c>
      <c r="E32" s="93" t="s">
        <v>60</v>
      </c>
      <c r="F32" s="103">
        <v>9.12</v>
      </c>
      <c r="G32" s="84">
        <v>0.21</v>
      </c>
      <c r="H32" s="96">
        <f>IF(Settings!$D$7=true, 1-G32,1)</f>
        <v>0.79</v>
      </c>
      <c r="I32" s="98" t="s">
        <v>55</v>
      </c>
      <c r="J32" s="97" t="s">
        <v>62</v>
      </c>
      <c r="K32" s="98"/>
      <c r="L32" s="99">
        <f t="shared" si="1"/>
        <v>0.01658181818</v>
      </c>
      <c r="M32" s="100">
        <f t="shared" si="2"/>
        <v>0.020064</v>
      </c>
      <c r="N32" s="90"/>
    </row>
    <row r="33">
      <c r="A33" s="79"/>
      <c r="B33" s="79"/>
      <c r="C33" s="101" t="s">
        <v>123</v>
      </c>
      <c r="D33" s="102">
        <v>100.0</v>
      </c>
      <c r="E33" s="93" t="s">
        <v>60</v>
      </c>
      <c r="F33" s="103">
        <v>5.34</v>
      </c>
      <c r="G33" s="84">
        <v>0.12</v>
      </c>
      <c r="H33" s="96">
        <f>IF(Settings!$D$7=true, 1-G33,1)</f>
        <v>0.88</v>
      </c>
      <c r="I33" s="98" t="s">
        <v>55</v>
      </c>
      <c r="J33" s="97" t="s">
        <v>59</v>
      </c>
      <c r="K33" s="98"/>
      <c r="L33" s="99">
        <f t="shared" si="1"/>
        <v>0.0534</v>
      </c>
      <c r="M33" s="100">
        <f t="shared" si="2"/>
        <v>0.059808</v>
      </c>
      <c r="N33" s="90"/>
    </row>
    <row r="34">
      <c r="A34" s="79"/>
      <c r="B34" s="79"/>
      <c r="C34" s="101" t="s">
        <v>124</v>
      </c>
      <c r="D34" s="102">
        <v>1000.0</v>
      </c>
      <c r="E34" s="93" t="s">
        <v>60</v>
      </c>
      <c r="F34" s="103">
        <v>13.5</v>
      </c>
      <c r="G34" s="84">
        <v>0.14</v>
      </c>
      <c r="H34" s="96">
        <f>IF(Settings!$D$7=true, 1-G34,1)</f>
        <v>0.86</v>
      </c>
      <c r="I34" s="98" t="s">
        <v>55</v>
      </c>
      <c r="J34" s="97" t="s">
        <v>59</v>
      </c>
      <c r="K34" s="98"/>
      <c r="L34" s="99">
        <f t="shared" si="1"/>
        <v>0.0135</v>
      </c>
      <c r="M34" s="100">
        <f t="shared" si="2"/>
        <v>0.01539</v>
      </c>
      <c r="N34" s="90"/>
    </row>
    <row r="35">
      <c r="A35" s="79"/>
      <c r="B35" s="79"/>
      <c r="C35" s="101" t="s">
        <v>125</v>
      </c>
      <c r="D35" s="102">
        <v>102.0</v>
      </c>
      <c r="E35" s="93" t="s">
        <v>57</v>
      </c>
      <c r="F35" s="103">
        <v>23.32</v>
      </c>
      <c r="G35" s="84">
        <v>0.35</v>
      </c>
      <c r="H35" s="96">
        <f>IF(Settings!$D$7=true, 1-G35,1)</f>
        <v>0.65</v>
      </c>
      <c r="I35" s="98" t="s">
        <v>55</v>
      </c>
      <c r="J35" s="97" t="s">
        <v>59</v>
      </c>
      <c r="K35" s="98"/>
      <c r="L35" s="99">
        <f t="shared" si="1"/>
        <v>0.228627451</v>
      </c>
      <c r="M35" s="100">
        <f t="shared" si="2"/>
        <v>0.3086470588</v>
      </c>
      <c r="N35" s="90"/>
    </row>
    <row r="36">
      <c r="A36" s="79"/>
      <c r="B36" s="79"/>
      <c r="C36" s="101" t="s">
        <v>126</v>
      </c>
      <c r="D36" s="102">
        <v>10.0</v>
      </c>
      <c r="E36" s="93" t="s">
        <v>57</v>
      </c>
      <c r="F36" s="103">
        <v>11.53</v>
      </c>
      <c r="G36" s="84">
        <v>0.32</v>
      </c>
      <c r="H36" s="96">
        <f>IF(Settings!$D$7=true, 1-G36,1)</f>
        <v>0.68</v>
      </c>
      <c r="I36" s="97" t="s">
        <v>64</v>
      </c>
      <c r="J36" s="97" t="s">
        <v>75</v>
      </c>
      <c r="K36" s="98"/>
      <c r="L36" s="99">
        <f t="shared" si="1"/>
        <v>1.153</v>
      </c>
      <c r="M36" s="100">
        <f t="shared" si="2"/>
        <v>1.52196</v>
      </c>
      <c r="N36" s="90"/>
    </row>
    <row r="37">
      <c r="A37" s="79"/>
      <c r="B37" s="79"/>
      <c r="C37" s="101" t="s">
        <v>127</v>
      </c>
      <c r="D37" s="92">
        <v>1000.0</v>
      </c>
      <c r="E37" s="93" t="s">
        <v>60</v>
      </c>
      <c r="F37" s="103">
        <v>12.15</v>
      </c>
      <c r="G37" s="84">
        <v>0.21</v>
      </c>
      <c r="H37" s="96">
        <f>IF(Settings!$D$7=true, 1-G37,1)</f>
        <v>0.79</v>
      </c>
      <c r="I37" s="97" t="s">
        <v>64</v>
      </c>
      <c r="J37" s="97" t="s">
        <v>75</v>
      </c>
      <c r="K37" s="98"/>
      <c r="L37" s="99">
        <f t="shared" si="1"/>
        <v>0.01215</v>
      </c>
      <c r="M37" s="100">
        <f t="shared" si="2"/>
        <v>0.0147015</v>
      </c>
      <c r="N37" s="90"/>
    </row>
    <row r="38">
      <c r="A38" s="79"/>
      <c r="B38" s="79"/>
      <c r="C38" s="101" t="s">
        <v>128</v>
      </c>
      <c r="D38" s="102">
        <v>56.0</v>
      </c>
      <c r="E38" s="93" t="s">
        <v>57</v>
      </c>
      <c r="F38" s="103">
        <v>64.95</v>
      </c>
      <c r="G38" s="84">
        <v>0.31</v>
      </c>
      <c r="H38" s="96">
        <f>IF(Settings!$D$7=true, 1-G38,1)</f>
        <v>0.69</v>
      </c>
      <c r="I38" s="98" t="s">
        <v>55</v>
      </c>
      <c r="J38" s="97" t="s">
        <v>56</v>
      </c>
      <c r="K38" s="98"/>
      <c r="L38" s="99">
        <f t="shared" si="1"/>
        <v>1.159821429</v>
      </c>
      <c r="M38" s="100">
        <f t="shared" si="2"/>
        <v>1.519366071</v>
      </c>
      <c r="N38" s="90"/>
    </row>
    <row r="39">
      <c r="A39" s="104"/>
      <c r="B39" s="104"/>
      <c r="C39" s="101" t="s">
        <v>129</v>
      </c>
      <c r="D39" s="102">
        <v>8000.0</v>
      </c>
      <c r="E39" s="93" t="s">
        <v>60</v>
      </c>
      <c r="F39" s="103">
        <v>78.0</v>
      </c>
      <c r="G39" s="84">
        <v>0.25</v>
      </c>
      <c r="H39" s="96">
        <f>IF(Settings!$D$7=true, 1-G39,1)</f>
        <v>0.75</v>
      </c>
      <c r="I39" s="97" t="s">
        <v>58</v>
      </c>
      <c r="J39" s="97" t="s">
        <v>59</v>
      </c>
      <c r="K39" s="98"/>
      <c r="L39" s="99">
        <f t="shared" si="1"/>
        <v>0.00975</v>
      </c>
      <c r="M39" s="100">
        <f t="shared" si="2"/>
        <v>0.0121875</v>
      </c>
      <c r="N39" s="90"/>
    </row>
    <row r="40">
      <c r="A40" s="104"/>
      <c r="B40" s="104"/>
      <c r="C40" s="101" t="s">
        <v>130</v>
      </c>
      <c r="D40" s="102">
        <v>5000.0</v>
      </c>
      <c r="E40" s="93" t="s">
        <v>60</v>
      </c>
      <c r="F40" s="103">
        <v>44.0</v>
      </c>
      <c r="G40" s="84">
        <v>0.02</v>
      </c>
      <c r="H40" s="96">
        <f>IF(Settings!$D$7=true, 1-G40,1)</f>
        <v>0.98</v>
      </c>
      <c r="I40" s="97" t="s">
        <v>58</v>
      </c>
      <c r="J40" s="97" t="s">
        <v>59</v>
      </c>
      <c r="K40" s="98"/>
      <c r="L40" s="99">
        <f t="shared" si="1"/>
        <v>0.0088</v>
      </c>
      <c r="M40" s="100">
        <f t="shared" si="2"/>
        <v>0.008976</v>
      </c>
      <c r="N40" s="90"/>
    </row>
    <row r="41">
      <c r="A41" s="79"/>
      <c r="B41" s="79"/>
      <c r="C41" s="101" t="s">
        <v>131</v>
      </c>
      <c r="D41" s="102">
        <v>474.0</v>
      </c>
      <c r="E41" s="93" t="s">
        <v>69</v>
      </c>
      <c r="F41" s="103">
        <v>5.306666666666667</v>
      </c>
      <c r="G41" s="84">
        <v>0.37</v>
      </c>
      <c r="H41" s="96">
        <f>IF(Settings!$D$7=true, 1-G41,1)</f>
        <v>0.63</v>
      </c>
      <c r="I41" s="98" t="s">
        <v>55</v>
      </c>
      <c r="J41" s="97" t="s">
        <v>62</v>
      </c>
      <c r="K41" s="98"/>
      <c r="L41" s="99">
        <f t="shared" si="1"/>
        <v>0.0111954993</v>
      </c>
      <c r="M41" s="100">
        <f t="shared" si="2"/>
        <v>0.01533783404</v>
      </c>
      <c r="N41" s="90"/>
    </row>
    <row r="42">
      <c r="A42" s="104"/>
      <c r="B42" s="104"/>
      <c r="C42" s="101" t="s">
        <v>132</v>
      </c>
      <c r="D42" s="102">
        <v>8.0</v>
      </c>
      <c r="E42" s="93" t="s">
        <v>57</v>
      </c>
      <c r="F42" s="103">
        <v>27.5</v>
      </c>
      <c r="G42" s="84">
        <v>0.34</v>
      </c>
      <c r="H42" s="96">
        <f>IF(Settings!$D$7=true, 1-G42,1)</f>
        <v>0.66</v>
      </c>
      <c r="I42" s="97" t="s">
        <v>58</v>
      </c>
      <c r="J42" s="97" t="s">
        <v>59</v>
      </c>
      <c r="K42" s="98"/>
      <c r="L42" s="99">
        <f t="shared" si="1"/>
        <v>3.4375</v>
      </c>
      <c r="M42" s="100">
        <f t="shared" si="2"/>
        <v>4.60625</v>
      </c>
      <c r="N42" s="90"/>
    </row>
    <row r="43">
      <c r="A43" s="79"/>
      <c r="B43" s="79"/>
      <c r="C43" s="101" t="s">
        <v>133</v>
      </c>
      <c r="D43" s="102">
        <v>600.0</v>
      </c>
      <c r="E43" s="93" t="s">
        <v>69</v>
      </c>
      <c r="F43" s="103">
        <v>2.98</v>
      </c>
      <c r="G43" s="84">
        <v>0.23</v>
      </c>
      <c r="H43" s="96">
        <f>IF(Settings!$D$7=true, 1-G43,1)</f>
        <v>0.77</v>
      </c>
      <c r="I43" s="98" t="s">
        <v>55</v>
      </c>
      <c r="J43" s="97" t="s">
        <v>59</v>
      </c>
      <c r="K43" s="98"/>
      <c r="L43" s="99">
        <f t="shared" si="1"/>
        <v>0.004966666667</v>
      </c>
      <c r="M43" s="100">
        <f t="shared" si="2"/>
        <v>0.006109</v>
      </c>
      <c r="N43" s="90"/>
    </row>
    <row r="44">
      <c r="A44" s="104"/>
      <c r="B44" s="104"/>
      <c r="C44" s="101" t="s">
        <v>134</v>
      </c>
      <c r="D44" s="102">
        <v>1.0</v>
      </c>
      <c r="E44" s="93" t="s">
        <v>57</v>
      </c>
      <c r="F44" s="103">
        <v>6.0</v>
      </c>
      <c r="G44" s="84">
        <v>0.29</v>
      </c>
      <c r="H44" s="96">
        <f>IF(Settings!$D$7=true, 1-G44,1)</f>
        <v>0.71</v>
      </c>
      <c r="I44" s="97" t="s">
        <v>58</v>
      </c>
      <c r="J44" s="97" t="s">
        <v>59</v>
      </c>
      <c r="K44" s="98"/>
      <c r="L44" s="99">
        <f t="shared" si="1"/>
        <v>6</v>
      </c>
      <c r="M44" s="100">
        <f t="shared" si="2"/>
        <v>7.74</v>
      </c>
      <c r="N44" s="90"/>
    </row>
    <row r="45">
      <c r="A45" s="104"/>
      <c r="B45" s="104"/>
      <c r="C45" s="101" t="s">
        <v>135</v>
      </c>
      <c r="D45" s="102">
        <v>1.0</v>
      </c>
      <c r="E45" s="93" t="s">
        <v>57</v>
      </c>
      <c r="F45" s="103">
        <v>6.4</v>
      </c>
      <c r="G45" s="84">
        <v>0.03</v>
      </c>
      <c r="H45" s="96">
        <f>IF(Settings!$D$7=true, 1-G45,1)</f>
        <v>0.97</v>
      </c>
      <c r="I45" s="97" t="s">
        <v>58</v>
      </c>
      <c r="J45" s="97" t="s">
        <v>59</v>
      </c>
      <c r="K45" s="98"/>
      <c r="L45" s="99">
        <f t="shared" si="1"/>
        <v>6.4</v>
      </c>
      <c r="M45" s="100">
        <f t="shared" si="2"/>
        <v>6.592</v>
      </c>
      <c r="N45" s="90"/>
    </row>
    <row r="46">
      <c r="A46" s="79"/>
      <c r="B46" s="79"/>
      <c r="C46" s="101" t="s">
        <v>136</v>
      </c>
      <c r="D46" s="102">
        <v>2550.0</v>
      </c>
      <c r="E46" s="93" t="s">
        <v>69</v>
      </c>
      <c r="F46" s="103">
        <v>22.42</v>
      </c>
      <c r="G46" s="84">
        <v>0.05</v>
      </c>
      <c r="H46" s="96">
        <f>IF(Settings!$D$7=true, 1-G46,1)</f>
        <v>0.95</v>
      </c>
      <c r="I46" s="98" t="s">
        <v>55</v>
      </c>
      <c r="J46" s="97" t="s">
        <v>59</v>
      </c>
      <c r="K46" s="98"/>
      <c r="L46" s="99">
        <f t="shared" si="1"/>
        <v>0.008792156863</v>
      </c>
      <c r="M46" s="100">
        <f t="shared" si="2"/>
        <v>0.009231764706</v>
      </c>
      <c r="N46" s="90"/>
    </row>
    <row r="47">
      <c r="A47" s="79"/>
      <c r="B47" s="79"/>
      <c r="C47" s="101" t="s">
        <v>137</v>
      </c>
      <c r="D47" s="102">
        <v>6000.0</v>
      </c>
      <c r="E47" s="93" t="s">
        <v>60</v>
      </c>
      <c r="F47" s="103">
        <v>69.95</v>
      </c>
      <c r="G47" s="84">
        <v>0.38</v>
      </c>
      <c r="H47" s="96">
        <f>IF(Settings!$D$7=true, 1-G47,1)</f>
        <v>0.62</v>
      </c>
      <c r="I47" s="98" t="s">
        <v>55</v>
      </c>
      <c r="J47" s="97" t="s">
        <v>56</v>
      </c>
      <c r="K47" s="98"/>
      <c r="L47" s="99">
        <f t="shared" si="1"/>
        <v>0.01165833333</v>
      </c>
      <c r="M47" s="100">
        <f t="shared" si="2"/>
        <v>0.0160885</v>
      </c>
      <c r="N47" s="90"/>
    </row>
    <row r="48">
      <c r="A48" s="79"/>
      <c r="B48" s="79"/>
      <c r="C48" s="101" t="s">
        <v>138</v>
      </c>
      <c r="D48" s="102">
        <v>1000.0</v>
      </c>
      <c r="E48" s="93" t="s">
        <v>60</v>
      </c>
      <c r="F48" s="103">
        <v>11.12</v>
      </c>
      <c r="G48" s="84">
        <v>0.39</v>
      </c>
      <c r="H48" s="96">
        <f>IF(Settings!$D$7=true, 1-G48,1)</f>
        <v>0.61</v>
      </c>
      <c r="I48" s="98" t="s">
        <v>55</v>
      </c>
      <c r="J48" s="97" t="s">
        <v>56</v>
      </c>
      <c r="K48" s="98"/>
      <c r="L48" s="99">
        <f t="shared" si="1"/>
        <v>0.01112</v>
      </c>
      <c r="M48" s="100">
        <f t="shared" si="2"/>
        <v>0.0154568</v>
      </c>
      <c r="N48" s="90"/>
    </row>
    <row r="49">
      <c r="A49" s="79"/>
      <c r="B49" s="79"/>
      <c r="C49" s="101" t="s">
        <v>139</v>
      </c>
      <c r="D49" s="102">
        <v>125.0</v>
      </c>
      <c r="E49" s="93" t="s">
        <v>60</v>
      </c>
      <c r="F49" s="103">
        <v>4.33</v>
      </c>
      <c r="G49" s="84">
        <v>0.16</v>
      </c>
      <c r="H49" s="96">
        <f>IF(Settings!$D$7=true, 1-G49,1)</f>
        <v>0.84</v>
      </c>
      <c r="I49" s="98" t="s">
        <v>55</v>
      </c>
      <c r="J49" s="97" t="s">
        <v>59</v>
      </c>
      <c r="K49" s="98"/>
      <c r="L49" s="99">
        <f t="shared" si="1"/>
        <v>0.03464</v>
      </c>
      <c r="M49" s="100">
        <f t="shared" si="2"/>
        <v>0.0401824</v>
      </c>
      <c r="N49" s="90"/>
    </row>
    <row r="50">
      <c r="A50" s="79"/>
      <c r="B50" s="79"/>
      <c r="C50" s="101" t="s">
        <v>140</v>
      </c>
      <c r="D50" s="102">
        <v>2000.0</v>
      </c>
      <c r="E50" s="93" t="s">
        <v>60</v>
      </c>
      <c r="F50" s="103">
        <v>16.19</v>
      </c>
      <c r="G50" s="84">
        <v>0.04</v>
      </c>
      <c r="H50" s="96">
        <f>IF(Settings!$D$7=true, 1-G50,1)</f>
        <v>0.96</v>
      </c>
      <c r="I50" s="98" t="s">
        <v>55</v>
      </c>
      <c r="J50" s="97" t="s">
        <v>62</v>
      </c>
      <c r="K50" s="98"/>
      <c r="L50" s="99">
        <f t="shared" si="1"/>
        <v>0.008095</v>
      </c>
      <c r="M50" s="100">
        <f t="shared" si="2"/>
        <v>0.0084188</v>
      </c>
      <c r="N50" s="90"/>
    </row>
    <row r="51">
      <c r="A51" s="104"/>
      <c r="B51" s="104"/>
      <c r="C51" s="101" t="s">
        <v>141</v>
      </c>
      <c r="D51" s="102">
        <v>1000.0</v>
      </c>
      <c r="E51" s="93" t="s">
        <v>60</v>
      </c>
      <c r="F51" s="103">
        <v>6.0</v>
      </c>
      <c r="G51" s="84">
        <v>0.17</v>
      </c>
      <c r="H51" s="96">
        <f>IF(Settings!$D$7=true, 1-G51,1)</f>
        <v>0.83</v>
      </c>
      <c r="I51" s="97" t="s">
        <v>58</v>
      </c>
      <c r="J51" s="97" t="s">
        <v>59</v>
      </c>
      <c r="K51" s="98"/>
      <c r="L51" s="99">
        <f t="shared" si="1"/>
        <v>0.006</v>
      </c>
      <c r="M51" s="100">
        <f t="shared" si="2"/>
        <v>0.00702</v>
      </c>
      <c r="N51" s="90"/>
    </row>
    <row r="52">
      <c r="A52" s="104"/>
      <c r="B52" s="104"/>
      <c r="C52" s="101" t="s">
        <v>142</v>
      </c>
      <c r="D52" s="102">
        <v>1000.0</v>
      </c>
      <c r="E52" s="93" t="s">
        <v>60</v>
      </c>
      <c r="F52" s="103">
        <v>6.6</v>
      </c>
      <c r="G52" s="84">
        <v>0.07</v>
      </c>
      <c r="H52" s="96">
        <f>IF(Settings!$D$7=true, 1-G52,1)</f>
        <v>0.93</v>
      </c>
      <c r="I52" s="97" t="s">
        <v>58</v>
      </c>
      <c r="J52" s="97" t="s">
        <v>59</v>
      </c>
      <c r="K52" s="98"/>
      <c r="L52" s="99">
        <f t="shared" si="1"/>
        <v>0.0066</v>
      </c>
      <c r="M52" s="100">
        <f t="shared" si="2"/>
        <v>0.007062</v>
      </c>
      <c r="N52" s="90"/>
    </row>
    <row r="53">
      <c r="A53" s="79"/>
      <c r="B53" s="79"/>
      <c r="C53" s="101" t="s">
        <v>143</v>
      </c>
      <c r="D53" s="102">
        <v>3000.0</v>
      </c>
      <c r="E53" s="93" t="s">
        <v>69</v>
      </c>
      <c r="F53" s="103">
        <v>9.24</v>
      </c>
      <c r="G53" s="84">
        <v>0.1</v>
      </c>
      <c r="H53" s="96">
        <f>IF(Settings!$D$7=true, 1-G53,1)</f>
        <v>0.9</v>
      </c>
      <c r="I53" s="98" t="s">
        <v>55</v>
      </c>
      <c r="J53" s="97" t="s">
        <v>62</v>
      </c>
      <c r="K53" s="98"/>
      <c r="L53" s="99">
        <f t="shared" si="1"/>
        <v>0.00308</v>
      </c>
      <c r="M53" s="100">
        <f t="shared" si="2"/>
        <v>0.003388</v>
      </c>
      <c r="N53" s="90"/>
    </row>
    <row r="54">
      <c r="A54" s="79"/>
      <c r="B54" s="79"/>
      <c r="C54" s="101" t="s">
        <v>144</v>
      </c>
      <c r="D54" s="102">
        <v>15.0</v>
      </c>
      <c r="E54" s="93" t="s">
        <v>60</v>
      </c>
      <c r="F54" s="103">
        <v>1.8</v>
      </c>
      <c r="G54" s="84">
        <v>0.21</v>
      </c>
      <c r="H54" s="96">
        <f>IF(Settings!$D$7=true, 1-G54,1)</f>
        <v>0.79</v>
      </c>
      <c r="I54" s="98" t="s">
        <v>55</v>
      </c>
      <c r="J54" s="97" t="s">
        <v>62</v>
      </c>
      <c r="K54" s="98"/>
      <c r="L54" s="99">
        <f t="shared" si="1"/>
        <v>0.12</v>
      </c>
      <c r="M54" s="100">
        <f t="shared" si="2"/>
        <v>0.1452</v>
      </c>
      <c r="N54" s="90"/>
    </row>
    <row r="55">
      <c r="A55" s="104"/>
      <c r="B55" s="104"/>
      <c r="C55" s="101" t="s">
        <v>145</v>
      </c>
      <c r="D55" s="102">
        <v>20000.0</v>
      </c>
      <c r="E55" s="93" t="s">
        <v>60</v>
      </c>
      <c r="F55" s="103">
        <v>50.0</v>
      </c>
      <c r="G55" s="84">
        <v>0.26</v>
      </c>
      <c r="H55" s="96">
        <f>IF(Settings!$D$7=true, 1-G55,1)</f>
        <v>0.74</v>
      </c>
      <c r="I55" s="97" t="s">
        <v>58</v>
      </c>
      <c r="J55" s="97" t="s">
        <v>65</v>
      </c>
      <c r="K55" s="98"/>
      <c r="L55" s="99">
        <f t="shared" si="1"/>
        <v>0.0025</v>
      </c>
      <c r="M55" s="100">
        <f t="shared" si="2"/>
        <v>0.00315</v>
      </c>
      <c r="N55" s="90"/>
    </row>
    <row r="56">
      <c r="A56" s="79"/>
      <c r="B56" s="79"/>
      <c r="C56" s="101" t="s">
        <v>146</v>
      </c>
      <c r="D56" s="102">
        <v>1000.0</v>
      </c>
      <c r="E56" s="93" t="s">
        <v>60</v>
      </c>
      <c r="F56" s="103">
        <v>2.33</v>
      </c>
      <c r="G56" s="84">
        <v>0.24</v>
      </c>
      <c r="H56" s="96">
        <f>IF(Settings!$D$7=true, 1-G56,1)</f>
        <v>0.76</v>
      </c>
      <c r="I56" s="98" t="s">
        <v>55</v>
      </c>
      <c r="J56" s="97" t="s">
        <v>62</v>
      </c>
      <c r="K56" s="98"/>
      <c r="L56" s="99">
        <f t="shared" si="1"/>
        <v>0.00233</v>
      </c>
      <c r="M56" s="100">
        <f t="shared" si="2"/>
        <v>0.0028892</v>
      </c>
      <c r="N56" s="90"/>
    </row>
    <row r="57">
      <c r="A57" s="104"/>
      <c r="B57" s="104"/>
      <c r="C57" s="101" t="s">
        <v>147</v>
      </c>
      <c r="D57" s="102">
        <v>15000.0</v>
      </c>
      <c r="E57" s="93" t="s">
        <v>60</v>
      </c>
      <c r="F57" s="103">
        <v>57.0</v>
      </c>
      <c r="G57" s="84">
        <v>0.21</v>
      </c>
      <c r="H57" s="96">
        <f>IF(Settings!$D$7=true, 1-G57,1)</f>
        <v>0.79</v>
      </c>
      <c r="I57" s="97" t="s">
        <v>58</v>
      </c>
      <c r="J57" s="97" t="s">
        <v>65</v>
      </c>
      <c r="K57" s="98"/>
      <c r="L57" s="99">
        <f t="shared" si="1"/>
        <v>0.0038</v>
      </c>
      <c r="M57" s="100">
        <f t="shared" si="2"/>
        <v>0.004598</v>
      </c>
      <c r="N57" s="90"/>
    </row>
    <row r="58">
      <c r="A58" s="104"/>
      <c r="B58" s="104"/>
      <c r="C58" s="101" t="s">
        <v>148</v>
      </c>
      <c r="D58" s="102">
        <v>1200.0</v>
      </c>
      <c r="E58" s="93" t="s">
        <v>60</v>
      </c>
      <c r="F58" s="103">
        <v>4.8</v>
      </c>
      <c r="G58" s="84">
        <v>0.18</v>
      </c>
      <c r="H58" s="96">
        <f>IF(Settings!$D$7=true, 1-G58,1)</f>
        <v>0.82</v>
      </c>
      <c r="I58" s="97" t="s">
        <v>58</v>
      </c>
      <c r="J58" s="97" t="s">
        <v>65</v>
      </c>
      <c r="K58" s="98"/>
      <c r="L58" s="99">
        <f t="shared" si="1"/>
        <v>0.004</v>
      </c>
      <c r="M58" s="100">
        <f t="shared" si="2"/>
        <v>0.00472</v>
      </c>
      <c r="N58" s="90"/>
    </row>
    <row r="59">
      <c r="A59" s="104"/>
      <c r="B59" s="104"/>
      <c r="C59" s="91" t="s">
        <v>149</v>
      </c>
      <c r="D59" s="102">
        <v>2000.0</v>
      </c>
      <c r="E59" s="93" t="s">
        <v>60</v>
      </c>
      <c r="F59" s="103">
        <v>29.5</v>
      </c>
      <c r="G59" s="84">
        <v>0.39</v>
      </c>
      <c r="H59" s="96">
        <f>IF(Settings!$D$7=true, 1-G59,1)</f>
        <v>0.61</v>
      </c>
      <c r="I59" s="97" t="s">
        <v>58</v>
      </c>
      <c r="J59" s="97" t="s">
        <v>65</v>
      </c>
      <c r="K59" s="98"/>
      <c r="L59" s="99">
        <f t="shared" si="1"/>
        <v>0.01475</v>
      </c>
      <c r="M59" s="100">
        <f t="shared" si="2"/>
        <v>0.0205025</v>
      </c>
      <c r="N59" s="90"/>
    </row>
    <row r="60">
      <c r="A60" s="79"/>
      <c r="B60" s="79"/>
      <c r="C60" s="101" t="s">
        <v>150</v>
      </c>
      <c r="D60" s="102">
        <v>1250.0</v>
      </c>
      <c r="E60" s="93" t="s">
        <v>60</v>
      </c>
      <c r="F60" s="103">
        <v>27.42</v>
      </c>
      <c r="G60" s="84">
        <v>0.33</v>
      </c>
      <c r="H60" s="96">
        <f>IF(Settings!$D$7=true, 1-G60,1)</f>
        <v>0.67</v>
      </c>
      <c r="I60" s="98" t="s">
        <v>55</v>
      </c>
      <c r="J60" s="97" t="s">
        <v>59</v>
      </c>
      <c r="K60" s="98"/>
      <c r="L60" s="99">
        <f t="shared" si="1"/>
        <v>0.021936</v>
      </c>
      <c r="M60" s="100">
        <f t="shared" si="2"/>
        <v>0.02917488</v>
      </c>
      <c r="N60" s="90"/>
    </row>
    <row r="61">
      <c r="A61" s="104"/>
      <c r="B61" s="104"/>
      <c r="C61" s="101" t="s">
        <v>151</v>
      </c>
      <c r="D61" s="102">
        <v>12.0</v>
      </c>
      <c r="E61" s="93" t="s">
        <v>57</v>
      </c>
      <c r="F61" s="103">
        <v>3.9</v>
      </c>
      <c r="G61" s="84">
        <v>0.31</v>
      </c>
      <c r="H61" s="96">
        <f>IF(Settings!$D$7=true, 1-G61,1)</f>
        <v>0.69</v>
      </c>
      <c r="I61" s="97" t="s">
        <v>58</v>
      </c>
      <c r="J61" s="97" t="s">
        <v>65</v>
      </c>
      <c r="K61" s="98"/>
      <c r="L61" s="99">
        <f t="shared" si="1"/>
        <v>0.325</v>
      </c>
      <c r="M61" s="100">
        <f t="shared" si="2"/>
        <v>0.42575</v>
      </c>
      <c r="N61" s="90"/>
    </row>
    <row r="62">
      <c r="A62" s="79"/>
      <c r="B62" s="79"/>
      <c r="C62" s="101" t="s">
        <v>152</v>
      </c>
      <c r="D62" s="102">
        <v>1000.0</v>
      </c>
      <c r="E62" s="93" t="s">
        <v>60</v>
      </c>
      <c r="F62" s="103">
        <v>12.15</v>
      </c>
      <c r="G62" s="84">
        <v>0.37</v>
      </c>
      <c r="H62" s="96">
        <f>IF(Settings!$D$7=true, 1-G62,1)</f>
        <v>0.63</v>
      </c>
      <c r="I62" s="97" t="s">
        <v>64</v>
      </c>
      <c r="J62" s="97" t="s">
        <v>75</v>
      </c>
      <c r="K62" s="98"/>
      <c r="L62" s="99">
        <f t="shared" si="1"/>
        <v>0.01215</v>
      </c>
      <c r="M62" s="100">
        <f t="shared" si="2"/>
        <v>0.0166455</v>
      </c>
      <c r="N62" s="90"/>
    </row>
    <row r="63">
      <c r="A63" s="79"/>
      <c r="B63" s="79"/>
      <c r="C63" s="101" t="s">
        <v>153</v>
      </c>
      <c r="D63" s="102">
        <v>1000.0</v>
      </c>
      <c r="E63" s="93" t="s">
        <v>60</v>
      </c>
      <c r="F63" s="103">
        <v>14.41</v>
      </c>
      <c r="G63" s="84">
        <v>0.18</v>
      </c>
      <c r="H63" s="96">
        <f>IF(Settings!$D$7=true, 1-G63,1)</f>
        <v>0.82</v>
      </c>
      <c r="I63" s="98" t="s">
        <v>55</v>
      </c>
      <c r="J63" s="97" t="s">
        <v>75</v>
      </c>
      <c r="K63" s="98"/>
      <c r="L63" s="99">
        <f t="shared" si="1"/>
        <v>0.01441</v>
      </c>
      <c r="M63" s="100">
        <f t="shared" si="2"/>
        <v>0.0170038</v>
      </c>
      <c r="N63" s="90"/>
    </row>
    <row r="64">
      <c r="A64" s="79"/>
      <c r="B64" s="79"/>
      <c r="C64" s="101" t="s">
        <v>154</v>
      </c>
      <c r="D64" s="102">
        <v>100.0</v>
      </c>
      <c r="E64" s="93" t="s">
        <v>57</v>
      </c>
      <c r="F64" s="103">
        <v>75.0</v>
      </c>
      <c r="G64" s="84">
        <v>0.09</v>
      </c>
      <c r="H64" s="96">
        <f>IF(Settings!$D$7=true, 1-G64,1)</f>
        <v>0.91</v>
      </c>
      <c r="I64" s="98" t="s">
        <v>55</v>
      </c>
      <c r="J64" s="97" t="s">
        <v>75</v>
      </c>
      <c r="K64" s="98"/>
      <c r="L64" s="99">
        <f t="shared" si="1"/>
        <v>0.75</v>
      </c>
      <c r="M64" s="100">
        <f t="shared" si="2"/>
        <v>0.8175</v>
      </c>
      <c r="N64" s="90"/>
    </row>
    <row r="65">
      <c r="A65" s="79"/>
      <c r="B65" s="79"/>
      <c r="C65" s="101" t="s">
        <v>155</v>
      </c>
      <c r="D65" s="102">
        <v>30.0</v>
      </c>
      <c r="E65" s="93" t="s">
        <v>57</v>
      </c>
      <c r="F65" s="103">
        <v>55.34</v>
      </c>
      <c r="G65" s="84">
        <v>0.4</v>
      </c>
      <c r="H65" s="96">
        <f>IF(Settings!$D$7=true, 1-G65,1)</f>
        <v>0.6</v>
      </c>
      <c r="I65" s="97" t="s">
        <v>64</v>
      </c>
      <c r="J65" s="97" t="s">
        <v>75</v>
      </c>
      <c r="K65" s="98"/>
      <c r="L65" s="99">
        <f t="shared" si="1"/>
        <v>1.844666667</v>
      </c>
      <c r="M65" s="100">
        <f t="shared" si="2"/>
        <v>2.582533333</v>
      </c>
      <c r="N65" s="90"/>
    </row>
    <row r="66">
      <c r="A66" s="79"/>
      <c r="B66" s="79"/>
      <c r="C66" s="101" t="s">
        <v>156</v>
      </c>
      <c r="D66" s="102">
        <v>30.0</v>
      </c>
      <c r="E66" s="93" t="s">
        <v>57</v>
      </c>
      <c r="F66" s="103">
        <v>86.47</v>
      </c>
      <c r="G66" s="84">
        <v>0.12</v>
      </c>
      <c r="H66" s="96">
        <f>IF(Settings!$D$7=true, 1-G66,1)</f>
        <v>0.88</v>
      </c>
      <c r="I66" s="97" t="s">
        <v>64</v>
      </c>
      <c r="J66" s="97" t="s">
        <v>75</v>
      </c>
      <c r="K66" s="98"/>
      <c r="L66" s="99">
        <f t="shared" si="1"/>
        <v>2.882333333</v>
      </c>
      <c r="M66" s="100">
        <f t="shared" si="2"/>
        <v>3.228213333</v>
      </c>
      <c r="N66" s="90"/>
    </row>
    <row r="67">
      <c r="A67" s="79"/>
      <c r="B67" s="79"/>
      <c r="C67" s="101" t="s">
        <v>157</v>
      </c>
      <c r="D67" s="102">
        <v>1.0</v>
      </c>
      <c r="E67" s="93" t="s">
        <v>57</v>
      </c>
      <c r="F67" s="103">
        <v>6.88</v>
      </c>
      <c r="G67" s="84">
        <v>0.12</v>
      </c>
      <c r="H67" s="96">
        <f>IF(Settings!$D$7=true, 1-G67,1)</f>
        <v>0.88</v>
      </c>
      <c r="I67" s="97" t="s">
        <v>64</v>
      </c>
      <c r="J67" s="97" t="s">
        <v>75</v>
      </c>
      <c r="K67" s="98"/>
      <c r="L67" s="99">
        <f t="shared" si="1"/>
        <v>6.88</v>
      </c>
      <c r="M67" s="100">
        <f t="shared" si="2"/>
        <v>7.7056</v>
      </c>
      <c r="N67" s="90"/>
    </row>
    <row r="68">
      <c r="A68" s="79"/>
      <c r="B68" s="79"/>
      <c r="C68" s="101" t="s">
        <v>158</v>
      </c>
      <c r="D68" s="102">
        <v>1.0</v>
      </c>
      <c r="E68" s="93" t="s">
        <v>57</v>
      </c>
      <c r="F68" s="103">
        <v>8.02</v>
      </c>
      <c r="G68" s="84">
        <v>0.0</v>
      </c>
      <c r="H68" s="96">
        <f>IF(Settings!$D$7=true, 1-G68,1)</f>
        <v>1</v>
      </c>
      <c r="I68" s="97" t="s">
        <v>64</v>
      </c>
      <c r="J68" s="97" t="s">
        <v>75</v>
      </c>
      <c r="K68" s="98"/>
      <c r="L68" s="99">
        <f t="shared" si="1"/>
        <v>8.02</v>
      </c>
      <c r="M68" s="100">
        <f t="shared" si="2"/>
        <v>8.02</v>
      </c>
      <c r="N68" s="90"/>
    </row>
    <row r="69">
      <c r="A69" s="79"/>
      <c r="B69" s="79"/>
      <c r="C69" s="101" t="s">
        <v>159</v>
      </c>
      <c r="D69" s="102">
        <v>1.0</v>
      </c>
      <c r="E69" s="93" t="s">
        <v>57</v>
      </c>
      <c r="F69" s="103">
        <v>9.46</v>
      </c>
      <c r="G69" s="84">
        <v>0.19</v>
      </c>
      <c r="H69" s="96">
        <f>IF(Settings!$D$7=true, 1-G69,1)</f>
        <v>0.81</v>
      </c>
      <c r="I69" s="97" t="s">
        <v>64</v>
      </c>
      <c r="J69" s="97" t="s">
        <v>75</v>
      </c>
      <c r="K69" s="98"/>
      <c r="L69" s="99">
        <f t="shared" si="1"/>
        <v>9.46</v>
      </c>
      <c r="M69" s="100">
        <f t="shared" si="2"/>
        <v>11.2574</v>
      </c>
      <c r="N69" s="90"/>
    </row>
    <row r="70">
      <c r="A70" s="79"/>
      <c r="B70" s="79"/>
      <c r="C70" s="101" t="s">
        <v>160</v>
      </c>
      <c r="D70" s="102">
        <v>1.0</v>
      </c>
      <c r="E70" s="93" t="s">
        <v>57</v>
      </c>
      <c r="F70" s="103">
        <v>10.61</v>
      </c>
      <c r="G70" s="84">
        <v>0.12</v>
      </c>
      <c r="H70" s="96">
        <f>IF(Settings!$D$7=true, 1-G70,1)</f>
        <v>0.88</v>
      </c>
      <c r="I70" s="97" t="s">
        <v>64</v>
      </c>
      <c r="J70" s="97" t="s">
        <v>75</v>
      </c>
      <c r="K70" s="98"/>
      <c r="L70" s="99">
        <f t="shared" si="1"/>
        <v>10.61</v>
      </c>
      <c r="M70" s="100">
        <f t="shared" si="2"/>
        <v>11.8832</v>
      </c>
      <c r="N70" s="90"/>
    </row>
    <row r="71">
      <c r="A71" s="79"/>
      <c r="B71" s="79"/>
      <c r="C71" s="101" t="s">
        <v>161</v>
      </c>
      <c r="D71" s="102">
        <v>1.0</v>
      </c>
      <c r="E71" s="93" t="s">
        <v>57</v>
      </c>
      <c r="F71" s="103">
        <v>12.04</v>
      </c>
      <c r="G71" s="84">
        <v>0.13</v>
      </c>
      <c r="H71" s="96">
        <f>IF(Settings!$D$7=true, 1-G71,1)</f>
        <v>0.87</v>
      </c>
      <c r="I71" s="97" t="s">
        <v>64</v>
      </c>
      <c r="J71" s="97" t="s">
        <v>75</v>
      </c>
      <c r="K71" s="98"/>
      <c r="L71" s="99">
        <f t="shared" si="1"/>
        <v>12.04</v>
      </c>
      <c r="M71" s="100">
        <f t="shared" si="2"/>
        <v>13.6052</v>
      </c>
      <c r="N71" s="90"/>
    </row>
    <row r="72">
      <c r="A72" s="79"/>
      <c r="B72" s="79"/>
      <c r="C72" s="101" t="s">
        <v>162</v>
      </c>
      <c r="D72" s="102">
        <v>1000.0</v>
      </c>
      <c r="E72" s="93" t="s">
        <v>69</v>
      </c>
      <c r="F72" s="103">
        <v>14.17</v>
      </c>
      <c r="G72" s="84">
        <v>0.3</v>
      </c>
      <c r="H72" s="96">
        <f>IF(Settings!$D$7=true, 1-G72,1)</f>
        <v>0.7</v>
      </c>
      <c r="I72" s="98" t="s">
        <v>55</v>
      </c>
      <c r="J72" s="97" t="s">
        <v>75</v>
      </c>
      <c r="K72" s="98"/>
      <c r="L72" s="99">
        <f t="shared" si="1"/>
        <v>0.01417</v>
      </c>
      <c r="M72" s="100">
        <f t="shared" si="2"/>
        <v>0.018421</v>
      </c>
      <c r="N72" s="90"/>
    </row>
    <row r="73">
      <c r="A73" s="79"/>
      <c r="B73" s="79"/>
      <c r="C73" s="101" t="s">
        <v>163</v>
      </c>
      <c r="D73" s="102">
        <v>1000.0</v>
      </c>
      <c r="E73" s="93" t="s">
        <v>60</v>
      </c>
      <c r="F73" s="103">
        <v>7.21</v>
      </c>
      <c r="G73" s="84">
        <v>0.07</v>
      </c>
      <c r="H73" s="96">
        <f>IF(Settings!$D$7=true, 1-G73,1)</f>
        <v>0.93</v>
      </c>
      <c r="I73" s="98" t="s">
        <v>55</v>
      </c>
      <c r="J73" s="97" t="s">
        <v>59</v>
      </c>
      <c r="K73" s="98"/>
      <c r="L73" s="99">
        <f t="shared" si="1"/>
        <v>0.00721</v>
      </c>
      <c r="M73" s="100">
        <f t="shared" si="2"/>
        <v>0.0077147</v>
      </c>
      <c r="N73" s="90"/>
    </row>
    <row r="74">
      <c r="A74" s="79"/>
      <c r="B74" s="79"/>
      <c r="C74" s="101" t="s">
        <v>164</v>
      </c>
      <c r="D74" s="102">
        <v>750.0</v>
      </c>
      <c r="E74" s="93" t="s">
        <v>60</v>
      </c>
      <c r="F74" s="103">
        <v>8.59</v>
      </c>
      <c r="G74" s="84">
        <v>0.22</v>
      </c>
      <c r="H74" s="96">
        <f>IF(Settings!$D$7=true, 1-G74,1)</f>
        <v>0.78</v>
      </c>
      <c r="I74" s="98" t="s">
        <v>55</v>
      </c>
      <c r="J74" s="97" t="s">
        <v>62</v>
      </c>
      <c r="K74" s="98"/>
      <c r="L74" s="99">
        <f t="shared" si="1"/>
        <v>0.01145333333</v>
      </c>
      <c r="M74" s="100">
        <f t="shared" si="2"/>
        <v>0.01397306667</v>
      </c>
      <c r="N74" s="90"/>
    </row>
    <row r="75">
      <c r="A75" s="104"/>
      <c r="B75" s="104"/>
      <c r="C75" s="101" t="s">
        <v>165</v>
      </c>
      <c r="D75" s="102">
        <v>1000.0</v>
      </c>
      <c r="E75" s="93" t="s">
        <v>60</v>
      </c>
      <c r="F75" s="103">
        <v>22.5</v>
      </c>
      <c r="G75" s="84">
        <v>0.29</v>
      </c>
      <c r="H75" s="96">
        <f>IF(Settings!$D$7=true, 1-G75,1)</f>
        <v>0.71</v>
      </c>
      <c r="I75" s="97" t="s">
        <v>58</v>
      </c>
      <c r="J75" s="97" t="s">
        <v>65</v>
      </c>
      <c r="K75" s="98"/>
      <c r="L75" s="99">
        <f t="shared" si="1"/>
        <v>0.0225</v>
      </c>
      <c r="M75" s="100">
        <f t="shared" si="2"/>
        <v>0.029025</v>
      </c>
      <c r="N75" s="90"/>
    </row>
    <row r="76">
      <c r="A76" s="79"/>
      <c r="B76" s="79"/>
      <c r="C76" s="91" t="s">
        <v>166</v>
      </c>
      <c r="D76" s="92">
        <v>6000.0</v>
      </c>
      <c r="E76" s="93" t="s">
        <v>60</v>
      </c>
      <c r="F76" s="103">
        <v>38.1</v>
      </c>
      <c r="G76" s="84">
        <v>0.21</v>
      </c>
      <c r="H76" s="96">
        <f>IF(Settings!$D$7=true, 1-G76,1)</f>
        <v>0.79</v>
      </c>
      <c r="I76" s="98" t="s">
        <v>55</v>
      </c>
      <c r="J76" s="97" t="s">
        <v>56</v>
      </c>
      <c r="K76" s="98"/>
      <c r="L76" s="99">
        <f t="shared" si="1"/>
        <v>0.00635</v>
      </c>
      <c r="M76" s="100">
        <f t="shared" si="2"/>
        <v>0.0076835</v>
      </c>
      <c r="N76" s="90"/>
    </row>
    <row r="77">
      <c r="A77" s="104"/>
      <c r="B77" s="104"/>
      <c r="C77" s="91" t="s">
        <v>167</v>
      </c>
      <c r="D77" s="92">
        <v>12000.0</v>
      </c>
      <c r="E77" s="93" t="s">
        <v>60</v>
      </c>
      <c r="F77" s="94">
        <v>75.14</v>
      </c>
      <c r="G77" s="84">
        <v>0.11</v>
      </c>
      <c r="H77" s="96">
        <f>IF(Settings!$D$7=true, 1-G77,1)</f>
        <v>0.89</v>
      </c>
      <c r="I77" s="97" t="s">
        <v>55</v>
      </c>
      <c r="J77" s="97" t="s">
        <v>56</v>
      </c>
      <c r="K77" s="98"/>
      <c r="L77" s="99">
        <f t="shared" si="1"/>
        <v>0.006261666667</v>
      </c>
      <c r="M77" s="100">
        <f t="shared" si="2"/>
        <v>0.00695045</v>
      </c>
      <c r="N77" s="90"/>
    </row>
    <row r="78">
      <c r="A78" s="104"/>
      <c r="B78" s="104"/>
      <c r="C78" s="101" t="s">
        <v>168</v>
      </c>
      <c r="D78" s="102">
        <v>100.0</v>
      </c>
      <c r="E78" s="93" t="s">
        <v>60</v>
      </c>
      <c r="F78" s="103">
        <v>3.0</v>
      </c>
      <c r="G78" s="84">
        <v>0.23</v>
      </c>
      <c r="H78" s="96">
        <f>IF(Settings!$D$7=true, 1-G78,1)</f>
        <v>0.77</v>
      </c>
      <c r="I78" s="97" t="s">
        <v>58</v>
      </c>
      <c r="J78" s="97" t="s">
        <v>65</v>
      </c>
      <c r="K78" s="98"/>
      <c r="L78" s="99">
        <f t="shared" si="1"/>
        <v>0.03</v>
      </c>
      <c r="M78" s="100">
        <f t="shared" si="2"/>
        <v>0.0369</v>
      </c>
      <c r="N78" s="90"/>
    </row>
    <row r="79">
      <c r="A79" s="79"/>
      <c r="B79" s="79"/>
      <c r="C79" s="101" t="s">
        <v>169</v>
      </c>
      <c r="D79" s="102">
        <v>1000.0</v>
      </c>
      <c r="E79" s="93" t="s">
        <v>60</v>
      </c>
      <c r="F79" s="103">
        <v>9.79</v>
      </c>
      <c r="G79" s="84">
        <v>0.13</v>
      </c>
      <c r="H79" s="96">
        <f>IF(Settings!$D$7=true, 1-G79,1)</f>
        <v>0.87</v>
      </c>
      <c r="I79" s="98" t="s">
        <v>55</v>
      </c>
      <c r="J79" s="97" t="s">
        <v>56</v>
      </c>
      <c r="K79" s="98"/>
      <c r="L79" s="99">
        <f t="shared" si="1"/>
        <v>0.00979</v>
      </c>
      <c r="M79" s="100">
        <f t="shared" si="2"/>
        <v>0.0110627</v>
      </c>
      <c r="N79" s="90"/>
    </row>
    <row r="80">
      <c r="A80" s="79"/>
      <c r="B80" s="79"/>
      <c r="C80" s="101" t="s">
        <v>170</v>
      </c>
      <c r="D80" s="102">
        <v>3000.0</v>
      </c>
      <c r="E80" s="93" t="s">
        <v>69</v>
      </c>
      <c r="F80" s="103">
        <v>9.24</v>
      </c>
      <c r="G80" s="84">
        <v>0.02</v>
      </c>
      <c r="H80" s="96">
        <f>IF(Settings!$D$7=true, 1-G80,1)</f>
        <v>0.98</v>
      </c>
      <c r="I80" s="98" t="s">
        <v>55</v>
      </c>
      <c r="J80" s="97" t="s">
        <v>62</v>
      </c>
      <c r="K80" s="98"/>
      <c r="L80" s="99">
        <f t="shared" si="1"/>
        <v>0.00308</v>
      </c>
      <c r="M80" s="100">
        <f t="shared" si="2"/>
        <v>0.0031416</v>
      </c>
      <c r="N80" s="90"/>
    </row>
    <row r="81">
      <c r="A81" s="79"/>
      <c r="B81" s="79"/>
      <c r="C81" s="101" t="s">
        <v>171</v>
      </c>
      <c r="D81" s="102">
        <v>1000.0</v>
      </c>
      <c r="E81" s="93" t="s">
        <v>60</v>
      </c>
      <c r="F81" s="103">
        <v>38.26</v>
      </c>
      <c r="G81" s="84">
        <v>0.01</v>
      </c>
      <c r="H81" s="96">
        <f>IF(Settings!$D$7=true, 1-G81,1)</f>
        <v>0.99</v>
      </c>
      <c r="I81" s="98" t="s">
        <v>55</v>
      </c>
      <c r="J81" s="97" t="s">
        <v>56</v>
      </c>
      <c r="K81" s="98"/>
      <c r="L81" s="99">
        <f t="shared" si="1"/>
        <v>0.03826</v>
      </c>
      <c r="M81" s="100">
        <f t="shared" si="2"/>
        <v>0.0386426</v>
      </c>
      <c r="N81" s="90"/>
    </row>
    <row r="82">
      <c r="A82" s="79"/>
      <c r="B82" s="79"/>
      <c r="C82" s="101" t="s">
        <v>172</v>
      </c>
      <c r="D82" s="102">
        <v>36.0</v>
      </c>
      <c r="E82" s="93" t="s">
        <v>57</v>
      </c>
      <c r="F82" s="103">
        <v>28.33</v>
      </c>
      <c r="G82" s="84">
        <v>0.21</v>
      </c>
      <c r="H82" s="96">
        <f>IF(Settings!$D$7=true, 1-G82,1)</f>
        <v>0.79</v>
      </c>
      <c r="I82" s="98" t="s">
        <v>55</v>
      </c>
      <c r="J82" s="97" t="s">
        <v>56</v>
      </c>
      <c r="K82" s="98"/>
      <c r="L82" s="99">
        <f t="shared" si="1"/>
        <v>0.7869444444</v>
      </c>
      <c r="M82" s="100">
        <f t="shared" si="2"/>
        <v>0.9522027778</v>
      </c>
      <c r="N82" s="90"/>
    </row>
    <row r="83">
      <c r="A83" s="79"/>
      <c r="B83" s="79"/>
      <c r="C83" s="101" t="s">
        <v>173</v>
      </c>
      <c r="D83" s="102">
        <v>1000.0</v>
      </c>
      <c r="E83" s="93" t="s">
        <v>60</v>
      </c>
      <c r="F83" s="103">
        <v>13.68</v>
      </c>
      <c r="G83" s="84">
        <v>0.35</v>
      </c>
      <c r="H83" s="96">
        <f>IF(Settings!$D$7=true, 1-G83,1)</f>
        <v>0.65</v>
      </c>
      <c r="I83" s="98" t="s">
        <v>55</v>
      </c>
      <c r="J83" s="97" t="s">
        <v>62</v>
      </c>
      <c r="K83" s="98"/>
      <c r="L83" s="99">
        <f t="shared" si="1"/>
        <v>0.01368</v>
      </c>
      <c r="M83" s="100">
        <f t="shared" si="2"/>
        <v>0.018468</v>
      </c>
      <c r="N83" s="90"/>
    </row>
    <row r="84">
      <c r="A84" s="79"/>
      <c r="B84" s="79"/>
      <c r="C84" s="101" t="s">
        <v>174</v>
      </c>
      <c r="D84" s="102">
        <v>400.0</v>
      </c>
      <c r="E84" s="93" t="s">
        <v>60</v>
      </c>
      <c r="F84" s="103">
        <v>15.38</v>
      </c>
      <c r="G84" s="84">
        <v>0.14</v>
      </c>
      <c r="H84" s="96">
        <f>IF(Settings!$D$7=true, 1-G84,1)</f>
        <v>0.86</v>
      </c>
      <c r="I84" s="98" t="s">
        <v>55</v>
      </c>
      <c r="J84" s="97" t="s">
        <v>62</v>
      </c>
      <c r="K84" s="98"/>
      <c r="L84" s="99">
        <f t="shared" si="1"/>
        <v>0.03845</v>
      </c>
      <c r="M84" s="100">
        <f t="shared" si="2"/>
        <v>0.043833</v>
      </c>
      <c r="N84" s="90"/>
    </row>
    <row r="85">
      <c r="A85" s="79"/>
      <c r="B85" s="79"/>
      <c r="C85" s="101" t="s">
        <v>175</v>
      </c>
      <c r="D85" s="102">
        <v>750.0</v>
      </c>
      <c r="E85" s="93" t="s">
        <v>60</v>
      </c>
      <c r="F85" s="103">
        <v>7.24</v>
      </c>
      <c r="G85" s="84">
        <v>0.12</v>
      </c>
      <c r="H85" s="96">
        <f>IF(Settings!$D$7=true, 1-G85,1)</f>
        <v>0.88</v>
      </c>
      <c r="I85" s="98" t="s">
        <v>55</v>
      </c>
      <c r="J85" s="97" t="s">
        <v>62</v>
      </c>
      <c r="K85" s="98"/>
      <c r="L85" s="99">
        <f t="shared" si="1"/>
        <v>0.009653333333</v>
      </c>
      <c r="M85" s="100">
        <f t="shared" si="2"/>
        <v>0.01081173333</v>
      </c>
      <c r="N85" s="90"/>
    </row>
    <row r="86">
      <c r="A86" s="79"/>
      <c r="B86" s="79"/>
      <c r="C86" s="101" t="s">
        <v>176</v>
      </c>
      <c r="D86" s="102">
        <v>700.0</v>
      </c>
      <c r="E86" s="93" t="s">
        <v>69</v>
      </c>
      <c r="F86" s="103">
        <v>52.0</v>
      </c>
      <c r="G86" s="84">
        <v>0.18</v>
      </c>
      <c r="H86" s="96">
        <f>IF(Settings!$D$7=true, 1-G86,1)</f>
        <v>0.82</v>
      </c>
      <c r="I86" s="98" t="s">
        <v>55</v>
      </c>
      <c r="J86" s="97" t="s">
        <v>62</v>
      </c>
      <c r="K86" s="98"/>
      <c r="L86" s="99">
        <f t="shared" si="1"/>
        <v>0.07428571429</v>
      </c>
      <c r="M86" s="100">
        <f t="shared" si="2"/>
        <v>0.08765714286</v>
      </c>
      <c r="N86" s="90"/>
    </row>
    <row r="87">
      <c r="A87" s="79"/>
      <c r="B87" s="79"/>
      <c r="C87" s="101" t="s">
        <v>177</v>
      </c>
      <c r="D87" s="102">
        <v>395.0</v>
      </c>
      <c r="E87" s="93" t="s">
        <v>60</v>
      </c>
      <c r="F87" s="103">
        <v>3.49</v>
      </c>
      <c r="G87" s="84">
        <v>0.24</v>
      </c>
      <c r="H87" s="96">
        <f>IF(Settings!$D$7=true, 1-G87,1)</f>
        <v>0.76</v>
      </c>
      <c r="I87" s="98" t="s">
        <v>55</v>
      </c>
      <c r="J87" s="97" t="s">
        <v>62</v>
      </c>
      <c r="K87" s="98"/>
      <c r="L87" s="99">
        <f t="shared" si="1"/>
        <v>0.008835443038</v>
      </c>
      <c r="M87" s="100">
        <f t="shared" si="2"/>
        <v>0.01095594937</v>
      </c>
      <c r="N87" s="90"/>
    </row>
    <row r="88">
      <c r="A88" s="79"/>
      <c r="B88" s="79"/>
      <c r="C88" s="101" t="s">
        <v>178</v>
      </c>
      <c r="D88" s="102">
        <v>1000.0</v>
      </c>
      <c r="E88" s="93" t="s">
        <v>69</v>
      </c>
      <c r="F88" s="103">
        <v>7.4</v>
      </c>
      <c r="G88" s="84">
        <v>0.11</v>
      </c>
      <c r="H88" s="96">
        <f>IF(Settings!$D$7=true, 1-G88,1)</f>
        <v>0.89</v>
      </c>
      <c r="I88" s="98" t="s">
        <v>55</v>
      </c>
      <c r="J88" s="97" t="s">
        <v>59</v>
      </c>
      <c r="K88" s="98"/>
      <c r="L88" s="99">
        <f t="shared" si="1"/>
        <v>0.0074</v>
      </c>
      <c r="M88" s="100">
        <f t="shared" si="2"/>
        <v>0.008214</v>
      </c>
      <c r="N88" s="90"/>
    </row>
    <row r="89">
      <c r="A89" s="104"/>
      <c r="B89" s="104"/>
      <c r="C89" s="101" t="s">
        <v>179</v>
      </c>
      <c r="D89" s="102">
        <v>200.0</v>
      </c>
      <c r="E89" s="93" t="s">
        <v>60</v>
      </c>
      <c r="F89" s="103">
        <v>2.8</v>
      </c>
      <c r="G89" s="84">
        <v>0.25</v>
      </c>
      <c r="H89" s="96">
        <f>IF(Settings!$D$7=true, 1-G89,1)</f>
        <v>0.75</v>
      </c>
      <c r="I89" s="97" t="s">
        <v>58</v>
      </c>
      <c r="J89" s="97" t="s">
        <v>65</v>
      </c>
      <c r="K89" s="98"/>
      <c r="L89" s="99">
        <f t="shared" si="1"/>
        <v>0.014</v>
      </c>
      <c r="M89" s="100">
        <f t="shared" si="2"/>
        <v>0.0175</v>
      </c>
      <c r="N89" s="90"/>
    </row>
    <row r="90">
      <c r="A90" s="79"/>
      <c r="B90" s="79"/>
      <c r="C90" s="101" t="s">
        <v>180</v>
      </c>
      <c r="D90" s="102">
        <v>2000.0</v>
      </c>
      <c r="E90" s="93" t="s">
        <v>60</v>
      </c>
      <c r="F90" s="103">
        <v>11.71</v>
      </c>
      <c r="G90" s="84">
        <v>0.24</v>
      </c>
      <c r="H90" s="96">
        <f>IF(Settings!$D$7=true, 1-G90,1)</f>
        <v>0.76</v>
      </c>
      <c r="I90" s="98" t="s">
        <v>55</v>
      </c>
      <c r="J90" s="97" t="s">
        <v>56</v>
      </c>
      <c r="K90" s="98"/>
      <c r="L90" s="99">
        <f t="shared" si="1"/>
        <v>0.005855</v>
      </c>
      <c r="M90" s="100">
        <f t="shared" si="2"/>
        <v>0.0072602</v>
      </c>
      <c r="N90" s="90"/>
    </row>
    <row r="91">
      <c r="A91" s="79"/>
      <c r="B91" s="79"/>
      <c r="C91" s="101" t="s">
        <v>181</v>
      </c>
      <c r="D91" s="102">
        <v>5000.0</v>
      </c>
      <c r="E91" s="93" t="s">
        <v>60</v>
      </c>
      <c r="F91" s="103">
        <v>16.06</v>
      </c>
      <c r="G91" s="84">
        <v>0.18</v>
      </c>
      <c r="H91" s="96">
        <f>IF(Settings!$D$7=true, 1-G91,1)</f>
        <v>0.82</v>
      </c>
      <c r="I91" s="98" t="s">
        <v>55</v>
      </c>
      <c r="J91" s="97" t="s">
        <v>62</v>
      </c>
      <c r="K91" s="98"/>
      <c r="L91" s="99">
        <f t="shared" si="1"/>
        <v>0.003212</v>
      </c>
      <c r="M91" s="100">
        <f t="shared" si="2"/>
        <v>0.00379016</v>
      </c>
      <c r="N91" s="90"/>
    </row>
    <row r="92">
      <c r="A92" s="104"/>
      <c r="B92" s="104"/>
      <c r="C92" s="101" t="s">
        <v>182</v>
      </c>
      <c r="D92" s="102">
        <v>10000.0</v>
      </c>
      <c r="E92" s="93" t="s">
        <v>60</v>
      </c>
      <c r="F92" s="103">
        <v>44.0</v>
      </c>
      <c r="G92" s="84">
        <v>0.06</v>
      </c>
      <c r="H92" s="96">
        <f>IF(Settings!$D$7=true, 1-G92,1)</f>
        <v>0.94</v>
      </c>
      <c r="I92" s="97" t="s">
        <v>58</v>
      </c>
      <c r="J92" s="97" t="s">
        <v>65</v>
      </c>
      <c r="K92" s="98"/>
      <c r="L92" s="99">
        <f t="shared" si="1"/>
        <v>0.0044</v>
      </c>
      <c r="M92" s="100">
        <f t="shared" si="2"/>
        <v>0.004664</v>
      </c>
      <c r="N92" s="90"/>
    </row>
    <row r="93">
      <c r="A93" s="79"/>
      <c r="B93" s="79"/>
      <c r="C93" s="101" t="s">
        <v>183</v>
      </c>
      <c r="D93" s="102">
        <v>1000.0</v>
      </c>
      <c r="E93" s="93" t="s">
        <v>60</v>
      </c>
      <c r="F93" s="103">
        <v>4.95</v>
      </c>
      <c r="G93" s="84">
        <v>0.16</v>
      </c>
      <c r="H93" s="96">
        <f>IF(Settings!$D$7=true, 1-G93,1)</f>
        <v>0.84</v>
      </c>
      <c r="I93" s="98" t="s">
        <v>55</v>
      </c>
      <c r="J93" s="97" t="s">
        <v>62</v>
      </c>
      <c r="K93" s="98"/>
      <c r="L93" s="99">
        <f t="shared" si="1"/>
        <v>0.00495</v>
      </c>
      <c r="M93" s="100">
        <f t="shared" si="2"/>
        <v>0.005742</v>
      </c>
      <c r="N93" s="90"/>
    </row>
    <row r="94">
      <c r="A94" s="79"/>
      <c r="B94" s="79"/>
      <c r="C94" s="101" t="s">
        <v>184</v>
      </c>
      <c r="D94" s="102">
        <v>750.0</v>
      </c>
      <c r="E94" s="93" t="s">
        <v>60</v>
      </c>
      <c r="F94" s="103">
        <v>16.87</v>
      </c>
      <c r="G94" s="84">
        <v>0.33</v>
      </c>
      <c r="H94" s="96">
        <f>IF(Settings!$D$7=true, 1-G94,1)</f>
        <v>0.67</v>
      </c>
      <c r="I94" s="98" t="s">
        <v>55</v>
      </c>
      <c r="J94" s="97" t="s">
        <v>62</v>
      </c>
      <c r="K94" s="98"/>
      <c r="L94" s="99">
        <f t="shared" si="1"/>
        <v>0.02249333333</v>
      </c>
      <c r="M94" s="100">
        <f t="shared" si="2"/>
        <v>0.02991613333</v>
      </c>
      <c r="N94" s="90"/>
    </row>
    <row r="95">
      <c r="A95" s="79"/>
      <c r="B95" s="79"/>
      <c r="C95" s="101" t="s">
        <v>185</v>
      </c>
      <c r="D95" s="102">
        <v>1000.0</v>
      </c>
      <c r="E95" s="93" t="s">
        <v>60</v>
      </c>
      <c r="F95" s="103">
        <v>11.92</v>
      </c>
      <c r="G95" s="84">
        <v>0.34</v>
      </c>
      <c r="H95" s="96">
        <f>IF(Settings!$D$7=true, 1-G95,1)</f>
        <v>0.66</v>
      </c>
      <c r="I95" s="98" t="s">
        <v>55</v>
      </c>
      <c r="J95" s="97" t="s">
        <v>59</v>
      </c>
      <c r="K95" s="98"/>
      <c r="L95" s="99">
        <f t="shared" si="1"/>
        <v>0.01192</v>
      </c>
      <c r="M95" s="100">
        <f t="shared" si="2"/>
        <v>0.0159728</v>
      </c>
      <c r="N95" s="90"/>
    </row>
    <row r="96">
      <c r="A96" s="79"/>
      <c r="B96" s="79"/>
      <c r="C96" s="101" t="s">
        <v>186</v>
      </c>
      <c r="D96" s="102">
        <v>1000.0</v>
      </c>
      <c r="E96" s="93" t="s">
        <v>60</v>
      </c>
      <c r="F96" s="103">
        <v>5.29</v>
      </c>
      <c r="G96" s="84">
        <v>0.37</v>
      </c>
      <c r="H96" s="96">
        <f>IF(Settings!$D$7=true, 1-G96,1)</f>
        <v>0.63</v>
      </c>
      <c r="I96" s="98" t="s">
        <v>55</v>
      </c>
      <c r="J96" s="97" t="s">
        <v>59</v>
      </c>
      <c r="K96" s="98"/>
      <c r="L96" s="99">
        <f t="shared" si="1"/>
        <v>0.00529</v>
      </c>
      <c r="M96" s="100">
        <f t="shared" si="2"/>
        <v>0.0072473</v>
      </c>
      <c r="N96" s="90"/>
    </row>
    <row r="97">
      <c r="A97" s="79"/>
      <c r="B97" s="79"/>
      <c r="C97" s="101" t="s">
        <v>187</v>
      </c>
      <c r="D97" s="102">
        <v>1000.0</v>
      </c>
      <c r="E97" s="93" t="s">
        <v>60</v>
      </c>
      <c r="F97" s="103">
        <v>8.34</v>
      </c>
      <c r="G97" s="84">
        <v>0.06</v>
      </c>
      <c r="H97" s="96">
        <f>IF(Settings!$D$7=true, 1-G97,1)</f>
        <v>0.94</v>
      </c>
      <c r="I97" s="98" t="s">
        <v>55</v>
      </c>
      <c r="J97" s="97" t="s">
        <v>59</v>
      </c>
      <c r="K97" s="98"/>
      <c r="L97" s="99">
        <f t="shared" si="1"/>
        <v>0.00834</v>
      </c>
      <c r="M97" s="100">
        <f t="shared" si="2"/>
        <v>0.0088404</v>
      </c>
      <c r="N97" s="90"/>
    </row>
    <row r="98">
      <c r="A98" s="104"/>
      <c r="B98" s="104"/>
      <c r="C98" s="101" t="s">
        <v>188</v>
      </c>
      <c r="D98" s="102">
        <v>5000.0</v>
      </c>
      <c r="E98" s="93" t="s">
        <v>60</v>
      </c>
      <c r="F98" s="103">
        <v>40.0</v>
      </c>
      <c r="G98" s="84">
        <v>0.34</v>
      </c>
      <c r="H98" s="96">
        <f>IF(Settings!$D$7=true, 1-G98,1)</f>
        <v>0.66</v>
      </c>
      <c r="I98" s="97" t="s">
        <v>58</v>
      </c>
      <c r="J98" s="97" t="s">
        <v>65</v>
      </c>
      <c r="K98" s="98"/>
      <c r="L98" s="99">
        <f t="shared" si="1"/>
        <v>0.008</v>
      </c>
      <c r="M98" s="100">
        <f t="shared" si="2"/>
        <v>0.01072</v>
      </c>
      <c r="N98" s="90"/>
    </row>
    <row r="99">
      <c r="A99" s="79"/>
      <c r="B99" s="79"/>
      <c r="C99" s="101" t="s">
        <v>189</v>
      </c>
      <c r="D99" s="102">
        <v>1000.0</v>
      </c>
      <c r="E99" s="93" t="s">
        <v>60</v>
      </c>
      <c r="F99" s="103">
        <v>13.59</v>
      </c>
      <c r="G99" s="84">
        <v>0.1</v>
      </c>
      <c r="H99" s="96">
        <f>IF(Settings!$D$7=true, 1-G99,1)</f>
        <v>0.9</v>
      </c>
      <c r="I99" s="98" t="s">
        <v>55</v>
      </c>
      <c r="J99" s="97" t="s">
        <v>62</v>
      </c>
      <c r="K99" s="98"/>
      <c r="L99" s="99">
        <f t="shared" si="1"/>
        <v>0.01359</v>
      </c>
      <c r="M99" s="100">
        <f t="shared" si="2"/>
        <v>0.014949</v>
      </c>
      <c r="N99" s="90"/>
    </row>
    <row r="100">
      <c r="A100" s="79"/>
      <c r="B100" s="79"/>
      <c r="C100" s="101" t="s">
        <v>190</v>
      </c>
      <c r="D100" s="102">
        <v>3000.0</v>
      </c>
      <c r="E100" s="93" t="s">
        <v>60</v>
      </c>
      <c r="F100" s="103">
        <v>45.12</v>
      </c>
      <c r="G100" s="84">
        <v>0.01</v>
      </c>
      <c r="H100" s="96">
        <f>IF(Settings!$D$7=true, 1-G100,1)</f>
        <v>0.99</v>
      </c>
      <c r="I100" s="98" t="s">
        <v>55</v>
      </c>
      <c r="J100" s="97" t="s">
        <v>62</v>
      </c>
      <c r="K100" s="98"/>
      <c r="L100" s="99">
        <f t="shared" si="1"/>
        <v>0.01504</v>
      </c>
      <c r="M100" s="100">
        <f t="shared" si="2"/>
        <v>0.0151904</v>
      </c>
      <c r="N100" s="90"/>
    </row>
    <row r="101">
      <c r="A101" s="79"/>
      <c r="B101" s="79"/>
      <c r="C101" s="101" t="s">
        <v>191</v>
      </c>
      <c r="D101" s="102">
        <v>1000.0</v>
      </c>
      <c r="E101" s="93" t="s">
        <v>60</v>
      </c>
      <c r="F101" s="103">
        <v>10.93</v>
      </c>
      <c r="G101" s="84">
        <v>0.03</v>
      </c>
      <c r="H101" s="96">
        <f>IF(Settings!$D$7=true, 1-G101,1)</f>
        <v>0.97</v>
      </c>
      <c r="I101" s="98" t="s">
        <v>55</v>
      </c>
      <c r="J101" s="97" t="s">
        <v>62</v>
      </c>
      <c r="K101" s="98"/>
      <c r="L101" s="99">
        <f t="shared" si="1"/>
        <v>0.01093</v>
      </c>
      <c r="M101" s="100">
        <f t="shared" si="2"/>
        <v>0.0112579</v>
      </c>
      <c r="N101" s="90"/>
    </row>
    <row r="102">
      <c r="A102" s="79"/>
      <c r="B102" s="79"/>
      <c r="C102" s="101" t="s">
        <v>192</v>
      </c>
      <c r="D102" s="102">
        <v>8000.0</v>
      </c>
      <c r="E102" s="93" t="s">
        <v>60</v>
      </c>
      <c r="F102" s="103">
        <v>65.88</v>
      </c>
      <c r="G102" s="84">
        <v>0.17</v>
      </c>
      <c r="H102" s="96">
        <f>IF(Settings!$D$7=true, 1-G102,1)</f>
        <v>0.83</v>
      </c>
      <c r="I102" s="98" t="s">
        <v>55</v>
      </c>
      <c r="J102" s="97" t="s">
        <v>56</v>
      </c>
      <c r="K102" s="98"/>
      <c r="L102" s="99">
        <f t="shared" si="1"/>
        <v>0.008235</v>
      </c>
      <c r="M102" s="100">
        <f t="shared" si="2"/>
        <v>0.00963495</v>
      </c>
      <c r="N102" s="90"/>
    </row>
    <row r="103">
      <c r="A103" s="79"/>
      <c r="B103" s="79"/>
      <c r="C103" s="101" t="s">
        <v>193</v>
      </c>
      <c r="D103" s="102">
        <v>12000.0</v>
      </c>
      <c r="E103" s="93" t="s">
        <v>60</v>
      </c>
      <c r="F103" s="103">
        <v>81.38</v>
      </c>
      <c r="G103" s="84">
        <v>0.16</v>
      </c>
      <c r="H103" s="96">
        <f>IF(Settings!$D$7=true, 1-G103,1)</f>
        <v>0.84</v>
      </c>
      <c r="I103" s="98" t="s">
        <v>55</v>
      </c>
      <c r="J103" s="97" t="s">
        <v>56</v>
      </c>
      <c r="K103" s="98"/>
      <c r="L103" s="99">
        <f t="shared" si="1"/>
        <v>0.006781666667</v>
      </c>
      <c r="M103" s="100">
        <f t="shared" si="2"/>
        <v>0.007866733333</v>
      </c>
      <c r="N103" s="90"/>
    </row>
    <row r="104">
      <c r="A104" s="79"/>
      <c r="B104" s="79"/>
      <c r="C104" s="101" t="s">
        <v>194</v>
      </c>
      <c r="D104" s="102">
        <v>2000.0</v>
      </c>
      <c r="E104" s="93" t="s">
        <v>60</v>
      </c>
      <c r="F104" s="103">
        <v>11.03</v>
      </c>
      <c r="G104" s="84">
        <v>0.1</v>
      </c>
      <c r="H104" s="96">
        <f>IF(Settings!$D$7=true, 1-G104,1)</f>
        <v>0.9</v>
      </c>
      <c r="I104" s="98" t="s">
        <v>55</v>
      </c>
      <c r="J104" s="97" t="s">
        <v>56</v>
      </c>
      <c r="K104" s="98"/>
      <c r="L104" s="99">
        <f t="shared" si="1"/>
        <v>0.005515</v>
      </c>
      <c r="M104" s="100">
        <f t="shared" si="2"/>
        <v>0.0060665</v>
      </c>
      <c r="N104" s="90"/>
    </row>
    <row r="105">
      <c r="A105" s="104"/>
      <c r="B105" s="104"/>
      <c r="C105" s="101" t="s">
        <v>195</v>
      </c>
      <c r="D105" s="102">
        <v>1000.0</v>
      </c>
      <c r="E105" s="93" t="s">
        <v>60</v>
      </c>
      <c r="F105" s="103">
        <v>12.47</v>
      </c>
      <c r="G105" s="84">
        <v>0.19</v>
      </c>
      <c r="H105" s="96">
        <f>IF(Settings!$D$7=true, 1-G105,1)</f>
        <v>0.81</v>
      </c>
      <c r="I105" s="97" t="s">
        <v>61</v>
      </c>
      <c r="J105" s="97" t="s">
        <v>71</v>
      </c>
      <c r="K105" s="98"/>
      <c r="L105" s="99">
        <f t="shared" si="1"/>
        <v>0.01247</v>
      </c>
      <c r="M105" s="100">
        <f t="shared" si="2"/>
        <v>0.0148393</v>
      </c>
      <c r="N105" s="90"/>
    </row>
    <row r="106">
      <c r="A106" s="104"/>
      <c r="B106" s="104"/>
      <c r="C106" s="101" t="s">
        <v>196</v>
      </c>
      <c r="D106" s="102">
        <v>1000.0</v>
      </c>
      <c r="E106" s="93" t="s">
        <v>60</v>
      </c>
      <c r="F106" s="103">
        <v>20.73</v>
      </c>
      <c r="G106" s="84">
        <v>0.19</v>
      </c>
      <c r="H106" s="96">
        <f>IF(Settings!$D$7=true, 1-G106,1)</f>
        <v>0.81</v>
      </c>
      <c r="I106" s="97" t="s">
        <v>61</v>
      </c>
      <c r="J106" s="97" t="s">
        <v>71</v>
      </c>
      <c r="K106" s="98"/>
      <c r="L106" s="99">
        <f t="shared" si="1"/>
        <v>0.02073</v>
      </c>
      <c r="M106" s="100">
        <f t="shared" si="2"/>
        <v>0.0246687</v>
      </c>
      <c r="N106" s="90"/>
    </row>
    <row r="107">
      <c r="A107" s="104"/>
      <c r="B107" s="104"/>
      <c r="C107" s="101" t="s">
        <v>197</v>
      </c>
      <c r="D107" s="102">
        <v>1000.0</v>
      </c>
      <c r="E107" s="93" t="s">
        <v>60</v>
      </c>
      <c r="F107" s="103">
        <v>11.0</v>
      </c>
      <c r="G107" s="84">
        <v>0.29</v>
      </c>
      <c r="H107" s="96">
        <f>IF(Settings!$D$7=true, 1-G107,1)</f>
        <v>0.71</v>
      </c>
      <c r="I107" s="97" t="s">
        <v>61</v>
      </c>
      <c r="J107" s="97" t="s">
        <v>71</v>
      </c>
      <c r="K107" s="98"/>
      <c r="L107" s="99">
        <f t="shared" si="1"/>
        <v>0.011</v>
      </c>
      <c r="M107" s="100">
        <f t="shared" si="2"/>
        <v>0.01419</v>
      </c>
      <c r="N107" s="90"/>
    </row>
    <row r="108">
      <c r="A108" s="79"/>
      <c r="B108" s="79"/>
      <c r="C108" s="101" t="s">
        <v>198</v>
      </c>
      <c r="D108" s="102">
        <v>2500.0</v>
      </c>
      <c r="E108" s="93" t="s">
        <v>60</v>
      </c>
      <c r="F108" s="103">
        <v>16.28</v>
      </c>
      <c r="G108" s="84">
        <v>0.26</v>
      </c>
      <c r="H108" s="96">
        <f>IF(Settings!$D$7=true, 1-G108,1)</f>
        <v>0.74</v>
      </c>
      <c r="I108" s="98" t="s">
        <v>55</v>
      </c>
      <c r="J108" s="97" t="s">
        <v>59</v>
      </c>
      <c r="K108" s="98"/>
      <c r="L108" s="99">
        <f t="shared" si="1"/>
        <v>0.006512</v>
      </c>
      <c r="M108" s="100">
        <f t="shared" si="2"/>
        <v>0.00820512</v>
      </c>
      <c r="N108" s="90"/>
    </row>
    <row r="109">
      <c r="A109" s="79"/>
      <c r="B109" s="79"/>
      <c r="C109" s="101" t="s">
        <v>199</v>
      </c>
      <c r="D109" s="102">
        <v>1000.0</v>
      </c>
      <c r="E109" s="93" t="s">
        <v>60</v>
      </c>
      <c r="F109" s="103">
        <v>17.22</v>
      </c>
      <c r="G109" s="84">
        <v>0.33</v>
      </c>
      <c r="H109" s="96">
        <f>IF(Settings!$D$7=true, 1-G109,1)</f>
        <v>0.67</v>
      </c>
      <c r="I109" s="98" t="s">
        <v>55</v>
      </c>
      <c r="J109" s="97" t="s">
        <v>62</v>
      </c>
      <c r="K109" s="98"/>
      <c r="L109" s="99">
        <f t="shared" si="1"/>
        <v>0.01722</v>
      </c>
      <c r="M109" s="100">
        <f t="shared" si="2"/>
        <v>0.0229026</v>
      </c>
      <c r="N109" s="90"/>
    </row>
    <row r="110">
      <c r="A110" s="79"/>
      <c r="B110" s="79"/>
      <c r="C110" s="101" t="s">
        <v>200</v>
      </c>
      <c r="D110" s="102">
        <v>300.0</v>
      </c>
      <c r="E110" s="93" t="s">
        <v>60</v>
      </c>
      <c r="F110" s="103">
        <v>3.3</v>
      </c>
      <c r="G110" s="84">
        <v>0.2</v>
      </c>
      <c r="H110" s="96">
        <f>IF(Settings!$D$7=true, 1-G110,1)</f>
        <v>0.8</v>
      </c>
      <c r="I110" s="98" t="s">
        <v>55</v>
      </c>
      <c r="J110" s="97" t="s">
        <v>56</v>
      </c>
      <c r="K110" s="98"/>
      <c r="L110" s="99">
        <f t="shared" si="1"/>
        <v>0.011</v>
      </c>
      <c r="M110" s="100">
        <f t="shared" si="2"/>
        <v>0.0132</v>
      </c>
      <c r="N110" s="90"/>
    </row>
    <row r="111">
      <c r="A111" s="79"/>
      <c r="B111" s="79"/>
      <c r="C111" s="101" t="s">
        <v>201</v>
      </c>
      <c r="D111" s="102">
        <v>180.0</v>
      </c>
      <c r="E111" s="93" t="s">
        <v>57</v>
      </c>
      <c r="F111" s="103">
        <v>77.8</v>
      </c>
      <c r="G111" s="84">
        <v>0.26</v>
      </c>
      <c r="H111" s="96">
        <f>IF(Settings!$D$7=true, 1-G111,1)</f>
        <v>0.74</v>
      </c>
      <c r="I111" s="98" t="s">
        <v>55</v>
      </c>
      <c r="J111" s="97" t="s">
        <v>59</v>
      </c>
      <c r="K111" s="98"/>
      <c r="L111" s="99">
        <f t="shared" si="1"/>
        <v>0.4322222222</v>
      </c>
      <c r="M111" s="100">
        <f t="shared" si="2"/>
        <v>0.5446</v>
      </c>
      <c r="N111" s="90"/>
    </row>
    <row r="112">
      <c r="A112" s="104"/>
      <c r="B112" s="104"/>
      <c r="C112" s="101" t="s">
        <v>202</v>
      </c>
      <c r="D112" s="102">
        <v>4.0</v>
      </c>
      <c r="E112" s="93" t="s">
        <v>57</v>
      </c>
      <c r="F112" s="103">
        <v>39.28</v>
      </c>
      <c r="G112" s="84">
        <v>0.38</v>
      </c>
      <c r="H112" s="96">
        <f>IF(Settings!$D$7=true, 1-G112,1)</f>
        <v>0.62</v>
      </c>
      <c r="I112" s="97" t="s">
        <v>61</v>
      </c>
      <c r="J112" s="97" t="s">
        <v>71</v>
      </c>
      <c r="K112" s="98"/>
      <c r="L112" s="99">
        <f t="shared" si="1"/>
        <v>9.82</v>
      </c>
      <c r="M112" s="100">
        <f t="shared" si="2"/>
        <v>13.5516</v>
      </c>
      <c r="N112" s="90"/>
    </row>
    <row r="113">
      <c r="A113" s="79"/>
      <c r="B113" s="79"/>
      <c r="C113" s="101" t="s">
        <v>203</v>
      </c>
      <c r="D113" s="102">
        <v>1000.0</v>
      </c>
      <c r="E113" s="93" t="s">
        <v>60</v>
      </c>
      <c r="F113" s="103">
        <v>15.64</v>
      </c>
      <c r="G113" s="84">
        <v>0.28</v>
      </c>
      <c r="H113" s="96">
        <f>IF(Settings!$D$7=true, 1-G113,1)</f>
        <v>0.72</v>
      </c>
      <c r="I113" s="98" t="s">
        <v>55</v>
      </c>
      <c r="J113" s="97" t="s">
        <v>56</v>
      </c>
      <c r="K113" s="98"/>
      <c r="L113" s="99">
        <f t="shared" si="1"/>
        <v>0.01564</v>
      </c>
      <c r="M113" s="100">
        <f t="shared" si="2"/>
        <v>0.0200192</v>
      </c>
      <c r="N113" s="90"/>
    </row>
    <row r="114">
      <c r="A114" s="79"/>
      <c r="B114" s="79"/>
      <c r="C114" s="101" t="s">
        <v>204</v>
      </c>
      <c r="D114" s="102">
        <v>2000.0</v>
      </c>
      <c r="E114" s="93" t="s">
        <v>60</v>
      </c>
      <c r="F114" s="103">
        <v>27.38</v>
      </c>
      <c r="G114" s="84">
        <v>0.31</v>
      </c>
      <c r="H114" s="96">
        <f>IF(Settings!$D$7=true, 1-G114,1)</f>
        <v>0.69</v>
      </c>
      <c r="I114" s="98" t="s">
        <v>55</v>
      </c>
      <c r="J114" s="97" t="s">
        <v>59</v>
      </c>
      <c r="K114" s="98"/>
      <c r="L114" s="99">
        <f t="shared" si="1"/>
        <v>0.01369</v>
      </c>
      <c r="M114" s="100">
        <f t="shared" si="2"/>
        <v>0.0179339</v>
      </c>
      <c r="N114" s="90"/>
    </row>
    <row r="115">
      <c r="A115" s="79"/>
      <c r="B115" s="79"/>
      <c r="C115" s="101" t="s">
        <v>205</v>
      </c>
      <c r="D115" s="102">
        <v>3000.0</v>
      </c>
      <c r="E115" s="93" t="s">
        <v>60</v>
      </c>
      <c r="F115" s="103">
        <v>51.16</v>
      </c>
      <c r="G115" s="84">
        <v>0.26</v>
      </c>
      <c r="H115" s="96">
        <f>IF(Settings!$D$7=true, 1-G115,1)</f>
        <v>0.74</v>
      </c>
      <c r="I115" s="98" t="s">
        <v>55</v>
      </c>
      <c r="J115" s="97" t="s">
        <v>56</v>
      </c>
      <c r="K115" s="98"/>
      <c r="L115" s="99">
        <f t="shared" si="1"/>
        <v>0.01705333333</v>
      </c>
      <c r="M115" s="100">
        <f t="shared" si="2"/>
        <v>0.0214872</v>
      </c>
      <c r="N115" s="90"/>
    </row>
    <row r="116">
      <c r="A116" s="79"/>
      <c r="B116" s="79"/>
      <c r="C116" s="101" t="s">
        <v>206</v>
      </c>
      <c r="D116" s="102">
        <v>2000.0</v>
      </c>
      <c r="E116" s="93" t="s">
        <v>60</v>
      </c>
      <c r="F116" s="103">
        <v>8.18</v>
      </c>
      <c r="G116" s="84">
        <v>0.02</v>
      </c>
      <c r="H116" s="96">
        <f>IF(Settings!$D$7=true, 1-G116,1)</f>
        <v>0.98</v>
      </c>
      <c r="I116" s="98" t="s">
        <v>55</v>
      </c>
      <c r="J116" s="97" t="s">
        <v>56</v>
      </c>
      <c r="K116" s="98"/>
      <c r="L116" s="99">
        <f t="shared" si="1"/>
        <v>0.00409</v>
      </c>
      <c r="M116" s="100">
        <f t="shared" si="2"/>
        <v>0.0041718</v>
      </c>
      <c r="N116" s="90"/>
    </row>
    <row r="117">
      <c r="A117" s="104"/>
      <c r="B117" s="104"/>
      <c r="C117" s="101" t="s">
        <v>207</v>
      </c>
      <c r="D117" s="102">
        <v>100.0</v>
      </c>
      <c r="E117" s="93" t="s">
        <v>60</v>
      </c>
      <c r="F117" s="103">
        <v>3.7</v>
      </c>
      <c r="G117" s="84">
        <v>0.37</v>
      </c>
      <c r="H117" s="96">
        <f>IF(Settings!$D$7=true, 1-G117,1)</f>
        <v>0.63</v>
      </c>
      <c r="I117" s="97" t="s">
        <v>70</v>
      </c>
      <c r="J117" s="97" t="s">
        <v>59</v>
      </c>
      <c r="K117" s="98"/>
      <c r="L117" s="99">
        <f t="shared" si="1"/>
        <v>0.037</v>
      </c>
      <c r="M117" s="100">
        <f t="shared" si="2"/>
        <v>0.05069</v>
      </c>
      <c r="N117" s="90"/>
    </row>
    <row r="118">
      <c r="A118" s="104"/>
      <c r="B118" s="104"/>
      <c r="C118" s="101" t="s">
        <v>208</v>
      </c>
      <c r="D118" s="102">
        <v>1000.0</v>
      </c>
      <c r="E118" s="93" t="s">
        <v>60</v>
      </c>
      <c r="F118" s="103">
        <v>4.99</v>
      </c>
      <c r="G118" s="84">
        <v>0.1</v>
      </c>
      <c r="H118" s="96">
        <f>IF(Settings!$D$7=true, 1-G118,1)</f>
        <v>0.9</v>
      </c>
      <c r="I118" s="97" t="s">
        <v>58</v>
      </c>
      <c r="J118" s="97" t="s">
        <v>65</v>
      </c>
      <c r="K118" s="98"/>
      <c r="L118" s="99">
        <f t="shared" si="1"/>
        <v>0.00499</v>
      </c>
      <c r="M118" s="100">
        <f t="shared" si="2"/>
        <v>0.005489</v>
      </c>
      <c r="N118" s="90"/>
    </row>
    <row r="119">
      <c r="A119" s="79"/>
      <c r="B119" s="79"/>
      <c r="C119" s="101" t="s">
        <v>209</v>
      </c>
      <c r="D119" s="102">
        <v>20.0</v>
      </c>
      <c r="E119" s="93" t="s">
        <v>57</v>
      </c>
      <c r="F119" s="103">
        <v>31.45</v>
      </c>
      <c r="G119" s="84">
        <v>0.06</v>
      </c>
      <c r="H119" s="96">
        <f>IF(Settings!$D$7=true, 1-G119,1)</f>
        <v>0.94</v>
      </c>
      <c r="I119" s="98" t="s">
        <v>55</v>
      </c>
      <c r="J119" s="97" t="s">
        <v>56</v>
      </c>
      <c r="K119" s="98"/>
      <c r="L119" s="99">
        <f t="shared" si="1"/>
        <v>1.5725</v>
      </c>
      <c r="M119" s="100">
        <f t="shared" si="2"/>
        <v>1.66685</v>
      </c>
      <c r="N119" s="90"/>
    </row>
    <row r="120">
      <c r="A120" s="79"/>
      <c r="B120" s="79"/>
      <c r="C120" s="101" t="s">
        <v>210</v>
      </c>
      <c r="D120" s="102">
        <v>30.0</v>
      </c>
      <c r="E120" s="93" t="s">
        <v>57</v>
      </c>
      <c r="F120" s="103">
        <v>57.11</v>
      </c>
      <c r="G120" s="84">
        <v>0.38</v>
      </c>
      <c r="H120" s="96">
        <f>IF(Settings!$D$7=true, 1-G120,1)</f>
        <v>0.62</v>
      </c>
      <c r="I120" s="98" t="s">
        <v>55</v>
      </c>
      <c r="J120" s="97" t="s">
        <v>56</v>
      </c>
      <c r="K120" s="98"/>
      <c r="L120" s="99">
        <f t="shared" si="1"/>
        <v>1.903666667</v>
      </c>
      <c r="M120" s="100">
        <f t="shared" si="2"/>
        <v>2.62706</v>
      </c>
      <c r="N120" s="90"/>
    </row>
    <row r="121">
      <c r="A121" s="79"/>
      <c r="B121" s="79"/>
      <c r="C121" s="101" t="s">
        <v>211</v>
      </c>
      <c r="D121" s="102">
        <v>36.0</v>
      </c>
      <c r="E121" s="93" t="s">
        <v>57</v>
      </c>
      <c r="F121" s="103">
        <v>66.79</v>
      </c>
      <c r="G121" s="84">
        <v>0.13</v>
      </c>
      <c r="H121" s="96">
        <f>IF(Settings!$D$7=true, 1-G121,1)</f>
        <v>0.87</v>
      </c>
      <c r="I121" s="98" t="s">
        <v>55</v>
      </c>
      <c r="J121" s="97" t="s">
        <v>56</v>
      </c>
      <c r="K121" s="98"/>
      <c r="L121" s="99">
        <f t="shared" si="1"/>
        <v>1.855277778</v>
      </c>
      <c r="M121" s="100">
        <f t="shared" si="2"/>
        <v>2.096463889</v>
      </c>
      <c r="N121" s="90"/>
    </row>
    <row r="122">
      <c r="A122" s="79"/>
      <c r="B122" s="79"/>
      <c r="C122" s="101" t="s">
        <v>212</v>
      </c>
      <c r="D122" s="102">
        <v>1000.0</v>
      </c>
      <c r="E122" s="93" t="s">
        <v>60</v>
      </c>
      <c r="F122" s="103">
        <v>14.88</v>
      </c>
      <c r="G122" s="84">
        <v>0.19</v>
      </c>
      <c r="H122" s="96">
        <f>IF(Settings!$D$7=true, 1-G122,1)</f>
        <v>0.81</v>
      </c>
      <c r="I122" s="98" t="s">
        <v>55</v>
      </c>
      <c r="J122" s="97" t="s">
        <v>62</v>
      </c>
      <c r="K122" s="98"/>
      <c r="L122" s="99">
        <f t="shared" si="1"/>
        <v>0.01488</v>
      </c>
      <c r="M122" s="100">
        <f t="shared" si="2"/>
        <v>0.0177072</v>
      </c>
      <c r="N122" s="90"/>
    </row>
    <row r="123">
      <c r="A123" s="104"/>
      <c r="B123" s="104"/>
      <c r="C123" s="101" t="s">
        <v>213</v>
      </c>
      <c r="D123" s="102">
        <v>1.0</v>
      </c>
      <c r="E123" s="93" t="s">
        <v>57</v>
      </c>
      <c r="F123" s="103">
        <v>0.5</v>
      </c>
      <c r="G123" s="84">
        <v>0.07</v>
      </c>
      <c r="H123" s="96">
        <f>IF(Settings!$D$7=true, 1-G123,1)</f>
        <v>0.93</v>
      </c>
      <c r="I123" s="97" t="s">
        <v>67</v>
      </c>
      <c r="J123" s="97" t="s">
        <v>59</v>
      </c>
      <c r="K123" s="98"/>
      <c r="L123" s="99">
        <f t="shared" si="1"/>
        <v>0.5</v>
      </c>
      <c r="M123" s="100">
        <f t="shared" si="2"/>
        <v>0.535</v>
      </c>
      <c r="N123" s="90"/>
    </row>
    <row r="124">
      <c r="A124" s="79"/>
      <c r="B124" s="79"/>
      <c r="C124" s="101" t="s">
        <v>214</v>
      </c>
      <c r="D124" s="102">
        <v>1000.0</v>
      </c>
      <c r="E124" s="93" t="s">
        <v>60</v>
      </c>
      <c r="F124" s="103">
        <v>43.3</v>
      </c>
      <c r="G124" s="84">
        <v>0.13</v>
      </c>
      <c r="H124" s="96">
        <f>IF(Settings!$D$7=true, 1-G124,1)</f>
        <v>0.87</v>
      </c>
      <c r="I124" s="98" t="s">
        <v>55</v>
      </c>
      <c r="J124" s="97" t="s">
        <v>62</v>
      </c>
      <c r="K124" s="98"/>
      <c r="L124" s="99">
        <f t="shared" si="1"/>
        <v>0.0433</v>
      </c>
      <c r="M124" s="100">
        <f t="shared" si="2"/>
        <v>0.048929</v>
      </c>
      <c r="N124" s="90"/>
    </row>
    <row r="125">
      <c r="A125" s="104"/>
      <c r="B125" s="104"/>
      <c r="C125" s="101" t="s">
        <v>215</v>
      </c>
      <c r="D125" s="102">
        <v>1000.0</v>
      </c>
      <c r="E125" s="93" t="s">
        <v>60</v>
      </c>
      <c r="F125" s="103">
        <v>9.2</v>
      </c>
      <c r="G125" s="84">
        <v>0.11</v>
      </c>
      <c r="H125" s="96">
        <f>IF(Settings!$D$7=true, 1-G125,1)</f>
        <v>0.89</v>
      </c>
      <c r="I125" s="97" t="s">
        <v>58</v>
      </c>
      <c r="J125" s="97" t="s">
        <v>65</v>
      </c>
      <c r="K125" s="98"/>
      <c r="L125" s="99">
        <f t="shared" si="1"/>
        <v>0.0092</v>
      </c>
      <c r="M125" s="100">
        <f t="shared" si="2"/>
        <v>0.010212</v>
      </c>
      <c r="N125" s="90"/>
    </row>
    <row r="126">
      <c r="A126" s="79"/>
      <c r="B126" s="79"/>
      <c r="C126" s="101" t="s">
        <v>216</v>
      </c>
      <c r="D126" s="102">
        <v>3000.0</v>
      </c>
      <c r="E126" s="93" t="s">
        <v>60</v>
      </c>
      <c r="F126" s="103">
        <v>46.88</v>
      </c>
      <c r="G126" s="84">
        <v>0.31</v>
      </c>
      <c r="H126" s="96">
        <f>IF(Settings!$D$7=true, 1-G126,1)</f>
        <v>0.69</v>
      </c>
      <c r="I126" s="98" t="s">
        <v>55</v>
      </c>
      <c r="J126" s="97" t="s">
        <v>56</v>
      </c>
      <c r="K126" s="98"/>
      <c r="L126" s="99">
        <f t="shared" si="1"/>
        <v>0.01562666667</v>
      </c>
      <c r="M126" s="100">
        <f t="shared" si="2"/>
        <v>0.02047093333</v>
      </c>
      <c r="N126" s="90"/>
    </row>
    <row r="127">
      <c r="A127" s="79"/>
      <c r="B127" s="79"/>
      <c r="C127" s="101" t="s">
        <v>217</v>
      </c>
      <c r="D127" s="102">
        <v>7000.0</v>
      </c>
      <c r="E127" s="93" t="s">
        <v>60</v>
      </c>
      <c r="F127" s="103">
        <v>81.4</v>
      </c>
      <c r="G127" s="84">
        <v>0.26</v>
      </c>
      <c r="H127" s="96">
        <f>IF(Settings!$D$7=true, 1-G127,1)</f>
        <v>0.74</v>
      </c>
      <c r="I127" s="98" t="s">
        <v>55</v>
      </c>
      <c r="J127" s="97" t="s">
        <v>62</v>
      </c>
      <c r="K127" s="98"/>
      <c r="L127" s="99">
        <f t="shared" si="1"/>
        <v>0.01162857143</v>
      </c>
      <c r="M127" s="100">
        <f t="shared" si="2"/>
        <v>0.014652</v>
      </c>
      <c r="N127" s="90"/>
    </row>
    <row r="128">
      <c r="A128" s="104"/>
      <c r="B128" s="104"/>
      <c r="C128" s="101" t="s">
        <v>218</v>
      </c>
      <c r="D128" s="102">
        <v>1.0</v>
      </c>
      <c r="E128" s="105" t="s">
        <v>63</v>
      </c>
      <c r="F128" s="103">
        <v>7.0</v>
      </c>
      <c r="G128" s="84">
        <v>0.18</v>
      </c>
      <c r="H128" s="96">
        <f>IF(Settings!$D$7=true, 1-G128,1)</f>
        <v>0.82</v>
      </c>
      <c r="I128" s="97" t="s">
        <v>72</v>
      </c>
      <c r="J128" s="97" t="s">
        <v>59</v>
      </c>
      <c r="K128" s="98"/>
      <c r="L128" s="99">
        <f t="shared" si="1"/>
        <v>7</v>
      </c>
      <c r="M128" s="100">
        <f t="shared" si="2"/>
        <v>8.26</v>
      </c>
      <c r="N128" s="90"/>
    </row>
    <row r="129">
      <c r="A129" s="79"/>
      <c r="B129" s="79"/>
      <c r="C129" s="106" t="s">
        <v>219</v>
      </c>
      <c r="D129" s="102">
        <v>1000.0</v>
      </c>
      <c r="E129" s="93" t="s">
        <v>60</v>
      </c>
      <c r="F129" s="103">
        <v>26.99</v>
      </c>
      <c r="G129" s="84">
        <v>0.35</v>
      </c>
      <c r="H129" s="96">
        <f>IF(Settings!$D$7=true, 1-G129,1)</f>
        <v>0.65</v>
      </c>
      <c r="I129" s="98" t="s">
        <v>55</v>
      </c>
      <c r="J129" s="97" t="s">
        <v>59</v>
      </c>
      <c r="K129" s="107"/>
      <c r="L129" s="99">
        <f t="shared" si="1"/>
        <v>0.02699</v>
      </c>
      <c r="M129" s="100">
        <f t="shared" si="2"/>
        <v>0.0364365</v>
      </c>
      <c r="N129" s="90"/>
    </row>
    <row r="130">
      <c r="A130" s="104"/>
      <c r="B130" s="104"/>
      <c r="C130" s="101" t="s">
        <v>220</v>
      </c>
      <c r="D130" s="102">
        <v>1000.0</v>
      </c>
      <c r="E130" s="93" t="s">
        <v>60</v>
      </c>
      <c r="F130" s="103">
        <v>13.25</v>
      </c>
      <c r="G130" s="84">
        <v>0.11</v>
      </c>
      <c r="H130" s="96">
        <f>IF(Settings!$D$7=true, 1-G130,1)</f>
        <v>0.89</v>
      </c>
      <c r="I130" s="97" t="s">
        <v>58</v>
      </c>
      <c r="J130" s="97" t="s">
        <v>65</v>
      </c>
      <c r="K130" s="98"/>
      <c r="L130" s="99">
        <f t="shared" si="1"/>
        <v>0.01325</v>
      </c>
      <c r="M130" s="100">
        <f t="shared" si="2"/>
        <v>0.0147075</v>
      </c>
      <c r="N130" s="90"/>
    </row>
    <row r="131">
      <c r="A131" s="79"/>
      <c r="B131" s="79"/>
      <c r="C131" s="101" t="s">
        <v>221</v>
      </c>
      <c r="D131" s="102">
        <v>3000.0</v>
      </c>
      <c r="E131" s="93" t="s">
        <v>69</v>
      </c>
      <c r="F131" s="103">
        <v>20.16</v>
      </c>
      <c r="G131" s="84">
        <v>0.01</v>
      </c>
      <c r="H131" s="96">
        <f>IF(Settings!$D$7=true, 1-G131,1)</f>
        <v>0.99</v>
      </c>
      <c r="I131" s="98" t="s">
        <v>55</v>
      </c>
      <c r="J131" s="97" t="s">
        <v>62</v>
      </c>
      <c r="K131" s="98"/>
      <c r="L131" s="99">
        <f t="shared" si="1"/>
        <v>0.00672</v>
      </c>
      <c r="M131" s="100">
        <f t="shared" si="2"/>
        <v>0.0067872</v>
      </c>
      <c r="N131" s="90"/>
    </row>
    <row r="132">
      <c r="A132" s="79"/>
      <c r="B132" s="79"/>
      <c r="C132" s="101" t="s">
        <v>222</v>
      </c>
      <c r="D132" s="102">
        <v>1000.0</v>
      </c>
      <c r="E132" s="93" t="s">
        <v>60</v>
      </c>
      <c r="F132" s="103">
        <v>5.74</v>
      </c>
      <c r="G132" s="84">
        <v>0.38</v>
      </c>
      <c r="H132" s="96">
        <f>IF(Settings!$D$7=true, 1-G132,1)</f>
        <v>0.62</v>
      </c>
      <c r="I132" s="98" t="s">
        <v>55</v>
      </c>
      <c r="J132" s="97" t="s">
        <v>59</v>
      </c>
      <c r="K132" s="98"/>
      <c r="L132" s="99">
        <f t="shared" si="1"/>
        <v>0.00574</v>
      </c>
      <c r="M132" s="100">
        <f t="shared" si="2"/>
        <v>0.0079212</v>
      </c>
      <c r="N132" s="90"/>
    </row>
    <row r="133">
      <c r="A133" s="79"/>
      <c r="B133" s="79"/>
      <c r="C133" s="101" t="s">
        <v>223</v>
      </c>
      <c r="D133" s="102">
        <v>1750.0</v>
      </c>
      <c r="E133" s="93" t="s">
        <v>69</v>
      </c>
      <c r="F133" s="103">
        <v>10.92</v>
      </c>
      <c r="G133" s="84">
        <v>0.3</v>
      </c>
      <c r="H133" s="96">
        <f>IF(Settings!$D$7=true, 1-G133,1)</f>
        <v>0.7</v>
      </c>
      <c r="I133" s="98" t="s">
        <v>55</v>
      </c>
      <c r="J133" s="97" t="s">
        <v>62</v>
      </c>
      <c r="K133" s="98"/>
      <c r="L133" s="99">
        <f t="shared" si="1"/>
        <v>0.00624</v>
      </c>
      <c r="M133" s="100">
        <f t="shared" si="2"/>
        <v>0.008112</v>
      </c>
      <c r="N133" s="90"/>
    </row>
    <row r="134">
      <c r="A134" s="79"/>
      <c r="B134" s="79"/>
      <c r="C134" s="101" t="s">
        <v>224</v>
      </c>
      <c r="D134" s="102">
        <v>6800.0</v>
      </c>
      <c r="E134" s="93" t="s">
        <v>60</v>
      </c>
      <c r="F134" s="103">
        <v>87.27</v>
      </c>
      <c r="G134" s="84">
        <v>0.05</v>
      </c>
      <c r="H134" s="96">
        <f>IF(Settings!$D$7=true, 1-G134,1)</f>
        <v>0.95</v>
      </c>
      <c r="I134" s="98" t="s">
        <v>55</v>
      </c>
      <c r="J134" s="97" t="s">
        <v>56</v>
      </c>
      <c r="K134" s="98"/>
      <c r="L134" s="99">
        <f t="shared" si="1"/>
        <v>0.01283382353</v>
      </c>
      <c r="M134" s="100">
        <f t="shared" si="2"/>
        <v>0.01347551471</v>
      </c>
      <c r="N134" s="90"/>
    </row>
    <row r="135">
      <c r="A135" s="79"/>
      <c r="B135" s="79"/>
      <c r="C135" s="101" t="s">
        <v>225</v>
      </c>
      <c r="D135" s="102">
        <v>3000.0</v>
      </c>
      <c r="E135" s="93" t="s">
        <v>60</v>
      </c>
      <c r="F135" s="103">
        <v>21.49</v>
      </c>
      <c r="G135" s="84">
        <v>0.33</v>
      </c>
      <c r="H135" s="96">
        <f>IF(Settings!$D$7=true, 1-G135,1)</f>
        <v>0.67</v>
      </c>
      <c r="I135" s="98" t="s">
        <v>55</v>
      </c>
      <c r="J135" s="97" t="s">
        <v>62</v>
      </c>
      <c r="K135" s="98"/>
      <c r="L135" s="99">
        <f t="shared" si="1"/>
        <v>0.007163333333</v>
      </c>
      <c r="M135" s="100">
        <f t="shared" si="2"/>
        <v>0.009527233333</v>
      </c>
      <c r="N135" s="90"/>
    </row>
    <row r="136">
      <c r="A136" s="79"/>
      <c r="B136" s="79"/>
      <c r="C136" s="101" t="s">
        <v>226</v>
      </c>
      <c r="D136" s="102">
        <v>2500.0</v>
      </c>
      <c r="E136" s="93" t="s">
        <v>60</v>
      </c>
      <c r="F136" s="103">
        <v>19.27</v>
      </c>
      <c r="G136" s="84">
        <v>0.12</v>
      </c>
      <c r="H136" s="96">
        <f>IF(Settings!$D$7=true, 1-G136,1)</f>
        <v>0.88</v>
      </c>
      <c r="I136" s="98" t="s">
        <v>55</v>
      </c>
      <c r="J136" s="97" t="s">
        <v>62</v>
      </c>
      <c r="K136" s="98"/>
      <c r="L136" s="99">
        <f t="shared" si="1"/>
        <v>0.007708</v>
      </c>
      <c r="M136" s="100">
        <f t="shared" si="2"/>
        <v>0.00863296</v>
      </c>
      <c r="N136" s="90"/>
    </row>
    <row r="137">
      <c r="A137" s="79"/>
      <c r="B137" s="79"/>
      <c r="C137" s="101" t="s">
        <v>227</v>
      </c>
      <c r="D137" s="102">
        <v>3000.0</v>
      </c>
      <c r="E137" s="93" t="s">
        <v>60</v>
      </c>
      <c r="F137" s="103">
        <v>11.66</v>
      </c>
      <c r="G137" s="84">
        <v>0.04</v>
      </c>
      <c r="H137" s="96">
        <f>IF(Settings!$D$7=true, 1-G137,1)</f>
        <v>0.96</v>
      </c>
      <c r="I137" s="98" t="s">
        <v>55</v>
      </c>
      <c r="J137" s="97" t="s">
        <v>62</v>
      </c>
      <c r="K137" s="98"/>
      <c r="L137" s="99">
        <f t="shared" si="1"/>
        <v>0.003886666667</v>
      </c>
      <c r="M137" s="100">
        <f t="shared" si="2"/>
        <v>0.004042133333</v>
      </c>
      <c r="N137" s="90"/>
    </row>
    <row r="138">
      <c r="A138" s="79"/>
      <c r="B138" s="79"/>
      <c r="C138" s="101" t="s">
        <v>228</v>
      </c>
      <c r="D138" s="102">
        <v>1800.0</v>
      </c>
      <c r="E138" s="93" t="s">
        <v>60</v>
      </c>
      <c r="F138" s="103">
        <v>61.47</v>
      </c>
      <c r="G138" s="84">
        <v>0.07</v>
      </c>
      <c r="H138" s="96">
        <f>IF(Settings!$D$7=true, 1-G138,1)</f>
        <v>0.93</v>
      </c>
      <c r="I138" s="98" t="s">
        <v>55</v>
      </c>
      <c r="J138" s="97" t="s">
        <v>62</v>
      </c>
      <c r="K138" s="98"/>
      <c r="L138" s="99">
        <f t="shared" si="1"/>
        <v>0.03415</v>
      </c>
      <c r="M138" s="100">
        <f t="shared" si="2"/>
        <v>0.0365405</v>
      </c>
      <c r="N138" s="90"/>
    </row>
    <row r="139">
      <c r="A139" s="79"/>
      <c r="B139" s="79"/>
      <c r="C139" s="101" t="s">
        <v>229</v>
      </c>
      <c r="D139" s="102">
        <v>2000.0</v>
      </c>
      <c r="E139" s="93" t="s">
        <v>60</v>
      </c>
      <c r="F139" s="103">
        <v>15.27</v>
      </c>
      <c r="G139" s="84">
        <v>0.23</v>
      </c>
      <c r="H139" s="96">
        <f>IF(Settings!$D$7=true, 1-G139,1)</f>
        <v>0.77</v>
      </c>
      <c r="I139" s="98" t="s">
        <v>55</v>
      </c>
      <c r="J139" s="97" t="s">
        <v>62</v>
      </c>
      <c r="K139" s="98"/>
      <c r="L139" s="99">
        <f t="shared" si="1"/>
        <v>0.007635</v>
      </c>
      <c r="M139" s="100">
        <f t="shared" si="2"/>
        <v>0.00939105</v>
      </c>
      <c r="N139" s="90"/>
    </row>
    <row r="140">
      <c r="A140" s="79"/>
      <c r="B140" s="79"/>
      <c r="C140" s="101" t="s">
        <v>230</v>
      </c>
      <c r="D140" s="102">
        <v>1000.0</v>
      </c>
      <c r="E140" s="93" t="s">
        <v>60</v>
      </c>
      <c r="F140" s="103">
        <v>12.07</v>
      </c>
      <c r="G140" s="84">
        <v>0.4</v>
      </c>
      <c r="H140" s="96">
        <f>IF(Settings!$D$7=true, 1-G140,1)</f>
        <v>0.6</v>
      </c>
      <c r="I140" s="98" t="s">
        <v>55</v>
      </c>
      <c r="J140" s="97" t="s">
        <v>59</v>
      </c>
      <c r="K140" s="98"/>
      <c r="L140" s="99">
        <f t="shared" si="1"/>
        <v>0.01207</v>
      </c>
      <c r="M140" s="100">
        <f t="shared" si="2"/>
        <v>0.016898</v>
      </c>
      <c r="N140" s="90"/>
    </row>
    <row r="141">
      <c r="A141" s="79"/>
      <c r="B141" s="79"/>
      <c r="C141" s="101" t="s">
        <v>231</v>
      </c>
      <c r="D141" s="102">
        <v>60.0</v>
      </c>
      <c r="E141" s="93" t="s">
        <v>57</v>
      </c>
      <c r="F141" s="103">
        <v>52.58</v>
      </c>
      <c r="G141" s="84">
        <v>0.1</v>
      </c>
      <c r="H141" s="96">
        <f>IF(Settings!$D$7=true, 1-G141,1)</f>
        <v>0.9</v>
      </c>
      <c r="I141" s="98" t="s">
        <v>55</v>
      </c>
      <c r="J141" s="97" t="s">
        <v>56</v>
      </c>
      <c r="K141" s="98"/>
      <c r="L141" s="99">
        <f t="shared" si="1"/>
        <v>0.8763333333</v>
      </c>
      <c r="M141" s="100">
        <f t="shared" si="2"/>
        <v>0.9639666667</v>
      </c>
      <c r="N141" s="90"/>
    </row>
    <row r="142">
      <c r="A142" s="79"/>
      <c r="B142" s="79"/>
      <c r="C142" s="101" t="s">
        <v>232</v>
      </c>
      <c r="D142" s="102">
        <v>48.0</v>
      </c>
      <c r="E142" s="93" t="s">
        <v>57</v>
      </c>
      <c r="F142" s="103">
        <v>50.75</v>
      </c>
      <c r="G142" s="84">
        <v>0.27</v>
      </c>
      <c r="H142" s="96">
        <f>IF(Settings!$D$7=true, 1-G142,1)</f>
        <v>0.73</v>
      </c>
      <c r="I142" s="98" t="s">
        <v>55</v>
      </c>
      <c r="J142" s="97" t="s">
        <v>56</v>
      </c>
      <c r="K142" s="98"/>
      <c r="L142" s="99">
        <f t="shared" si="1"/>
        <v>1.057291667</v>
      </c>
      <c r="M142" s="100">
        <f t="shared" si="2"/>
        <v>1.342760417</v>
      </c>
      <c r="N142" s="90"/>
    </row>
    <row r="143">
      <c r="A143" s="79"/>
      <c r="B143" s="79"/>
      <c r="C143" s="101" t="s">
        <v>233</v>
      </c>
      <c r="D143" s="102">
        <v>36.0</v>
      </c>
      <c r="E143" s="93" t="s">
        <v>57</v>
      </c>
      <c r="F143" s="103">
        <v>26.83</v>
      </c>
      <c r="G143" s="84">
        <v>0.03</v>
      </c>
      <c r="H143" s="96">
        <f>IF(Settings!$D$7=true, 1-G143,1)</f>
        <v>0.97</v>
      </c>
      <c r="I143" s="98" t="s">
        <v>55</v>
      </c>
      <c r="J143" s="97" t="s">
        <v>56</v>
      </c>
      <c r="K143" s="98"/>
      <c r="L143" s="99">
        <f t="shared" si="1"/>
        <v>0.7452777778</v>
      </c>
      <c r="M143" s="100">
        <f t="shared" si="2"/>
        <v>0.7676361111</v>
      </c>
      <c r="N143" s="90"/>
    </row>
    <row r="144">
      <c r="A144" s="104"/>
      <c r="B144" s="104"/>
      <c r="C144" s="101" t="s">
        <v>234</v>
      </c>
      <c r="D144" s="102">
        <v>1000.0</v>
      </c>
      <c r="E144" s="93" t="s">
        <v>60</v>
      </c>
      <c r="F144" s="103">
        <v>6.0</v>
      </c>
      <c r="G144" s="84">
        <v>0.35</v>
      </c>
      <c r="H144" s="96">
        <f>IF(Settings!$D$7=true, 1-G144,1)</f>
        <v>0.65</v>
      </c>
      <c r="I144" s="97" t="s">
        <v>58</v>
      </c>
      <c r="J144" s="97" t="s">
        <v>65</v>
      </c>
      <c r="K144" s="98"/>
      <c r="L144" s="99">
        <f t="shared" si="1"/>
        <v>0.006</v>
      </c>
      <c r="M144" s="100">
        <f t="shared" si="2"/>
        <v>0.0081</v>
      </c>
      <c r="N144" s="90"/>
    </row>
    <row r="145">
      <c r="A145" s="104"/>
      <c r="B145" s="104"/>
      <c r="C145" s="101" t="s">
        <v>235</v>
      </c>
      <c r="D145" s="102">
        <v>1000.0</v>
      </c>
      <c r="E145" s="93" t="s">
        <v>60</v>
      </c>
      <c r="F145" s="103">
        <v>47.52</v>
      </c>
      <c r="G145" s="84">
        <v>0.15</v>
      </c>
      <c r="H145" s="96">
        <f>IF(Settings!$D$7=true, 1-G145,1)</f>
        <v>0.85</v>
      </c>
      <c r="I145" s="97" t="s">
        <v>61</v>
      </c>
      <c r="J145" s="97" t="s">
        <v>71</v>
      </c>
      <c r="K145" s="98"/>
      <c r="L145" s="99">
        <f t="shared" si="1"/>
        <v>0.04752</v>
      </c>
      <c r="M145" s="100">
        <f t="shared" si="2"/>
        <v>0.054648</v>
      </c>
      <c r="N145" s="90"/>
    </row>
    <row r="146">
      <c r="A146" s="104"/>
      <c r="B146" s="104"/>
      <c r="C146" s="101" t="s">
        <v>236</v>
      </c>
      <c r="D146" s="102">
        <v>5000.0</v>
      </c>
      <c r="E146" s="93" t="s">
        <v>60</v>
      </c>
      <c r="F146" s="103">
        <v>18.87</v>
      </c>
      <c r="G146" s="84">
        <v>0.01</v>
      </c>
      <c r="H146" s="96">
        <f>IF(Settings!$D$7=true, 1-G146,1)</f>
        <v>0.99</v>
      </c>
      <c r="I146" s="97" t="s">
        <v>61</v>
      </c>
      <c r="J146" s="97" t="s">
        <v>71</v>
      </c>
      <c r="K146" s="98"/>
      <c r="L146" s="99">
        <f t="shared" si="1"/>
        <v>0.003774</v>
      </c>
      <c r="M146" s="100">
        <f t="shared" si="2"/>
        <v>0.00381174</v>
      </c>
      <c r="N146" s="90"/>
    </row>
    <row r="147">
      <c r="A147" s="79"/>
      <c r="B147" s="79"/>
      <c r="C147" s="101" t="s">
        <v>237</v>
      </c>
      <c r="D147" s="102">
        <v>250.0</v>
      </c>
      <c r="E147" s="93" t="s">
        <v>60</v>
      </c>
      <c r="F147" s="103">
        <v>4.39</v>
      </c>
      <c r="G147" s="84">
        <v>0.36</v>
      </c>
      <c r="H147" s="96">
        <f>IF(Settings!$D$7=true, 1-G147,1)</f>
        <v>0.64</v>
      </c>
      <c r="I147" s="98" t="s">
        <v>55</v>
      </c>
      <c r="J147" s="97" t="s">
        <v>62</v>
      </c>
      <c r="K147" s="98"/>
      <c r="L147" s="99">
        <f t="shared" si="1"/>
        <v>0.01756</v>
      </c>
      <c r="M147" s="100">
        <f t="shared" si="2"/>
        <v>0.0238816</v>
      </c>
      <c r="N147" s="90"/>
    </row>
    <row r="148">
      <c r="A148" s="104"/>
      <c r="B148" s="104"/>
      <c r="C148" s="101" t="s">
        <v>238</v>
      </c>
      <c r="D148" s="102">
        <v>1000.0</v>
      </c>
      <c r="E148" s="93" t="s">
        <v>60</v>
      </c>
      <c r="F148" s="103">
        <v>4.9</v>
      </c>
      <c r="G148" s="84">
        <v>0.35</v>
      </c>
      <c r="H148" s="96">
        <f>IF(Settings!$D$7=true, 1-G148,1)</f>
        <v>0.65</v>
      </c>
      <c r="I148" s="97" t="s">
        <v>58</v>
      </c>
      <c r="J148" s="97" t="s">
        <v>65</v>
      </c>
      <c r="K148" s="98"/>
      <c r="L148" s="99">
        <f t="shared" si="1"/>
        <v>0.0049</v>
      </c>
      <c r="M148" s="100">
        <f t="shared" si="2"/>
        <v>0.006615</v>
      </c>
      <c r="N148" s="90"/>
    </row>
    <row r="149">
      <c r="A149" s="104"/>
      <c r="B149" s="104"/>
      <c r="C149" s="101" t="s">
        <v>239</v>
      </c>
      <c r="D149" s="102">
        <v>400.0</v>
      </c>
      <c r="E149" s="93" t="s">
        <v>60</v>
      </c>
      <c r="F149" s="103">
        <v>1.97</v>
      </c>
      <c r="G149" s="84">
        <v>0.14</v>
      </c>
      <c r="H149" s="96">
        <f>IF(Settings!$D$7=true, 1-G149,1)</f>
        <v>0.86</v>
      </c>
      <c r="I149" s="97" t="s">
        <v>58</v>
      </c>
      <c r="J149" s="97" t="s">
        <v>65</v>
      </c>
      <c r="K149" s="98"/>
      <c r="L149" s="99">
        <f t="shared" si="1"/>
        <v>0.004925</v>
      </c>
      <c r="M149" s="100">
        <f t="shared" si="2"/>
        <v>0.0056145</v>
      </c>
      <c r="N149" s="90"/>
    </row>
    <row r="150">
      <c r="A150" s="79"/>
      <c r="B150" s="79"/>
      <c r="C150" s="101" t="s">
        <v>240</v>
      </c>
      <c r="D150" s="102">
        <v>1000.0</v>
      </c>
      <c r="E150" s="93" t="s">
        <v>69</v>
      </c>
      <c r="F150" s="103">
        <v>3.76</v>
      </c>
      <c r="G150" s="84">
        <v>0.27</v>
      </c>
      <c r="H150" s="96">
        <f>IF(Settings!$D$7=true, 1-G150,1)</f>
        <v>0.73</v>
      </c>
      <c r="I150" s="98" t="s">
        <v>55</v>
      </c>
      <c r="J150" s="97" t="s">
        <v>62</v>
      </c>
      <c r="K150" s="98"/>
      <c r="L150" s="99">
        <f t="shared" si="1"/>
        <v>0.00376</v>
      </c>
      <c r="M150" s="100">
        <f t="shared" si="2"/>
        <v>0.0047752</v>
      </c>
      <c r="N150" s="90"/>
    </row>
    <row r="151">
      <c r="A151" s="79"/>
      <c r="B151" s="79"/>
      <c r="C151" s="101" t="s">
        <v>241</v>
      </c>
      <c r="D151" s="102">
        <v>680.0</v>
      </c>
      <c r="E151" s="93" t="s">
        <v>60</v>
      </c>
      <c r="F151" s="103">
        <v>20.99</v>
      </c>
      <c r="G151" s="84">
        <v>0.08</v>
      </c>
      <c r="H151" s="96">
        <f>IF(Settings!$D$7=true, 1-G151,1)</f>
        <v>0.92</v>
      </c>
      <c r="I151" s="98" t="s">
        <v>55</v>
      </c>
      <c r="J151" s="97" t="s">
        <v>62</v>
      </c>
      <c r="K151" s="98"/>
      <c r="L151" s="99">
        <f t="shared" si="1"/>
        <v>0.03086764706</v>
      </c>
      <c r="M151" s="100">
        <f t="shared" si="2"/>
        <v>0.03333705882</v>
      </c>
      <c r="N151" s="90"/>
    </row>
    <row r="152">
      <c r="A152" s="104"/>
      <c r="B152" s="104"/>
      <c r="C152" s="101" t="s">
        <v>242</v>
      </c>
      <c r="D152" s="102">
        <v>5000.0</v>
      </c>
      <c r="E152" s="93" t="s">
        <v>60</v>
      </c>
      <c r="F152" s="103">
        <v>71.0</v>
      </c>
      <c r="G152" s="84">
        <v>0.05</v>
      </c>
      <c r="H152" s="96">
        <f>IF(Settings!$D$7=true, 1-G152,1)</f>
        <v>0.95</v>
      </c>
      <c r="I152" s="97" t="s">
        <v>58</v>
      </c>
      <c r="J152" s="97" t="s">
        <v>65</v>
      </c>
      <c r="K152" s="98"/>
      <c r="L152" s="99">
        <f t="shared" si="1"/>
        <v>0.0142</v>
      </c>
      <c r="M152" s="100">
        <f t="shared" si="2"/>
        <v>0.01491</v>
      </c>
      <c r="N152" s="90"/>
    </row>
    <row r="153">
      <c r="A153" s="79"/>
      <c r="B153" s="79"/>
      <c r="C153" s="101" t="s">
        <v>243</v>
      </c>
      <c r="D153" s="102">
        <v>5000.0</v>
      </c>
      <c r="E153" s="93" t="s">
        <v>60</v>
      </c>
      <c r="F153" s="103">
        <v>10.57</v>
      </c>
      <c r="G153" s="84">
        <v>0.01</v>
      </c>
      <c r="H153" s="96">
        <f>IF(Settings!$D$7=true, 1-G153,1)</f>
        <v>0.99</v>
      </c>
      <c r="I153" s="98" t="s">
        <v>55</v>
      </c>
      <c r="J153" s="97" t="s">
        <v>62</v>
      </c>
      <c r="K153" s="98"/>
      <c r="L153" s="99">
        <f t="shared" si="1"/>
        <v>0.002114</v>
      </c>
      <c r="M153" s="100">
        <f t="shared" si="2"/>
        <v>0.00213514</v>
      </c>
      <c r="N153" s="90"/>
    </row>
    <row r="154">
      <c r="A154" s="104"/>
      <c r="B154" s="104"/>
      <c r="C154" s="101" t="s">
        <v>244</v>
      </c>
      <c r="D154" s="102">
        <v>250.0</v>
      </c>
      <c r="E154" s="93" t="s">
        <v>60</v>
      </c>
      <c r="F154" s="103">
        <v>3.3</v>
      </c>
      <c r="G154" s="84">
        <v>0.14</v>
      </c>
      <c r="H154" s="96">
        <f>IF(Settings!$D$7=true, 1-G154,1)</f>
        <v>0.86</v>
      </c>
      <c r="I154" s="97" t="s">
        <v>74</v>
      </c>
      <c r="J154" s="97" t="s">
        <v>62</v>
      </c>
      <c r="K154" s="98"/>
      <c r="L154" s="99">
        <f t="shared" si="1"/>
        <v>0.0132</v>
      </c>
      <c r="M154" s="100">
        <f t="shared" si="2"/>
        <v>0.015048</v>
      </c>
      <c r="N154" s="90"/>
    </row>
    <row r="155">
      <c r="A155" s="104"/>
      <c r="B155" s="104"/>
      <c r="C155" s="101" t="s">
        <v>245</v>
      </c>
      <c r="D155" s="102">
        <v>1000.0</v>
      </c>
      <c r="E155" s="93" t="s">
        <v>60</v>
      </c>
      <c r="F155" s="103">
        <v>5.27</v>
      </c>
      <c r="G155" s="84">
        <v>0.09</v>
      </c>
      <c r="H155" s="96">
        <f>IF(Settings!$D$7=true, 1-G155,1)</f>
        <v>0.91</v>
      </c>
      <c r="I155" s="97" t="s">
        <v>55</v>
      </c>
      <c r="J155" s="97" t="s">
        <v>56</v>
      </c>
      <c r="K155" s="98"/>
      <c r="L155" s="99">
        <f t="shared" si="1"/>
        <v>0.00527</v>
      </c>
      <c r="M155" s="100">
        <f t="shared" si="2"/>
        <v>0.0057443</v>
      </c>
      <c r="N155" s="90"/>
    </row>
    <row r="156">
      <c r="A156" s="104"/>
      <c r="B156" s="104"/>
      <c r="C156" s="101" t="s">
        <v>246</v>
      </c>
      <c r="D156" s="102">
        <v>3000.0</v>
      </c>
      <c r="E156" s="93" t="s">
        <v>69</v>
      </c>
      <c r="F156" s="103">
        <v>15.58</v>
      </c>
      <c r="G156" s="84">
        <v>0.18</v>
      </c>
      <c r="H156" s="96">
        <f>IF(Settings!$D$7=true, 1-G156,1)</f>
        <v>0.82</v>
      </c>
      <c r="I156" s="97" t="s">
        <v>55</v>
      </c>
      <c r="J156" s="97" t="s">
        <v>62</v>
      </c>
      <c r="K156" s="98"/>
      <c r="L156" s="99">
        <f t="shared" si="1"/>
        <v>0.005193333333</v>
      </c>
      <c r="M156" s="100">
        <f t="shared" si="2"/>
        <v>0.006128133333</v>
      </c>
      <c r="N156" s="90"/>
    </row>
    <row r="157">
      <c r="A157" s="79"/>
      <c r="B157" s="79"/>
      <c r="C157" s="101" t="s">
        <v>247</v>
      </c>
      <c r="D157" s="102">
        <v>1000.0</v>
      </c>
      <c r="E157" s="93" t="s">
        <v>60</v>
      </c>
      <c r="F157" s="103">
        <v>3.82</v>
      </c>
      <c r="G157" s="84">
        <v>0.17</v>
      </c>
      <c r="H157" s="96">
        <f>IF(Settings!$D$7=true, 1-G157,1)</f>
        <v>0.83</v>
      </c>
      <c r="I157" s="98" t="s">
        <v>55</v>
      </c>
      <c r="J157" s="97" t="s">
        <v>59</v>
      </c>
      <c r="K157" s="98"/>
      <c r="L157" s="99">
        <f t="shared" si="1"/>
        <v>0.00382</v>
      </c>
      <c r="M157" s="100">
        <f t="shared" si="2"/>
        <v>0.0044694</v>
      </c>
      <c r="N157" s="90"/>
    </row>
    <row r="158">
      <c r="A158" s="79"/>
      <c r="B158" s="79"/>
      <c r="C158" s="101" t="s">
        <v>248</v>
      </c>
      <c r="D158" s="102">
        <v>20000.0</v>
      </c>
      <c r="E158" s="93" t="s">
        <v>60</v>
      </c>
      <c r="F158" s="103">
        <v>69.41</v>
      </c>
      <c r="G158" s="84">
        <v>0.17</v>
      </c>
      <c r="H158" s="96">
        <f>IF(Settings!$D$7=true, 1-G158,1)</f>
        <v>0.83</v>
      </c>
      <c r="I158" s="98" t="s">
        <v>55</v>
      </c>
      <c r="J158" s="97" t="s">
        <v>59</v>
      </c>
      <c r="K158" s="98"/>
      <c r="L158" s="99">
        <f t="shared" si="1"/>
        <v>0.0034705</v>
      </c>
      <c r="M158" s="100">
        <f t="shared" si="2"/>
        <v>0.004060485</v>
      </c>
      <c r="N158" s="90"/>
    </row>
    <row r="159">
      <c r="A159" s="104"/>
      <c r="B159" s="104"/>
      <c r="C159" s="101" t="s">
        <v>249</v>
      </c>
      <c r="D159" s="102">
        <v>1000.0</v>
      </c>
      <c r="E159" s="93" t="s">
        <v>60</v>
      </c>
      <c r="F159" s="103">
        <v>2.1</v>
      </c>
      <c r="G159" s="84">
        <v>0.33</v>
      </c>
      <c r="H159" s="96">
        <f>IF(Settings!$D$7=true, 1-G159,1)</f>
        <v>0.67</v>
      </c>
      <c r="I159" s="97" t="s">
        <v>58</v>
      </c>
      <c r="J159" s="97" t="s">
        <v>59</v>
      </c>
      <c r="K159" s="98"/>
      <c r="L159" s="99">
        <f t="shared" si="1"/>
        <v>0.0021</v>
      </c>
      <c r="M159" s="100">
        <f t="shared" si="2"/>
        <v>0.002793</v>
      </c>
      <c r="N159" s="90"/>
    </row>
    <row r="160">
      <c r="A160" s="104"/>
      <c r="B160" s="104"/>
      <c r="C160" s="101" t="s">
        <v>250</v>
      </c>
      <c r="D160" s="102">
        <v>4500.0</v>
      </c>
      <c r="E160" s="93" t="s">
        <v>60</v>
      </c>
      <c r="F160" s="103">
        <v>31.0</v>
      </c>
      <c r="G160" s="84">
        <v>0.09</v>
      </c>
      <c r="H160" s="96">
        <f>IF(Settings!$D$7=true, 1-G160,1)</f>
        <v>0.91</v>
      </c>
      <c r="I160" s="97" t="s">
        <v>58</v>
      </c>
      <c r="J160" s="97" t="s">
        <v>59</v>
      </c>
      <c r="K160" s="98"/>
      <c r="L160" s="99">
        <f t="shared" si="1"/>
        <v>0.006888888889</v>
      </c>
      <c r="M160" s="100">
        <f t="shared" si="2"/>
        <v>0.007508888889</v>
      </c>
      <c r="N160" s="90"/>
    </row>
    <row r="161">
      <c r="A161" s="79"/>
      <c r="B161" s="79"/>
      <c r="C161" s="101" t="s">
        <v>251</v>
      </c>
      <c r="D161" s="102">
        <v>12000.0</v>
      </c>
      <c r="E161" s="93" t="s">
        <v>69</v>
      </c>
      <c r="F161" s="103">
        <v>22.99</v>
      </c>
      <c r="G161" s="84">
        <v>0.26</v>
      </c>
      <c r="H161" s="96">
        <f>IF(Settings!$D$7=true, 1-G161,1)</f>
        <v>0.74</v>
      </c>
      <c r="I161" s="98" t="s">
        <v>55</v>
      </c>
      <c r="J161" s="97" t="s">
        <v>59</v>
      </c>
      <c r="K161" s="98"/>
      <c r="L161" s="99">
        <f t="shared" si="1"/>
        <v>0.001915833333</v>
      </c>
      <c r="M161" s="100">
        <f t="shared" si="2"/>
        <v>0.00241395</v>
      </c>
      <c r="N161" s="90"/>
    </row>
    <row r="162">
      <c r="A162" s="79"/>
      <c r="B162" s="79"/>
      <c r="C162" s="101" t="s">
        <v>252</v>
      </c>
      <c r="D162" s="102">
        <v>1900.0</v>
      </c>
      <c r="E162" s="93" t="s">
        <v>60</v>
      </c>
      <c r="F162" s="103">
        <v>26.33</v>
      </c>
      <c r="G162" s="84">
        <v>0.28</v>
      </c>
      <c r="H162" s="96">
        <f>IF(Settings!$D$7=true, 1-G162,1)</f>
        <v>0.72</v>
      </c>
      <c r="I162" s="98" t="s">
        <v>55</v>
      </c>
      <c r="J162" s="97" t="s">
        <v>62</v>
      </c>
      <c r="K162" s="98"/>
      <c r="L162" s="99">
        <f t="shared" si="1"/>
        <v>0.01385789474</v>
      </c>
      <c r="M162" s="100">
        <f t="shared" si="2"/>
        <v>0.01773810526</v>
      </c>
      <c r="N162" s="90"/>
    </row>
    <row r="163">
      <c r="A163" s="104"/>
      <c r="B163" s="104"/>
      <c r="C163" s="101" t="s">
        <v>253</v>
      </c>
      <c r="D163" s="102">
        <v>2500.0</v>
      </c>
      <c r="E163" s="93" t="s">
        <v>60</v>
      </c>
      <c r="F163" s="103">
        <v>13.46</v>
      </c>
      <c r="G163" s="84">
        <v>0.2</v>
      </c>
      <c r="H163" s="96">
        <f>IF(Settings!$D$7=true, 1-G163,1)</f>
        <v>0.8</v>
      </c>
      <c r="I163" s="97" t="s">
        <v>61</v>
      </c>
      <c r="J163" s="97" t="s">
        <v>71</v>
      </c>
      <c r="K163" s="98"/>
      <c r="L163" s="99">
        <f t="shared" si="1"/>
        <v>0.005384</v>
      </c>
      <c r="M163" s="100">
        <f t="shared" si="2"/>
        <v>0.0064608</v>
      </c>
      <c r="N163" s="90"/>
    </row>
    <row r="164">
      <c r="A164" s="104"/>
      <c r="B164" s="104"/>
      <c r="C164" s="101" t="s">
        <v>254</v>
      </c>
      <c r="D164" s="102">
        <v>1000.0</v>
      </c>
      <c r="E164" s="93" t="s">
        <v>60</v>
      </c>
      <c r="F164" s="103">
        <v>10.77</v>
      </c>
      <c r="G164" s="84">
        <v>0.4</v>
      </c>
      <c r="H164" s="96">
        <f>IF(Settings!$D$7=true, 1-G164,1)</f>
        <v>0.6</v>
      </c>
      <c r="I164" s="97" t="s">
        <v>61</v>
      </c>
      <c r="J164" s="97" t="s">
        <v>71</v>
      </c>
      <c r="K164" s="98"/>
      <c r="L164" s="99">
        <f t="shared" si="1"/>
        <v>0.01077</v>
      </c>
      <c r="M164" s="100">
        <f t="shared" si="2"/>
        <v>0.015078</v>
      </c>
      <c r="N164" s="90"/>
    </row>
    <row r="165">
      <c r="A165" s="104"/>
      <c r="B165" s="104"/>
      <c r="C165" s="101" t="s">
        <v>255</v>
      </c>
      <c r="D165" s="102">
        <v>200.0</v>
      </c>
      <c r="E165" s="93" t="s">
        <v>60</v>
      </c>
      <c r="F165" s="103">
        <v>4.4</v>
      </c>
      <c r="G165" s="84">
        <v>0.26</v>
      </c>
      <c r="H165" s="96">
        <f>IF(Settings!$D$7=true, 1-G165,1)</f>
        <v>0.74</v>
      </c>
      <c r="I165" s="97" t="s">
        <v>58</v>
      </c>
      <c r="J165" s="97" t="s">
        <v>59</v>
      </c>
      <c r="K165" s="98"/>
      <c r="L165" s="99">
        <f t="shared" si="1"/>
        <v>0.022</v>
      </c>
      <c r="M165" s="100">
        <f t="shared" si="2"/>
        <v>0.02772</v>
      </c>
      <c r="N165" s="90"/>
    </row>
    <row r="166">
      <c r="A166" s="79"/>
      <c r="B166" s="79"/>
      <c r="C166" s="101" t="s">
        <v>256</v>
      </c>
      <c r="D166" s="102">
        <v>300.0</v>
      </c>
      <c r="E166" s="93" t="s">
        <v>69</v>
      </c>
      <c r="F166" s="103">
        <v>7.67</v>
      </c>
      <c r="G166" s="84">
        <v>0.03</v>
      </c>
      <c r="H166" s="96">
        <f>IF(Settings!$D$7=true, 1-G166,1)</f>
        <v>0.97</v>
      </c>
      <c r="I166" s="98" t="s">
        <v>55</v>
      </c>
      <c r="J166" s="97" t="s">
        <v>62</v>
      </c>
      <c r="K166" s="98"/>
      <c r="L166" s="99">
        <f t="shared" si="1"/>
        <v>0.02556666667</v>
      </c>
      <c r="M166" s="100">
        <f t="shared" si="2"/>
        <v>0.02633366667</v>
      </c>
      <c r="N166" s="90"/>
    </row>
    <row r="167">
      <c r="A167" s="79"/>
      <c r="B167" s="79"/>
      <c r="C167" s="101" t="s">
        <v>257</v>
      </c>
      <c r="D167" s="102">
        <v>1000.0</v>
      </c>
      <c r="E167" s="93" t="s">
        <v>60</v>
      </c>
      <c r="F167" s="103">
        <v>8.36</v>
      </c>
      <c r="G167" s="84">
        <v>0.29</v>
      </c>
      <c r="H167" s="96">
        <f>IF(Settings!$D$7=true, 1-G167,1)</f>
        <v>0.71</v>
      </c>
      <c r="I167" s="98" t="s">
        <v>55</v>
      </c>
      <c r="J167" s="97" t="s">
        <v>56</v>
      </c>
      <c r="K167" s="98"/>
      <c r="L167" s="99">
        <f t="shared" si="1"/>
        <v>0.00836</v>
      </c>
      <c r="M167" s="100">
        <f t="shared" si="2"/>
        <v>0.0107844</v>
      </c>
      <c r="N167" s="90"/>
    </row>
    <row r="168">
      <c r="A168" s="79"/>
      <c r="B168" s="79"/>
      <c r="C168" s="101" t="s">
        <v>258</v>
      </c>
      <c r="D168" s="102">
        <v>400.0</v>
      </c>
      <c r="E168" s="93" t="s">
        <v>60</v>
      </c>
      <c r="F168" s="103">
        <v>7.82</v>
      </c>
      <c r="G168" s="84">
        <v>0.01</v>
      </c>
      <c r="H168" s="96">
        <f>IF(Settings!$D$7=true, 1-G168,1)</f>
        <v>0.99</v>
      </c>
      <c r="I168" s="98" t="s">
        <v>55</v>
      </c>
      <c r="J168" s="97" t="s">
        <v>62</v>
      </c>
      <c r="K168" s="98"/>
      <c r="L168" s="99">
        <f t="shared" si="1"/>
        <v>0.01955</v>
      </c>
      <c r="M168" s="100">
        <f t="shared" si="2"/>
        <v>0.0197455</v>
      </c>
      <c r="N168" s="90"/>
    </row>
    <row r="169">
      <c r="A169" s="104"/>
      <c r="B169" s="104"/>
      <c r="C169" s="101" t="s">
        <v>259</v>
      </c>
      <c r="D169" s="102">
        <v>1000.0</v>
      </c>
      <c r="E169" s="93" t="s">
        <v>69</v>
      </c>
      <c r="F169" s="103">
        <v>8.55</v>
      </c>
      <c r="G169" s="84">
        <v>0.1</v>
      </c>
      <c r="H169" s="96">
        <f>IF(Settings!$D$7=true, 1-G169,1)</f>
        <v>0.9</v>
      </c>
      <c r="I169" s="97" t="s">
        <v>67</v>
      </c>
      <c r="J169" s="97" t="s">
        <v>59</v>
      </c>
      <c r="K169" s="98"/>
      <c r="L169" s="99">
        <f t="shared" si="1"/>
        <v>0.00855</v>
      </c>
      <c r="M169" s="100">
        <f t="shared" si="2"/>
        <v>0.009405</v>
      </c>
      <c r="N169" s="90"/>
    </row>
    <row r="170">
      <c r="A170" s="79"/>
      <c r="B170" s="79"/>
      <c r="C170" s="101" t="s">
        <v>260</v>
      </c>
      <c r="D170" s="102">
        <v>755.0</v>
      </c>
      <c r="E170" s="93" t="s">
        <v>60</v>
      </c>
      <c r="F170" s="103">
        <v>16.93</v>
      </c>
      <c r="G170" s="84">
        <v>0.09</v>
      </c>
      <c r="H170" s="96">
        <f>IF(Settings!$D$7=true, 1-G170,1)</f>
        <v>0.91</v>
      </c>
      <c r="I170" s="98" t="s">
        <v>55</v>
      </c>
      <c r="J170" s="97" t="s">
        <v>62</v>
      </c>
      <c r="K170" s="98"/>
      <c r="L170" s="99">
        <f t="shared" si="1"/>
        <v>0.02242384106</v>
      </c>
      <c r="M170" s="100">
        <f t="shared" si="2"/>
        <v>0.02444198675</v>
      </c>
      <c r="N170" s="90"/>
    </row>
    <row r="171">
      <c r="A171" s="79"/>
      <c r="B171" s="79"/>
      <c r="C171" s="101" t="s">
        <v>261</v>
      </c>
      <c r="D171" s="102">
        <v>12000.0</v>
      </c>
      <c r="E171" s="93" t="s">
        <v>60</v>
      </c>
      <c r="F171" s="103">
        <v>87.56</v>
      </c>
      <c r="G171" s="84">
        <v>0.08</v>
      </c>
      <c r="H171" s="96">
        <f>IF(Settings!$D$7=true, 1-G171,1)</f>
        <v>0.92</v>
      </c>
      <c r="I171" s="98" t="s">
        <v>55</v>
      </c>
      <c r="J171" s="97" t="s">
        <v>56</v>
      </c>
      <c r="K171" s="98"/>
      <c r="L171" s="99">
        <f t="shared" si="1"/>
        <v>0.007296666667</v>
      </c>
      <c r="M171" s="100">
        <f t="shared" si="2"/>
        <v>0.0078804</v>
      </c>
      <c r="N171" s="90"/>
    </row>
    <row r="172">
      <c r="A172" s="104"/>
      <c r="B172" s="104"/>
      <c r="C172" s="101" t="s">
        <v>262</v>
      </c>
      <c r="D172" s="102">
        <v>1000.0</v>
      </c>
      <c r="E172" s="93" t="s">
        <v>60</v>
      </c>
      <c r="F172" s="103">
        <v>15.25</v>
      </c>
      <c r="G172" s="84">
        <v>0.07</v>
      </c>
      <c r="H172" s="96">
        <f>IF(Settings!$D$7=true, 1-G172,1)</f>
        <v>0.93</v>
      </c>
      <c r="I172" s="97" t="s">
        <v>58</v>
      </c>
      <c r="J172" s="97" t="s">
        <v>65</v>
      </c>
      <c r="K172" s="98"/>
      <c r="L172" s="99">
        <f t="shared" si="1"/>
        <v>0.01525</v>
      </c>
      <c r="M172" s="100">
        <f t="shared" si="2"/>
        <v>0.0163175</v>
      </c>
      <c r="N172" s="90"/>
    </row>
    <row r="173">
      <c r="A173" s="79"/>
      <c r="B173" s="79"/>
      <c r="C173" s="101" t="s">
        <v>263</v>
      </c>
      <c r="D173" s="102">
        <v>1000.0</v>
      </c>
      <c r="E173" s="93" t="s">
        <v>60</v>
      </c>
      <c r="F173" s="103">
        <v>8.72</v>
      </c>
      <c r="G173" s="84">
        <v>0.0</v>
      </c>
      <c r="H173" s="96">
        <f>IF(Settings!$D$7=true, 1-G173,1)</f>
        <v>1</v>
      </c>
      <c r="I173" s="98" t="s">
        <v>55</v>
      </c>
      <c r="J173" s="97" t="s">
        <v>56</v>
      </c>
      <c r="K173" s="98"/>
      <c r="L173" s="99">
        <f t="shared" si="1"/>
        <v>0.00872</v>
      </c>
      <c r="M173" s="100">
        <f t="shared" si="2"/>
        <v>0.00872</v>
      </c>
      <c r="N173" s="90"/>
    </row>
    <row r="174">
      <c r="A174" s="79"/>
      <c r="B174" s="79"/>
      <c r="C174" s="101" t="s">
        <v>264</v>
      </c>
      <c r="D174" s="102">
        <v>1000.0</v>
      </c>
      <c r="E174" s="93" t="s">
        <v>60</v>
      </c>
      <c r="F174" s="103">
        <v>6.53</v>
      </c>
      <c r="G174" s="84">
        <v>0.22</v>
      </c>
      <c r="H174" s="96">
        <f>IF(Settings!$D$7=true, 1-G174,1)</f>
        <v>0.78</v>
      </c>
      <c r="I174" s="98" t="s">
        <v>55</v>
      </c>
      <c r="J174" s="97" t="s">
        <v>62</v>
      </c>
      <c r="K174" s="98"/>
      <c r="L174" s="99">
        <f t="shared" si="1"/>
        <v>0.00653</v>
      </c>
      <c r="M174" s="100">
        <f t="shared" si="2"/>
        <v>0.0079666</v>
      </c>
      <c r="N174" s="90"/>
    </row>
    <row r="175">
      <c r="A175" s="79"/>
      <c r="B175" s="79"/>
      <c r="C175" s="101" t="s">
        <v>265</v>
      </c>
      <c r="D175" s="102">
        <v>4000.0</v>
      </c>
      <c r="E175" s="93" t="s">
        <v>69</v>
      </c>
      <c r="F175" s="103">
        <v>40.72</v>
      </c>
      <c r="G175" s="84">
        <v>0.19</v>
      </c>
      <c r="H175" s="96">
        <f>IF(Settings!$D$7=true, 1-G175,1)</f>
        <v>0.81</v>
      </c>
      <c r="I175" s="98" t="s">
        <v>55</v>
      </c>
      <c r="J175" s="97" t="s">
        <v>62</v>
      </c>
      <c r="K175" s="98"/>
      <c r="L175" s="99">
        <f t="shared" si="1"/>
        <v>0.01018</v>
      </c>
      <c r="M175" s="100">
        <f t="shared" si="2"/>
        <v>0.0121142</v>
      </c>
      <c r="N175" s="90"/>
    </row>
    <row r="176">
      <c r="A176" s="79"/>
      <c r="B176" s="79"/>
      <c r="C176" s="101" t="s">
        <v>266</v>
      </c>
      <c r="D176" s="102">
        <v>2000.0</v>
      </c>
      <c r="E176" s="93" t="s">
        <v>60</v>
      </c>
      <c r="F176" s="103">
        <v>13.43</v>
      </c>
      <c r="G176" s="84">
        <v>0.25</v>
      </c>
      <c r="H176" s="96">
        <f>IF(Settings!$D$7=true, 1-G176,1)</f>
        <v>0.75</v>
      </c>
      <c r="I176" s="98" t="s">
        <v>55</v>
      </c>
      <c r="J176" s="97" t="s">
        <v>62</v>
      </c>
      <c r="K176" s="98"/>
      <c r="L176" s="99">
        <f t="shared" si="1"/>
        <v>0.006715</v>
      </c>
      <c r="M176" s="100">
        <f t="shared" si="2"/>
        <v>0.00839375</v>
      </c>
      <c r="N176" s="90"/>
    </row>
    <row r="177">
      <c r="A177" s="104"/>
      <c r="B177" s="104"/>
      <c r="C177" s="101" t="s">
        <v>267</v>
      </c>
      <c r="D177" s="102">
        <v>1000.0</v>
      </c>
      <c r="E177" s="93" t="s">
        <v>60</v>
      </c>
      <c r="F177" s="103">
        <v>2.8</v>
      </c>
      <c r="G177" s="84">
        <v>0.14</v>
      </c>
      <c r="H177" s="96">
        <f>IF(Settings!$D$7=true, 1-G177,1)</f>
        <v>0.86</v>
      </c>
      <c r="I177" s="97" t="s">
        <v>58</v>
      </c>
      <c r="J177" s="97" t="s">
        <v>65</v>
      </c>
      <c r="K177" s="98"/>
      <c r="L177" s="99">
        <f t="shared" si="1"/>
        <v>0.0028</v>
      </c>
      <c r="M177" s="100">
        <f t="shared" si="2"/>
        <v>0.003192</v>
      </c>
      <c r="N177" s="90"/>
    </row>
    <row r="178">
      <c r="A178" s="79"/>
      <c r="B178" s="79"/>
      <c r="C178" s="101" t="s">
        <v>268</v>
      </c>
      <c r="D178" s="102">
        <v>1000.0</v>
      </c>
      <c r="E178" s="93" t="s">
        <v>60</v>
      </c>
      <c r="F178" s="103">
        <v>12.45</v>
      </c>
      <c r="G178" s="84">
        <v>0.18</v>
      </c>
      <c r="H178" s="96">
        <f>IF(Settings!$D$7=true, 1-G178,1)</f>
        <v>0.82</v>
      </c>
      <c r="I178" s="98" t="s">
        <v>55</v>
      </c>
      <c r="J178" s="97" t="s">
        <v>62</v>
      </c>
      <c r="K178" s="98"/>
      <c r="L178" s="99">
        <f t="shared" si="1"/>
        <v>0.01245</v>
      </c>
      <c r="M178" s="100">
        <f t="shared" si="2"/>
        <v>0.014691</v>
      </c>
      <c r="N178" s="90"/>
    </row>
    <row r="179">
      <c r="A179" s="104"/>
      <c r="B179" s="104"/>
      <c r="C179" s="101" t="s">
        <v>269</v>
      </c>
      <c r="D179" s="102">
        <v>1000.0</v>
      </c>
      <c r="E179" s="93" t="s">
        <v>60</v>
      </c>
      <c r="F179" s="103">
        <v>2.8</v>
      </c>
      <c r="G179" s="84">
        <v>0.36</v>
      </c>
      <c r="H179" s="96">
        <f>IF(Settings!$D$7=true, 1-G179,1)</f>
        <v>0.64</v>
      </c>
      <c r="I179" s="97" t="s">
        <v>58</v>
      </c>
      <c r="J179" s="97" t="s">
        <v>65</v>
      </c>
      <c r="K179" s="98"/>
      <c r="L179" s="99">
        <f t="shared" si="1"/>
        <v>0.0028</v>
      </c>
      <c r="M179" s="100">
        <f t="shared" si="2"/>
        <v>0.003808</v>
      </c>
      <c r="N179" s="90"/>
    </row>
    <row r="180">
      <c r="A180" s="104"/>
      <c r="B180" s="104"/>
      <c r="C180" s="101" t="s">
        <v>270</v>
      </c>
      <c r="D180" s="102">
        <v>1000.0</v>
      </c>
      <c r="E180" s="93" t="s">
        <v>60</v>
      </c>
      <c r="F180" s="103">
        <v>2.8</v>
      </c>
      <c r="G180" s="84">
        <v>0.21</v>
      </c>
      <c r="H180" s="96">
        <f>IF(Settings!$D$7=true, 1-G180,1)</f>
        <v>0.79</v>
      </c>
      <c r="I180" s="97" t="s">
        <v>58</v>
      </c>
      <c r="J180" s="97" t="s">
        <v>65</v>
      </c>
      <c r="K180" s="98"/>
      <c r="L180" s="99">
        <f t="shared" si="1"/>
        <v>0.0028</v>
      </c>
      <c r="M180" s="100">
        <f t="shared" si="2"/>
        <v>0.003388</v>
      </c>
      <c r="N180" s="90"/>
    </row>
    <row r="181">
      <c r="A181" s="104"/>
      <c r="B181" s="104"/>
      <c r="C181" s="101" t="s">
        <v>271</v>
      </c>
      <c r="D181" s="102">
        <v>400.0</v>
      </c>
      <c r="E181" s="93" t="s">
        <v>60</v>
      </c>
      <c r="F181" s="103">
        <v>7.82</v>
      </c>
      <c r="G181" s="84">
        <v>0.25</v>
      </c>
      <c r="H181" s="96">
        <f>IF(Settings!$D$7=true, 1-G181,1)</f>
        <v>0.75</v>
      </c>
      <c r="I181" s="97" t="s">
        <v>55</v>
      </c>
      <c r="J181" s="97" t="s">
        <v>62</v>
      </c>
      <c r="K181" s="98"/>
      <c r="L181" s="99">
        <f t="shared" si="1"/>
        <v>0.01955</v>
      </c>
      <c r="M181" s="100">
        <f t="shared" si="2"/>
        <v>0.0244375</v>
      </c>
      <c r="N181" s="90"/>
    </row>
    <row r="182">
      <c r="A182" s="79"/>
      <c r="B182" s="79"/>
      <c r="C182" s="101" t="s">
        <v>272</v>
      </c>
      <c r="D182" s="102">
        <v>144.0</v>
      </c>
      <c r="E182" s="93" t="s">
        <v>57</v>
      </c>
      <c r="F182" s="103">
        <v>209.7</v>
      </c>
      <c r="G182" s="84">
        <v>0.15</v>
      </c>
      <c r="H182" s="96">
        <f>IF(Settings!$D$7=true, 1-G182,1)</f>
        <v>0.85</v>
      </c>
      <c r="I182" s="98" t="s">
        <v>55</v>
      </c>
      <c r="J182" s="97" t="s">
        <v>56</v>
      </c>
      <c r="K182" s="98"/>
      <c r="L182" s="99">
        <f t="shared" si="1"/>
        <v>1.45625</v>
      </c>
      <c r="M182" s="100">
        <f t="shared" si="2"/>
        <v>1.6746875</v>
      </c>
      <c r="N182" s="90"/>
    </row>
    <row r="183">
      <c r="A183" s="104"/>
      <c r="B183" s="104"/>
      <c r="C183" s="101" t="s">
        <v>273</v>
      </c>
      <c r="D183" s="102">
        <v>250.0</v>
      </c>
      <c r="E183" s="93" t="s">
        <v>60</v>
      </c>
      <c r="F183" s="103">
        <v>3.1</v>
      </c>
      <c r="G183" s="84">
        <v>0.21</v>
      </c>
      <c r="H183" s="96">
        <f>IF(Settings!$D$7=true, 1-G183,1)</f>
        <v>0.79</v>
      </c>
      <c r="I183" s="97" t="s">
        <v>58</v>
      </c>
      <c r="J183" s="97" t="s">
        <v>65</v>
      </c>
      <c r="K183" s="98"/>
      <c r="L183" s="99">
        <f t="shared" si="1"/>
        <v>0.0124</v>
      </c>
      <c r="M183" s="100">
        <f t="shared" si="2"/>
        <v>0.015004</v>
      </c>
      <c r="N183" s="90"/>
    </row>
    <row r="184">
      <c r="A184" s="79"/>
      <c r="B184" s="79"/>
      <c r="C184" s="101" t="s">
        <v>274</v>
      </c>
      <c r="D184" s="102">
        <v>10000.0</v>
      </c>
      <c r="E184" s="93" t="s">
        <v>60</v>
      </c>
      <c r="F184" s="103">
        <v>51.41</v>
      </c>
      <c r="G184" s="84">
        <v>0.32</v>
      </c>
      <c r="H184" s="96">
        <f>IF(Settings!$D$7=true, 1-G184,1)</f>
        <v>0.68</v>
      </c>
      <c r="I184" s="98" t="s">
        <v>55</v>
      </c>
      <c r="J184" s="97" t="s">
        <v>62</v>
      </c>
      <c r="K184" s="98"/>
      <c r="L184" s="99">
        <f t="shared" si="1"/>
        <v>0.005141</v>
      </c>
      <c r="M184" s="100">
        <f t="shared" si="2"/>
        <v>0.00678612</v>
      </c>
      <c r="N184" s="90"/>
    </row>
    <row r="185">
      <c r="A185" s="79"/>
      <c r="B185" s="79"/>
      <c r="C185" s="101" t="s">
        <v>275</v>
      </c>
      <c r="D185" s="102">
        <v>15000.0</v>
      </c>
      <c r="E185" s="93" t="s">
        <v>60</v>
      </c>
      <c r="F185" s="103">
        <v>67.25</v>
      </c>
      <c r="G185" s="84">
        <v>0.34</v>
      </c>
      <c r="H185" s="96">
        <f>IF(Settings!$D$7=true, 1-G185,1)</f>
        <v>0.66</v>
      </c>
      <c r="I185" s="98" t="s">
        <v>55</v>
      </c>
      <c r="J185" s="97" t="s">
        <v>62</v>
      </c>
      <c r="K185" s="98"/>
      <c r="L185" s="99">
        <f t="shared" si="1"/>
        <v>0.004483333333</v>
      </c>
      <c r="M185" s="100">
        <f t="shared" si="2"/>
        <v>0.006007666667</v>
      </c>
      <c r="N185" s="90"/>
    </row>
    <row r="186">
      <c r="A186" s="104"/>
      <c r="B186" s="104"/>
      <c r="C186" s="101" t="s">
        <v>276</v>
      </c>
      <c r="D186" s="102">
        <v>200.0</v>
      </c>
      <c r="E186" s="93" t="s">
        <v>60</v>
      </c>
      <c r="F186" s="103">
        <v>3.0</v>
      </c>
      <c r="G186" s="84">
        <v>0.35</v>
      </c>
      <c r="H186" s="96">
        <f>IF(Settings!$D$7=true, 1-G186,1)</f>
        <v>0.65</v>
      </c>
      <c r="I186" s="97" t="s">
        <v>58</v>
      </c>
      <c r="J186" s="97" t="s">
        <v>65</v>
      </c>
      <c r="K186" s="98"/>
      <c r="L186" s="99">
        <f t="shared" si="1"/>
        <v>0.015</v>
      </c>
      <c r="M186" s="100">
        <f t="shared" si="2"/>
        <v>0.02025</v>
      </c>
      <c r="N186" s="90"/>
    </row>
    <row r="187">
      <c r="A187" s="79"/>
      <c r="B187" s="79"/>
      <c r="C187" s="101" t="s">
        <v>277</v>
      </c>
      <c r="D187" s="102">
        <v>72.0</v>
      </c>
      <c r="E187" s="93" t="s">
        <v>57</v>
      </c>
      <c r="F187" s="103">
        <v>37.93</v>
      </c>
      <c r="G187" s="84">
        <v>0.27</v>
      </c>
      <c r="H187" s="96">
        <f>IF(Settings!$D$7=true, 1-G187,1)</f>
        <v>0.73</v>
      </c>
      <c r="I187" s="98" t="s">
        <v>55</v>
      </c>
      <c r="J187" s="97" t="s">
        <v>56</v>
      </c>
      <c r="K187" s="98"/>
      <c r="L187" s="99">
        <f t="shared" si="1"/>
        <v>0.5268055556</v>
      </c>
      <c r="M187" s="100">
        <f t="shared" si="2"/>
        <v>0.6690430556</v>
      </c>
      <c r="N187" s="90"/>
    </row>
    <row r="188">
      <c r="A188" s="79"/>
      <c r="B188" s="79"/>
      <c r="C188" s="101" t="s">
        <v>278</v>
      </c>
      <c r="D188" s="102">
        <v>840.0</v>
      </c>
      <c r="E188" s="93" t="s">
        <v>60</v>
      </c>
      <c r="F188" s="103">
        <v>7.57</v>
      </c>
      <c r="G188" s="84">
        <v>0.02</v>
      </c>
      <c r="H188" s="96">
        <f>IF(Settings!$D$7=true, 1-G188,1)</f>
        <v>0.98</v>
      </c>
      <c r="I188" s="98" t="s">
        <v>55</v>
      </c>
      <c r="J188" s="97" t="s">
        <v>56</v>
      </c>
      <c r="K188" s="98"/>
      <c r="L188" s="99">
        <f t="shared" si="1"/>
        <v>0.009011904762</v>
      </c>
      <c r="M188" s="100">
        <f t="shared" si="2"/>
        <v>0.009192142857</v>
      </c>
      <c r="N188" s="90"/>
    </row>
    <row r="189">
      <c r="A189" s="79"/>
      <c r="B189" s="79"/>
      <c r="C189" s="101" t="s">
        <v>279</v>
      </c>
      <c r="D189" s="102">
        <v>500.0</v>
      </c>
      <c r="E189" s="93" t="s">
        <v>69</v>
      </c>
      <c r="F189" s="103">
        <v>10.53</v>
      </c>
      <c r="G189" s="84">
        <v>0.07</v>
      </c>
      <c r="H189" s="96">
        <f>IF(Settings!$D$7=true, 1-G189,1)</f>
        <v>0.93</v>
      </c>
      <c r="I189" s="98" t="s">
        <v>55</v>
      </c>
      <c r="J189" s="97" t="s">
        <v>56</v>
      </c>
      <c r="K189" s="98"/>
      <c r="L189" s="99">
        <f t="shared" si="1"/>
        <v>0.02106</v>
      </c>
      <c r="M189" s="100">
        <f t="shared" si="2"/>
        <v>0.0225342</v>
      </c>
      <c r="N189" s="90"/>
    </row>
    <row r="190">
      <c r="A190" s="104"/>
      <c r="B190" s="104"/>
      <c r="C190" s="101" t="s">
        <v>280</v>
      </c>
      <c r="D190" s="102">
        <v>560.0</v>
      </c>
      <c r="E190" s="93" t="s">
        <v>60</v>
      </c>
      <c r="F190" s="103">
        <v>5.73</v>
      </c>
      <c r="G190" s="84">
        <v>0.37</v>
      </c>
      <c r="H190" s="96">
        <f>IF(Settings!$D$7=true, 1-G190,1)</f>
        <v>0.63</v>
      </c>
      <c r="I190" s="97" t="s">
        <v>67</v>
      </c>
      <c r="J190" s="97" t="s">
        <v>59</v>
      </c>
      <c r="K190" s="98"/>
      <c r="L190" s="99">
        <f t="shared" si="1"/>
        <v>0.01023214286</v>
      </c>
      <c r="M190" s="100">
        <f t="shared" si="2"/>
        <v>0.01401803571</v>
      </c>
      <c r="N190" s="90"/>
    </row>
    <row r="191">
      <c r="A191" s="79"/>
      <c r="B191" s="79"/>
      <c r="C191" s="101" t="s">
        <v>281</v>
      </c>
      <c r="D191" s="102">
        <v>40.0</v>
      </c>
      <c r="E191" s="93" t="s">
        <v>57</v>
      </c>
      <c r="F191" s="103">
        <v>38.53</v>
      </c>
      <c r="G191" s="84">
        <v>0.02</v>
      </c>
      <c r="H191" s="96">
        <f>IF(Settings!$D$7=true, 1-G191,1)</f>
        <v>0.98</v>
      </c>
      <c r="I191" s="98" t="s">
        <v>55</v>
      </c>
      <c r="J191" s="97" t="s">
        <v>56</v>
      </c>
      <c r="K191" s="98"/>
      <c r="L191" s="99">
        <f t="shared" si="1"/>
        <v>0.96325</v>
      </c>
      <c r="M191" s="100">
        <f t="shared" si="2"/>
        <v>0.982515</v>
      </c>
      <c r="N191" s="90"/>
    </row>
    <row r="192">
      <c r="A192" s="79"/>
      <c r="B192" s="79"/>
      <c r="C192" s="101" t="s">
        <v>282</v>
      </c>
      <c r="D192" s="102">
        <v>12000.0</v>
      </c>
      <c r="E192" s="93" t="s">
        <v>60</v>
      </c>
      <c r="F192" s="103">
        <v>74.26</v>
      </c>
      <c r="G192" s="84">
        <v>0.03</v>
      </c>
      <c r="H192" s="96">
        <f>IF(Settings!$D$7=true, 1-G192,1)</f>
        <v>0.97</v>
      </c>
      <c r="I192" s="98" t="s">
        <v>55</v>
      </c>
      <c r="J192" s="97" t="s">
        <v>56</v>
      </c>
      <c r="K192" s="98"/>
      <c r="L192" s="99">
        <f t="shared" si="1"/>
        <v>0.006188333333</v>
      </c>
      <c r="M192" s="100">
        <f t="shared" si="2"/>
        <v>0.006373983333</v>
      </c>
      <c r="N192" s="90"/>
    </row>
    <row r="193">
      <c r="A193" s="79"/>
      <c r="B193" s="79"/>
      <c r="C193" s="101" t="s">
        <v>283</v>
      </c>
      <c r="D193" s="102">
        <v>2500.0</v>
      </c>
      <c r="E193" s="93" t="s">
        <v>60</v>
      </c>
      <c r="F193" s="103">
        <v>13.4</v>
      </c>
      <c r="G193" s="84">
        <v>0.03</v>
      </c>
      <c r="H193" s="96">
        <f>IF(Settings!$D$7=true, 1-G193,1)</f>
        <v>0.97</v>
      </c>
      <c r="I193" s="98" t="s">
        <v>55</v>
      </c>
      <c r="J193" s="97" t="s">
        <v>62</v>
      </c>
      <c r="K193" s="98"/>
      <c r="L193" s="99">
        <f t="shared" si="1"/>
        <v>0.00536</v>
      </c>
      <c r="M193" s="100">
        <f t="shared" si="2"/>
        <v>0.0055208</v>
      </c>
      <c r="N193" s="90"/>
    </row>
    <row r="194">
      <c r="A194" s="79"/>
      <c r="B194" s="79"/>
      <c r="C194" s="101" t="s">
        <v>284</v>
      </c>
      <c r="D194" s="102">
        <v>60.0</v>
      </c>
      <c r="E194" s="93" t="s">
        <v>57</v>
      </c>
      <c r="F194" s="103">
        <v>93.88</v>
      </c>
      <c r="G194" s="84">
        <v>0.2</v>
      </c>
      <c r="H194" s="96">
        <f>IF(Settings!$D$7=true, 1-G194,1)</f>
        <v>0.8</v>
      </c>
      <c r="I194" s="98" t="s">
        <v>55</v>
      </c>
      <c r="J194" s="97" t="s">
        <v>56</v>
      </c>
      <c r="K194" s="98"/>
      <c r="L194" s="99">
        <f t="shared" si="1"/>
        <v>1.564666667</v>
      </c>
      <c r="M194" s="100">
        <f t="shared" si="2"/>
        <v>1.8776</v>
      </c>
      <c r="N194" s="90"/>
    </row>
    <row r="195">
      <c r="A195" s="79"/>
      <c r="B195" s="79"/>
      <c r="C195" s="101" t="s">
        <v>285</v>
      </c>
      <c r="D195" s="102">
        <v>3550.0</v>
      </c>
      <c r="E195" s="93" t="s">
        <v>60</v>
      </c>
      <c r="F195" s="103">
        <v>11.99</v>
      </c>
      <c r="G195" s="84">
        <v>0.07</v>
      </c>
      <c r="H195" s="96">
        <f>IF(Settings!$D$7=true, 1-G195,1)</f>
        <v>0.93</v>
      </c>
      <c r="I195" s="98" t="s">
        <v>55</v>
      </c>
      <c r="J195" s="97" t="s">
        <v>62</v>
      </c>
      <c r="K195" s="98"/>
      <c r="L195" s="99">
        <f t="shared" si="1"/>
        <v>0.003377464789</v>
      </c>
      <c r="M195" s="100">
        <f t="shared" si="2"/>
        <v>0.003613887324</v>
      </c>
      <c r="N195" s="90"/>
    </row>
    <row r="196">
      <c r="A196" s="104"/>
      <c r="B196" s="104"/>
      <c r="C196" s="101" t="s">
        <v>286</v>
      </c>
      <c r="D196" s="102">
        <v>1.0</v>
      </c>
      <c r="E196" s="93" t="s">
        <v>57</v>
      </c>
      <c r="F196" s="103">
        <v>4.3</v>
      </c>
      <c r="G196" s="84">
        <v>0.24</v>
      </c>
      <c r="H196" s="96">
        <f>IF(Settings!$D$7=true, 1-G196,1)</f>
        <v>0.76</v>
      </c>
      <c r="I196" s="97" t="s">
        <v>58</v>
      </c>
      <c r="J196" s="97" t="s">
        <v>65</v>
      </c>
      <c r="K196" s="98"/>
      <c r="L196" s="99">
        <f t="shared" si="1"/>
        <v>4.3</v>
      </c>
      <c r="M196" s="100">
        <f t="shared" si="2"/>
        <v>5.332</v>
      </c>
      <c r="N196" s="90"/>
    </row>
    <row r="197">
      <c r="A197" s="79"/>
      <c r="B197" s="79"/>
      <c r="C197" s="101" t="s">
        <v>287</v>
      </c>
      <c r="D197" s="102">
        <v>40.0</v>
      </c>
      <c r="E197" s="93" t="s">
        <v>57</v>
      </c>
      <c r="F197" s="103">
        <v>65.87</v>
      </c>
      <c r="G197" s="84">
        <v>0.04</v>
      </c>
      <c r="H197" s="96">
        <f>IF(Settings!$D$7=true, 1-G197,1)</f>
        <v>0.96</v>
      </c>
      <c r="I197" s="98" t="s">
        <v>55</v>
      </c>
      <c r="J197" s="97" t="s">
        <v>56</v>
      </c>
      <c r="K197" s="98"/>
      <c r="L197" s="99">
        <f t="shared" si="1"/>
        <v>1.64675</v>
      </c>
      <c r="M197" s="100">
        <f t="shared" si="2"/>
        <v>1.71262</v>
      </c>
      <c r="N197" s="90"/>
    </row>
    <row r="198">
      <c r="A198" s="79"/>
      <c r="B198" s="79"/>
      <c r="C198" s="101" t="s">
        <v>288</v>
      </c>
      <c r="D198" s="102">
        <v>12500.0</v>
      </c>
      <c r="E198" s="93" t="s">
        <v>60</v>
      </c>
      <c r="F198" s="103">
        <v>18.53</v>
      </c>
      <c r="G198" s="84">
        <v>0.26</v>
      </c>
      <c r="H198" s="96">
        <f>IF(Settings!$D$7=true, 1-G198,1)</f>
        <v>0.74</v>
      </c>
      <c r="I198" s="98" t="s">
        <v>55</v>
      </c>
      <c r="J198" s="97" t="s">
        <v>62</v>
      </c>
      <c r="K198" s="98"/>
      <c r="L198" s="99">
        <f t="shared" si="1"/>
        <v>0.0014824</v>
      </c>
      <c r="M198" s="100">
        <f t="shared" si="2"/>
        <v>0.001867824</v>
      </c>
      <c r="N198" s="90"/>
    </row>
    <row r="199">
      <c r="A199" s="104"/>
      <c r="B199" s="104"/>
      <c r="C199" s="101" t="s">
        <v>289</v>
      </c>
      <c r="D199" s="102">
        <v>250.0</v>
      </c>
      <c r="E199" s="93" t="s">
        <v>69</v>
      </c>
      <c r="F199" s="103">
        <v>2.5</v>
      </c>
      <c r="G199" s="84">
        <v>0.27</v>
      </c>
      <c r="H199" s="96">
        <f>IF(Settings!$D$7=true, 1-G199,1)</f>
        <v>0.73</v>
      </c>
      <c r="I199" s="97" t="s">
        <v>67</v>
      </c>
      <c r="J199" s="97" t="s">
        <v>59</v>
      </c>
      <c r="K199" s="98"/>
      <c r="L199" s="99">
        <f t="shared" si="1"/>
        <v>0.01</v>
      </c>
      <c r="M199" s="100">
        <f t="shared" si="2"/>
        <v>0.0127</v>
      </c>
      <c r="N199" s="90"/>
    </row>
    <row r="200">
      <c r="A200" s="104"/>
      <c r="B200" s="104"/>
      <c r="C200" s="101" t="s">
        <v>290</v>
      </c>
      <c r="D200" s="102">
        <v>1000.0</v>
      </c>
      <c r="E200" s="93" t="s">
        <v>60</v>
      </c>
      <c r="F200" s="103">
        <v>17.9</v>
      </c>
      <c r="G200" s="84">
        <v>0.19</v>
      </c>
      <c r="H200" s="96">
        <f>IF(Settings!$D$7=true, 1-G200,1)</f>
        <v>0.81</v>
      </c>
      <c r="I200" s="97" t="s">
        <v>61</v>
      </c>
      <c r="J200" s="97" t="s">
        <v>71</v>
      </c>
      <c r="K200" s="98"/>
      <c r="L200" s="99">
        <f t="shared" si="1"/>
        <v>0.0179</v>
      </c>
      <c r="M200" s="100">
        <f t="shared" si="2"/>
        <v>0.021301</v>
      </c>
      <c r="N200" s="90"/>
    </row>
    <row r="201">
      <c r="A201" s="104"/>
      <c r="B201" s="104"/>
      <c r="C201" s="101" t="s">
        <v>291</v>
      </c>
      <c r="D201" s="102">
        <v>30.0</v>
      </c>
      <c r="E201" s="93" t="s">
        <v>57</v>
      </c>
      <c r="F201" s="103">
        <v>9.89</v>
      </c>
      <c r="G201" s="84">
        <v>0.36</v>
      </c>
      <c r="H201" s="96">
        <f>IF(Settings!$D$7=true, 1-G201,1)</f>
        <v>0.64</v>
      </c>
      <c r="I201" s="97" t="s">
        <v>67</v>
      </c>
      <c r="J201" s="97" t="s">
        <v>56</v>
      </c>
      <c r="K201" s="98"/>
      <c r="L201" s="99">
        <f t="shared" si="1"/>
        <v>0.3296666667</v>
      </c>
      <c r="M201" s="100">
        <f t="shared" si="2"/>
        <v>0.4483466667</v>
      </c>
      <c r="N201" s="90"/>
    </row>
    <row r="202">
      <c r="A202" s="104"/>
      <c r="B202" s="104"/>
      <c r="C202" s="101" t="s">
        <v>292</v>
      </c>
      <c r="D202" s="102">
        <v>1000.0</v>
      </c>
      <c r="E202" s="93" t="s">
        <v>60</v>
      </c>
      <c r="F202" s="103">
        <v>4.75</v>
      </c>
      <c r="G202" s="84">
        <v>0.21</v>
      </c>
      <c r="H202" s="96">
        <f>IF(Settings!$D$7=true, 1-G202,1)</f>
        <v>0.79</v>
      </c>
      <c r="I202" s="97" t="s">
        <v>61</v>
      </c>
      <c r="J202" s="97" t="s">
        <v>71</v>
      </c>
      <c r="K202" s="98"/>
      <c r="L202" s="99">
        <f t="shared" si="1"/>
        <v>0.00475</v>
      </c>
      <c r="M202" s="100">
        <f t="shared" si="2"/>
        <v>0.0057475</v>
      </c>
      <c r="N202" s="90"/>
    </row>
    <row r="203">
      <c r="A203" s="104"/>
      <c r="B203" s="104"/>
      <c r="C203" s="101" t="s">
        <v>293</v>
      </c>
      <c r="D203" s="108">
        <v>1000.0</v>
      </c>
      <c r="E203" s="109" t="s">
        <v>60</v>
      </c>
      <c r="F203" s="110">
        <v>9.94</v>
      </c>
      <c r="G203" s="84">
        <v>0.33</v>
      </c>
      <c r="H203" s="96">
        <f>IF(Settings!$D$7=true, 1-G203,1)</f>
        <v>0.67</v>
      </c>
      <c r="I203" s="97" t="s">
        <v>61</v>
      </c>
      <c r="J203" s="97" t="s">
        <v>71</v>
      </c>
      <c r="K203" s="98"/>
      <c r="L203" s="99">
        <f t="shared" si="1"/>
        <v>0.00994</v>
      </c>
      <c r="M203" s="100">
        <f t="shared" si="2"/>
        <v>0.0132202</v>
      </c>
      <c r="N203" s="90"/>
    </row>
    <row r="204">
      <c r="A204" s="104"/>
      <c r="B204" s="104"/>
      <c r="C204" s="101" t="s">
        <v>294</v>
      </c>
      <c r="D204" s="102">
        <v>5000.0</v>
      </c>
      <c r="E204" s="93" t="s">
        <v>60</v>
      </c>
      <c r="F204" s="103">
        <v>7.65</v>
      </c>
      <c r="G204" s="84">
        <v>0.34</v>
      </c>
      <c r="H204" s="96">
        <f>IF(Settings!$D$7=true, 1-G204,1)</f>
        <v>0.66</v>
      </c>
      <c r="I204" s="97" t="s">
        <v>61</v>
      </c>
      <c r="J204" s="97" t="s">
        <v>71</v>
      </c>
      <c r="K204" s="98"/>
      <c r="L204" s="99">
        <f t="shared" si="1"/>
        <v>0.00153</v>
      </c>
      <c r="M204" s="100">
        <f t="shared" si="2"/>
        <v>0.0020502</v>
      </c>
      <c r="N204" s="90"/>
    </row>
    <row r="205">
      <c r="A205" s="79"/>
      <c r="B205" s="79"/>
      <c r="C205" s="101" t="s">
        <v>295</v>
      </c>
      <c r="D205" s="102">
        <v>6000.0</v>
      </c>
      <c r="E205" s="93" t="s">
        <v>60</v>
      </c>
      <c r="F205" s="103">
        <v>112.04</v>
      </c>
      <c r="G205" s="84">
        <v>0.37</v>
      </c>
      <c r="H205" s="96">
        <f>IF(Settings!$D$7=true, 1-G205,1)</f>
        <v>0.63</v>
      </c>
      <c r="I205" s="98" t="s">
        <v>55</v>
      </c>
      <c r="J205" s="97" t="s">
        <v>56</v>
      </c>
      <c r="K205" s="98"/>
      <c r="L205" s="99">
        <f t="shared" si="1"/>
        <v>0.01867333333</v>
      </c>
      <c r="M205" s="100">
        <f t="shared" si="2"/>
        <v>0.02558246667</v>
      </c>
      <c r="N205" s="90"/>
    </row>
    <row r="206">
      <c r="A206" s="104"/>
      <c r="B206" s="104"/>
      <c r="C206" s="101" t="s">
        <v>296</v>
      </c>
      <c r="D206" s="102">
        <v>12000.0</v>
      </c>
      <c r="E206" s="93" t="s">
        <v>60</v>
      </c>
      <c r="F206" s="103">
        <v>71.13</v>
      </c>
      <c r="G206" s="84">
        <v>0.06</v>
      </c>
      <c r="H206" s="96">
        <f>IF(Settings!$D$7=true, 1-G206,1)</f>
        <v>0.94</v>
      </c>
      <c r="I206" s="97" t="s">
        <v>61</v>
      </c>
      <c r="J206" s="97" t="s">
        <v>59</v>
      </c>
      <c r="K206" s="98"/>
      <c r="L206" s="99">
        <f t="shared" si="1"/>
        <v>0.0059275</v>
      </c>
      <c r="M206" s="100">
        <f t="shared" si="2"/>
        <v>0.00628315</v>
      </c>
      <c r="N206" s="90"/>
    </row>
    <row r="207">
      <c r="A207" s="79"/>
      <c r="B207" s="79"/>
      <c r="C207" s="101" t="s">
        <v>297</v>
      </c>
      <c r="D207" s="102">
        <v>1000.0</v>
      </c>
      <c r="E207" s="93" t="s">
        <v>60</v>
      </c>
      <c r="F207" s="103">
        <v>4.73</v>
      </c>
      <c r="G207" s="84">
        <v>0.34</v>
      </c>
      <c r="H207" s="96">
        <f>IF(Settings!$D$7=true, 1-G207,1)</f>
        <v>0.66</v>
      </c>
      <c r="I207" s="98" t="s">
        <v>55</v>
      </c>
      <c r="J207" s="97" t="s">
        <v>62</v>
      </c>
      <c r="K207" s="98"/>
      <c r="L207" s="99">
        <f t="shared" si="1"/>
        <v>0.00473</v>
      </c>
      <c r="M207" s="100">
        <f t="shared" si="2"/>
        <v>0.0063382</v>
      </c>
      <c r="N207" s="90"/>
    </row>
    <row r="208">
      <c r="A208" s="104"/>
      <c r="B208" s="104"/>
      <c r="C208" s="101" t="s">
        <v>298</v>
      </c>
      <c r="D208" s="102">
        <v>20000.0</v>
      </c>
      <c r="E208" s="93" t="s">
        <v>60</v>
      </c>
      <c r="F208" s="103">
        <v>45.0</v>
      </c>
      <c r="G208" s="84">
        <v>0.39</v>
      </c>
      <c r="H208" s="96">
        <f>IF(Settings!$D$7=true, 1-G208,1)</f>
        <v>0.61</v>
      </c>
      <c r="I208" s="97" t="s">
        <v>58</v>
      </c>
      <c r="J208" s="97" t="s">
        <v>65</v>
      </c>
      <c r="K208" s="98"/>
      <c r="L208" s="99">
        <f t="shared" si="1"/>
        <v>0.00225</v>
      </c>
      <c r="M208" s="100">
        <f t="shared" si="2"/>
        <v>0.0031275</v>
      </c>
      <c r="N208" s="90"/>
    </row>
    <row r="209">
      <c r="A209" s="104"/>
      <c r="B209" s="104"/>
      <c r="C209" s="101" t="s">
        <v>299</v>
      </c>
      <c r="D209" s="102">
        <v>20000.0</v>
      </c>
      <c r="E209" s="93" t="s">
        <v>60</v>
      </c>
      <c r="F209" s="103">
        <v>45.0</v>
      </c>
      <c r="G209" s="84">
        <v>0.16</v>
      </c>
      <c r="H209" s="96">
        <f>IF(Settings!$D$7=true, 1-G209,1)</f>
        <v>0.84</v>
      </c>
      <c r="I209" s="97" t="s">
        <v>58</v>
      </c>
      <c r="J209" s="97" t="s">
        <v>65</v>
      </c>
      <c r="K209" s="98"/>
      <c r="L209" s="99">
        <f t="shared" si="1"/>
        <v>0.00225</v>
      </c>
      <c r="M209" s="100">
        <f t="shared" si="2"/>
        <v>0.00261</v>
      </c>
      <c r="N209" s="90"/>
    </row>
    <row r="210">
      <c r="A210" s="79"/>
      <c r="B210" s="79"/>
      <c r="C210" s="101" t="s">
        <v>300</v>
      </c>
      <c r="D210" s="102">
        <v>1000.0</v>
      </c>
      <c r="E210" s="93" t="s">
        <v>60</v>
      </c>
      <c r="F210" s="103">
        <v>30.77</v>
      </c>
      <c r="G210" s="84">
        <v>0.38</v>
      </c>
      <c r="H210" s="96">
        <f>IF(Settings!$D$7=true, 1-G210,1)</f>
        <v>0.62</v>
      </c>
      <c r="I210" s="98" t="s">
        <v>55</v>
      </c>
      <c r="J210" s="97" t="s">
        <v>56</v>
      </c>
      <c r="K210" s="98"/>
      <c r="L210" s="99">
        <f t="shared" si="1"/>
        <v>0.03077</v>
      </c>
      <c r="M210" s="100">
        <f t="shared" si="2"/>
        <v>0.0424626</v>
      </c>
      <c r="N210" s="90"/>
    </row>
    <row r="211">
      <c r="A211" s="79"/>
      <c r="B211" s="79"/>
      <c r="C211" s="101" t="s">
        <v>301</v>
      </c>
      <c r="D211" s="102">
        <v>1000.0</v>
      </c>
      <c r="E211" s="93" t="s">
        <v>60</v>
      </c>
      <c r="F211" s="103">
        <v>29.04</v>
      </c>
      <c r="G211" s="84">
        <v>0.17</v>
      </c>
      <c r="H211" s="96">
        <f>IF(Settings!$D$7=true, 1-G211,1)</f>
        <v>0.83</v>
      </c>
      <c r="I211" s="98" t="s">
        <v>55</v>
      </c>
      <c r="J211" s="97" t="s">
        <v>56</v>
      </c>
      <c r="K211" s="98"/>
      <c r="L211" s="99">
        <f t="shared" si="1"/>
        <v>0.02904</v>
      </c>
      <c r="M211" s="100">
        <f t="shared" si="2"/>
        <v>0.0339768</v>
      </c>
      <c r="N211" s="90"/>
    </row>
    <row r="212">
      <c r="A212" s="79"/>
      <c r="B212" s="79"/>
      <c r="C212" s="101" t="s">
        <v>302</v>
      </c>
      <c r="D212" s="102">
        <v>1000.0</v>
      </c>
      <c r="E212" s="93" t="s">
        <v>60</v>
      </c>
      <c r="F212" s="103">
        <v>31.49</v>
      </c>
      <c r="G212" s="84">
        <v>0.03</v>
      </c>
      <c r="H212" s="96">
        <f>IF(Settings!$D$7=true, 1-G212,1)</f>
        <v>0.97</v>
      </c>
      <c r="I212" s="98" t="s">
        <v>55</v>
      </c>
      <c r="J212" s="97" t="s">
        <v>56</v>
      </c>
      <c r="K212" s="98"/>
      <c r="L212" s="99">
        <f t="shared" si="1"/>
        <v>0.03149</v>
      </c>
      <c r="M212" s="100">
        <f t="shared" si="2"/>
        <v>0.0324347</v>
      </c>
      <c r="N212" s="90"/>
    </row>
    <row r="213">
      <c r="A213" s="79"/>
      <c r="B213" s="79"/>
      <c r="C213" s="101" t="s">
        <v>303</v>
      </c>
      <c r="D213" s="102">
        <v>500.0</v>
      </c>
      <c r="E213" s="93" t="s">
        <v>60</v>
      </c>
      <c r="F213" s="103">
        <v>28.7</v>
      </c>
      <c r="G213" s="84">
        <v>0.1</v>
      </c>
      <c r="H213" s="96">
        <f>IF(Settings!$D$7=true, 1-G213,1)</f>
        <v>0.9</v>
      </c>
      <c r="I213" s="98" t="s">
        <v>55</v>
      </c>
      <c r="J213" s="97" t="s">
        <v>71</v>
      </c>
      <c r="K213" s="98"/>
      <c r="L213" s="99">
        <f t="shared" si="1"/>
        <v>0.0574</v>
      </c>
      <c r="M213" s="100">
        <f t="shared" si="2"/>
        <v>0.06314</v>
      </c>
      <c r="N213" s="90"/>
    </row>
    <row r="214">
      <c r="A214" s="79"/>
      <c r="B214" s="79"/>
      <c r="C214" s="101" t="s">
        <v>304</v>
      </c>
      <c r="D214" s="102">
        <v>10000.0</v>
      </c>
      <c r="E214" s="93" t="s">
        <v>60</v>
      </c>
      <c r="F214" s="103">
        <v>50.63</v>
      </c>
      <c r="G214" s="84">
        <v>0.16</v>
      </c>
      <c r="H214" s="96">
        <f>IF(Settings!$D$7=true, 1-G214,1)</f>
        <v>0.84</v>
      </c>
      <c r="I214" s="98" t="s">
        <v>55</v>
      </c>
      <c r="J214" s="97" t="s">
        <v>56</v>
      </c>
      <c r="K214" s="98"/>
      <c r="L214" s="99">
        <f t="shared" si="1"/>
        <v>0.005063</v>
      </c>
      <c r="M214" s="100">
        <f t="shared" si="2"/>
        <v>0.00587308</v>
      </c>
      <c r="N214" s="90"/>
    </row>
    <row r="215">
      <c r="A215" s="104"/>
      <c r="B215" s="104"/>
      <c r="C215" s="101" t="s">
        <v>305</v>
      </c>
      <c r="D215" s="102">
        <v>1000.0</v>
      </c>
      <c r="E215" s="93" t="s">
        <v>60</v>
      </c>
      <c r="F215" s="103">
        <v>3.0</v>
      </c>
      <c r="G215" s="84">
        <v>0.13</v>
      </c>
      <c r="H215" s="96">
        <f>IF(Settings!$D$7=true, 1-G215,1)</f>
        <v>0.87</v>
      </c>
      <c r="I215" s="97" t="s">
        <v>58</v>
      </c>
      <c r="J215" s="97" t="s">
        <v>65</v>
      </c>
      <c r="K215" s="98"/>
      <c r="L215" s="99">
        <f t="shared" si="1"/>
        <v>0.003</v>
      </c>
      <c r="M215" s="100">
        <f t="shared" si="2"/>
        <v>0.00339</v>
      </c>
      <c r="N215" s="90"/>
    </row>
    <row r="216">
      <c r="A216" s="79"/>
      <c r="B216" s="79"/>
      <c r="C216" s="101" t="s">
        <v>306</v>
      </c>
      <c r="D216" s="102">
        <v>72.0</v>
      </c>
      <c r="E216" s="93" t="s">
        <v>57</v>
      </c>
      <c r="F216" s="103">
        <v>64.29</v>
      </c>
      <c r="G216" s="84">
        <v>0.02</v>
      </c>
      <c r="H216" s="96">
        <f>IF(Settings!$D$7=true, 1-G216,1)</f>
        <v>0.98</v>
      </c>
      <c r="I216" s="98" t="s">
        <v>55</v>
      </c>
      <c r="J216" s="97" t="s">
        <v>56</v>
      </c>
      <c r="K216" s="98"/>
      <c r="L216" s="99">
        <f t="shared" si="1"/>
        <v>0.8929166667</v>
      </c>
      <c r="M216" s="100">
        <f t="shared" si="2"/>
        <v>0.910775</v>
      </c>
      <c r="N216" s="90"/>
    </row>
    <row r="217">
      <c r="A217" s="79"/>
      <c r="B217" s="79"/>
      <c r="C217" s="101" t="s">
        <v>307</v>
      </c>
      <c r="D217" s="102">
        <v>100.0</v>
      </c>
      <c r="E217" s="93" t="s">
        <v>60</v>
      </c>
      <c r="F217" s="103">
        <v>5.3</v>
      </c>
      <c r="G217" s="84">
        <v>0.16</v>
      </c>
      <c r="H217" s="96">
        <f>IF(Settings!$D$7=true, 1-G217,1)</f>
        <v>0.84</v>
      </c>
      <c r="I217" s="98" t="s">
        <v>55</v>
      </c>
      <c r="J217" s="97" t="s">
        <v>62</v>
      </c>
      <c r="K217" s="98"/>
      <c r="L217" s="99">
        <f t="shared" si="1"/>
        <v>0.053</v>
      </c>
      <c r="M217" s="100">
        <f t="shared" si="2"/>
        <v>0.06148</v>
      </c>
      <c r="N217" s="90"/>
    </row>
    <row r="218">
      <c r="A218" s="79"/>
      <c r="B218" s="79"/>
      <c r="C218" s="101" t="s">
        <v>308</v>
      </c>
      <c r="D218" s="102">
        <v>1500.0</v>
      </c>
      <c r="E218" s="93" t="s">
        <v>60</v>
      </c>
      <c r="F218" s="103">
        <v>12.74</v>
      </c>
      <c r="G218" s="84">
        <v>0.38</v>
      </c>
      <c r="H218" s="96">
        <f>IF(Settings!$D$7=true, 1-G218,1)</f>
        <v>0.62</v>
      </c>
      <c r="I218" s="98" t="s">
        <v>55</v>
      </c>
      <c r="J218" s="97" t="s">
        <v>62</v>
      </c>
      <c r="K218" s="98"/>
      <c r="L218" s="99">
        <f t="shared" si="1"/>
        <v>0.008493333333</v>
      </c>
      <c r="M218" s="100">
        <f t="shared" si="2"/>
        <v>0.0117208</v>
      </c>
      <c r="N218" s="90"/>
    </row>
    <row r="219">
      <c r="A219" s="79"/>
      <c r="B219" s="79"/>
      <c r="C219" s="101" t="s">
        <v>309</v>
      </c>
      <c r="D219" s="102">
        <v>1000.0</v>
      </c>
      <c r="E219" s="93" t="s">
        <v>60</v>
      </c>
      <c r="F219" s="103">
        <v>6.83</v>
      </c>
      <c r="G219" s="84">
        <v>0.29</v>
      </c>
      <c r="H219" s="96">
        <f>IF(Settings!$D$7=true, 1-G219,1)</f>
        <v>0.71</v>
      </c>
      <c r="I219" s="98" t="s">
        <v>55</v>
      </c>
      <c r="J219" s="97" t="s">
        <v>62</v>
      </c>
      <c r="K219" s="98"/>
      <c r="L219" s="99">
        <f t="shared" si="1"/>
        <v>0.00683</v>
      </c>
      <c r="M219" s="100">
        <f t="shared" si="2"/>
        <v>0.0088107</v>
      </c>
      <c r="N219" s="90"/>
    </row>
    <row r="220">
      <c r="A220" s="79"/>
      <c r="B220" s="79"/>
      <c r="C220" s="101" t="s">
        <v>310</v>
      </c>
      <c r="D220" s="102">
        <v>15000.0</v>
      </c>
      <c r="E220" s="93" t="s">
        <v>69</v>
      </c>
      <c r="F220" s="103">
        <v>36.87</v>
      </c>
      <c r="G220" s="84">
        <v>0.36</v>
      </c>
      <c r="H220" s="96">
        <f>IF(Settings!$D$7=true, 1-G220,1)</f>
        <v>0.64</v>
      </c>
      <c r="I220" s="98" t="s">
        <v>55</v>
      </c>
      <c r="J220" s="97" t="s">
        <v>62</v>
      </c>
      <c r="K220" s="98"/>
      <c r="L220" s="99">
        <f t="shared" si="1"/>
        <v>0.002458</v>
      </c>
      <c r="M220" s="100">
        <f t="shared" si="2"/>
        <v>0.00334288</v>
      </c>
      <c r="N220" s="90"/>
    </row>
    <row r="221">
      <c r="A221" s="79"/>
      <c r="B221" s="79"/>
      <c r="C221" s="101" t="s">
        <v>311</v>
      </c>
      <c r="D221" s="102">
        <v>2000.0</v>
      </c>
      <c r="E221" s="93" t="s">
        <v>69</v>
      </c>
      <c r="F221" s="103">
        <v>6.0</v>
      </c>
      <c r="G221" s="84">
        <v>0.03</v>
      </c>
      <c r="H221" s="96">
        <f>IF(Settings!$D$7=true, 1-G221,1)</f>
        <v>0.97</v>
      </c>
      <c r="I221" s="98" t="s">
        <v>55</v>
      </c>
      <c r="J221" s="97" t="s">
        <v>62</v>
      </c>
      <c r="K221" s="98"/>
      <c r="L221" s="99">
        <f t="shared" si="1"/>
        <v>0.003</v>
      </c>
      <c r="M221" s="100">
        <f t="shared" si="2"/>
        <v>0.00309</v>
      </c>
      <c r="N221" s="90"/>
    </row>
    <row r="222">
      <c r="A222" s="104"/>
      <c r="B222" s="104"/>
      <c r="C222" s="101" t="s">
        <v>312</v>
      </c>
      <c r="D222" s="102">
        <v>10.0</v>
      </c>
      <c r="E222" s="93" t="s">
        <v>57</v>
      </c>
      <c r="F222" s="103">
        <v>39.87</v>
      </c>
      <c r="G222" s="84">
        <v>0.39</v>
      </c>
      <c r="H222" s="96">
        <f>IF(Settings!$D$7=true, 1-G222,1)</f>
        <v>0.61</v>
      </c>
      <c r="I222" s="97" t="s">
        <v>61</v>
      </c>
      <c r="J222" s="97" t="s">
        <v>71</v>
      </c>
      <c r="K222" s="98"/>
      <c r="L222" s="99">
        <f t="shared" si="1"/>
        <v>3.987</v>
      </c>
      <c r="M222" s="100">
        <f t="shared" si="2"/>
        <v>5.54193</v>
      </c>
      <c r="N222" s="90"/>
    </row>
    <row r="223">
      <c r="A223" s="104"/>
      <c r="B223" s="104"/>
      <c r="C223" s="101" t="s">
        <v>313</v>
      </c>
      <c r="D223" s="92">
        <v>1200.0</v>
      </c>
      <c r="E223" s="93" t="s">
        <v>60</v>
      </c>
      <c r="F223" s="103">
        <v>44.08</v>
      </c>
      <c r="G223" s="84">
        <v>0.02</v>
      </c>
      <c r="H223" s="96">
        <f>IF(Settings!$D$7=true, 1-G223,1)</f>
        <v>0.98</v>
      </c>
      <c r="I223" s="97" t="s">
        <v>61</v>
      </c>
      <c r="J223" s="97" t="s">
        <v>71</v>
      </c>
      <c r="K223" s="98"/>
      <c r="L223" s="99">
        <f t="shared" si="1"/>
        <v>0.03673333333</v>
      </c>
      <c r="M223" s="100">
        <f t="shared" si="2"/>
        <v>0.037468</v>
      </c>
      <c r="N223" s="90"/>
    </row>
    <row r="224">
      <c r="A224" s="79"/>
      <c r="B224" s="79"/>
      <c r="C224" s="101" t="s">
        <v>314</v>
      </c>
      <c r="D224" s="102">
        <v>10000.0</v>
      </c>
      <c r="E224" s="93" t="s">
        <v>60</v>
      </c>
      <c r="F224" s="103">
        <v>57.47</v>
      </c>
      <c r="G224" s="84">
        <v>0.0</v>
      </c>
      <c r="H224" s="96">
        <f>IF(Settings!$D$7=true, 1-G224,1)</f>
        <v>1</v>
      </c>
      <c r="I224" s="98" t="s">
        <v>55</v>
      </c>
      <c r="J224" s="97" t="s">
        <v>62</v>
      </c>
      <c r="K224" s="98"/>
      <c r="L224" s="99">
        <f t="shared" si="1"/>
        <v>0.005747</v>
      </c>
      <c r="M224" s="100">
        <f t="shared" si="2"/>
        <v>0.005747</v>
      </c>
      <c r="N224" s="90"/>
    </row>
    <row r="225">
      <c r="A225" s="79"/>
      <c r="B225" s="79"/>
      <c r="C225" s="101" t="s">
        <v>315</v>
      </c>
      <c r="D225" s="102">
        <v>630.0</v>
      </c>
      <c r="E225" s="93" t="s">
        <v>69</v>
      </c>
      <c r="F225" s="103">
        <v>2.42</v>
      </c>
      <c r="G225" s="84">
        <v>0.04</v>
      </c>
      <c r="H225" s="96">
        <f>IF(Settings!$D$7=true, 1-G225,1)</f>
        <v>0.96</v>
      </c>
      <c r="I225" s="98" t="s">
        <v>55</v>
      </c>
      <c r="J225" s="97" t="s">
        <v>62</v>
      </c>
      <c r="K225" s="98"/>
      <c r="L225" s="99">
        <f t="shared" si="1"/>
        <v>0.003841269841</v>
      </c>
      <c r="M225" s="100">
        <f t="shared" si="2"/>
        <v>0.003994920635</v>
      </c>
      <c r="N225" s="90"/>
    </row>
    <row r="226">
      <c r="A226" s="79"/>
      <c r="B226" s="79"/>
      <c r="C226" s="91" t="s">
        <v>316</v>
      </c>
      <c r="D226" s="102">
        <v>2500.0</v>
      </c>
      <c r="E226" s="93" t="s">
        <v>60</v>
      </c>
      <c r="F226" s="94">
        <v>36.81</v>
      </c>
      <c r="G226" s="84">
        <v>0.22</v>
      </c>
      <c r="H226" s="96">
        <f>IF(Settings!$D$7=true, 1-G226,1)</f>
        <v>0.78</v>
      </c>
      <c r="I226" s="98" t="s">
        <v>55</v>
      </c>
      <c r="J226" s="97" t="s">
        <v>71</v>
      </c>
      <c r="K226" s="98"/>
      <c r="L226" s="99">
        <f t="shared" si="1"/>
        <v>0.014724</v>
      </c>
      <c r="M226" s="100">
        <f t="shared" si="2"/>
        <v>0.01796328</v>
      </c>
      <c r="N226" s="90"/>
    </row>
    <row r="227">
      <c r="A227" s="79"/>
      <c r="B227" s="79"/>
      <c r="C227" s="101" t="s">
        <v>317</v>
      </c>
      <c r="D227" s="102">
        <v>10000.0</v>
      </c>
      <c r="E227" s="93" t="s">
        <v>60</v>
      </c>
      <c r="F227" s="103">
        <v>6.55</v>
      </c>
      <c r="G227" s="84">
        <v>0.39</v>
      </c>
      <c r="H227" s="96">
        <f>IF(Settings!$D$7=true, 1-G227,1)</f>
        <v>0.61</v>
      </c>
      <c r="I227" s="98" t="s">
        <v>55</v>
      </c>
      <c r="J227" s="97" t="s">
        <v>62</v>
      </c>
      <c r="K227" s="98"/>
      <c r="L227" s="99">
        <f t="shared" si="1"/>
        <v>0.000655</v>
      </c>
      <c r="M227" s="100">
        <f t="shared" si="2"/>
        <v>0.00091045</v>
      </c>
      <c r="N227" s="90"/>
    </row>
    <row r="228">
      <c r="A228" s="104"/>
      <c r="B228" s="104"/>
      <c r="C228" s="101" t="s">
        <v>318</v>
      </c>
      <c r="D228" s="102">
        <v>4500.0</v>
      </c>
      <c r="E228" s="93" t="s">
        <v>60</v>
      </c>
      <c r="F228" s="103">
        <v>33.0</v>
      </c>
      <c r="G228" s="84">
        <v>0.14</v>
      </c>
      <c r="H228" s="96">
        <f>IF(Settings!$D$7=true, 1-G228,1)</f>
        <v>0.86</v>
      </c>
      <c r="I228" s="97" t="s">
        <v>58</v>
      </c>
      <c r="J228" s="97" t="s">
        <v>65</v>
      </c>
      <c r="K228" s="98"/>
      <c r="L228" s="99">
        <f t="shared" si="1"/>
        <v>0.007333333333</v>
      </c>
      <c r="M228" s="100">
        <f t="shared" si="2"/>
        <v>0.00836</v>
      </c>
      <c r="N228" s="90"/>
    </row>
    <row r="229">
      <c r="A229" s="104"/>
      <c r="B229" s="104"/>
      <c r="C229" s="101" t="s">
        <v>319</v>
      </c>
      <c r="D229" s="102">
        <v>1000.0</v>
      </c>
      <c r="E229" s="93" t="s">
        <v>60</v>
      </c>
      <c r="F229" s="103">
        <v>2.6</v>
      </c>
      <c r="G229" s="84">
        <v>0.17</v>
      </c>
      <c r="H229" s="96">
        <f>IF(Settings!$D$7=true, 1-G229,1)</f>
        <v>0.83</v>
      </c>
      <c r="I229" s="97" t="s">
        <v>58</v>
      </c>
      <c r="J229" s="97" t="s">
        <v>65</v>
      </c>
      <c r="K229" s="98"/>
      <c r="L229" s="99">
        <f t="shared" si="1"/>
        <v>0.0026</v>
      </c>
      <c r="M229" s="100">
        <f t="shared" si="2"/>
        <v>0.003042</v>
      </c>
      <c r="N229" s="90"/>
    </row>
    <row r="230">
      <c r="A230" s="104"/>
      <c r="B230" s="104"/>
      <c r="C230" s="101" t="s">
        <v>320</v>
      </c>
      <c r="D230" s="102">
        <v>1000.0</v>
      </c>
      <c r="E230" s="93" t="s">
        <v>60</v>
      </c>
      <c r="F230" s="103">
        <v>22.99</v>
      </c>
      <c r="G230" s="84">
        <v>0.12</v>
      </c>
      <c r="H230" s="96">
        <f>IF(Settings!$D$7=true, 1-G230,1)</f>
        <v>0.88</v>
      </c>
      <c r="I230" s="97" t="s">
        <v>76</v>
      </c>
      <c r="J230" s="97" t="s">
        <v>71</v>
      </c>
      <c r="K230" s="98"/>
      <c r="L230" s="99">
        <f t="shared" si="1"/>
        <v>0.02299</v>
      </c>
      <c r="M230" s="100">
        <f t="shared" si="2"/>
        <v>0.0257488</v>
      </c>
      <c r="N230" s="90"/>
    </row>
    <row r="231">
      <c r="A231" s="104"/>
      <c r="B231" s="104"/>
      <c r="C231" s="101" t="s">
        <v>321</v>
      </c>
      <c r="D231" s="102">
        <v>500.0</v>
      </c>
      <c r="E231" s="93" t="s">
        <v>60</v>
      </c>
      <c r="F231" s="103">
        <v>9.59</v>
      </c>
      <c r="G231" s="84">
        <v>0.29</v>
      </c>
      <c r="H231" s="96">
        <f>IF(Settings!$D$7=true, 1-G231,1)</f>
        <v>0.71</v>
      </c>
      <c r="I231" s="97" t="s">
        <v>58</v>
      </c>
      <c r="J231" s="97" t="s">
        <v>65</v>
      </c>
      <c r="K231" s="98"/>
      <c r="L231" s="99">
        <f t="shared" si="1"/>
        <v>0.01918</v>
      </c>
      <c r="M231" s="100">
        <f t="shared" si="2"/>
        <v>0.0247422</v>
      </c>
      <c r="N231" s="90"/>
    </row>
    <row r="232">
      <c r="A232" s="104"/>
      <c r="B232" s="104"/>
      <c r="C232" s="101" t="s">
        <v>322</v>
      </c>
      <c r="D232" s="102">
        <v>4.0</v>
      </c>
      <c r="E232" s="93" t="s">
        <v>57</v>
      </c>
      <c r="F232" s="103">
        <v>23.21</v>
      </c>
      <c r="G232" s="84">
        <v>0.1</v>
      </c>
      <c r="H232" s="96">
        <f>IF(Settings!$D$7=true, 1-G232,1)</f>
        <v>0.9</v>
      </c>
      <c r="I232" s="97" t="s">
        <v>61</v>
      </c>
      <c r="J232" s="97" t="s">
        <v>71</v>
      </c>
      <c r="K232" s="98"/>
      <c r="L232" s="99">
        <f t="shared" si="1"/>
        <v>5.8025</v>
      </c>
      <c r="M232" s="100">
        <f t="shared" si="2"/>
        <v>6.38275</v>
      </c>
      <c r="N232" s="90"/>
    </row>
    <row r="233">
      <c r="A233" s="104"/>
      <c r="B233" s="104"/>
      <c r="C233" s="101" t="s">
        <v>323</v>
      </c>
      <c r="D233" s="102">
        <v>4.0</v>
      </c>
      <c r="E233" s="93" t="s">
        <v>57</v>
      </c>
      <c r="F233" s="103">
        <v>37.14</v>
      </c>
      <c r="G233" s="84">
        <v>0.28</v>
      </c>
      <c r="H233" s="96">
        <f>IF(Settings!$D$7=true, 1-G233,1)</f>
        <v>0.72</v>
      </c>
      <c r="I233" s="97" t="s">
        <v>61</v>
      </c>
      <c r="J233" s="97" t="s">
        <v>71</v>
      </c>
      <c r="K233" s="98"/>
      <c r="L233" s="99">
        <f t="shared" si="1"/>
        <v>9.285</v>
      </c>
      <c r="M233" s="100">
        <f t="shared" si="2"/>
        <v>11.8848</v>
      </c>
      <c r="N233" s="90"/>
    </row>
    <row r="234">
      <c r="A234" s="104"/>
      <c r="B234" s="104"/>
      <c r="C234" s="101" t="s">
        <v>324</v>
      </c>
      <c r="D234" s="102">
        <v>1500.0</v>
      </c>
      <c r="E234" s="93" t="s">
        <v>60</v>
      </c>
      <c r="F234" s="103">
        <v>18.25</v>
      </c>
      <c r="G234" s="84">
        <v>0.18</v>
      </c>
      <c r="H234" s="96">
        <f>IF(Settings!$D$7=true, 1-G234,1)</f>
        <v>0.82</v>
      </c>
      <c r="I234" s="97" t="s">
        <v>58</v>
      </c>
      <c r="J234" s="97" t="s">
        <v>65</v>
      </c>
      <c r="K234" s="98"/>
      <c r="L234" s="99">
        <f t="shared" si="1"/>
        <v>0.01216666667</v>
      </c>
      <c r="M234" s="100">
        <f t="shared" si="2"/>
        <v>0.01435666667</v>
      </c>
      <c r="N234" s="90"/>
    </row>
    <row r="235">
      <c r="A235" s="79"/>
      <c r="B235" s="79"/>
      <c r="C235" s="101" t="s">
        <v>325</v>
      </c>
      <c r="D235" s="102">
        <v>1000.0</v>
      </c>
      <c r="E235" s="93" t="s">
        <v>60</v>
      </c>
      <c r="F235" s="103">
        <v>19.75</v>
      </c>
      <c r="G235" s="84">
        <v>0.3</v>
      </c>
      <c r="H235" s="96">
        <f>IF(Settings!$D$7=true, 1-G235,1)</f>
        <v>0.7</v>
      </c>
      <c r="I235" s="98" t="s">
        <v>55</v>
      </c>
      <c r="J235" s="97" t="s">
        <v>71</v>
      </c>
      <c r="K235" s="98"/>
      <c r="L235" s="99">
        <f t="shared" si="1"/>
        <v>0.01975</v>
      </c>
      <c r="M235" s="100">
        <f t="shared" si="2"/>
        <v>0.025675</v>
      </c>
      <c r="N235" s="90"/>
    </row>
    <row r="236">
      <c r="A236" s="79"/>
      <c r="B236" s="79"/>
      <c r="C236" s="101" t="s">
        <v>326</v>
      </c>
      <c r="D236" s="102">
        <v>5000.0</v>
      </c>
      <c r="E236" s="93" t="s">
        <v>60</v>
      </c>
      <c r="F236" s="103">
        <v>142.39</v>
      </c>
      <c r="G236" s="84">
        <v>0.04</v>
      </c>
      <c r="H236" s="96">
        <f>IF(Settings!$D$7=true, 1-G236,1)</f>
        <v>0.96</v>
      </c>
      <c r="I236" s="98" t="s">
        <v>55</v>
      </c>
      <c r="J236" s="97" t="s">
        <v>56</v>
      </c>
      <c r="K236" s="98"/>
      <c r="L236" s="99">
        <f t="shared" si="1"/>
        <v>0.028478</v>
      </c>
      <c r="M236" s="100">
        <f t="shared" si="2"/>
        <v>0.02961712</v>
      </c>
      <c r="N236" s="90"/>
    </row>
    <row r="237">
      <c r="A237" s="79"/>
      <c r="B237" s="79"/>
      <c r="C237" s="101" t="s">
        <v>327</v>
      </c>
      <c r="D237" s="102">
        <v>14000.0</v>
      </c>
      <c r="E237" s="93" t="s">
        <v>60</v>
      </c>
      <c r="F237" s="103">
        <v>14.68</v>
      </c>
      <c r="G237" s="84">
        <v>0.33</v>
      </c>
      <c r="H237" s="96">
        <f>IF(Settings!$D$7=true, 1-G237,1)</f>
        <v>0.67</v>
      </c>
      <c r="I237" s="98" t="s">
        <v>55</v>
      </c>
      <c r="J237" s="97" t="s">
        <v>62</v>
      </c>
      <c r="K237" s="98"/>
      <c r="L237" s="99">
        <f t="shared" si="1"/>
        <v>0.001048571429</v>
      </c>
      <c r="M237" s="100">
        <f t="shared" si="2"/>
        <v>0.0013946</v>
      </c>
      <c r="N237" s="90"/>
    </row>
    <row r="238">
      <c r="A238" s="79"/>
      <c r="B238" s="79"/>
      <c r="C238" s="101" t="s">
        <v>328</v>
      </c>
      <c r="D238" s="102">
        <v>96.0</v>
      </c>
      <c r="E238" s="93" t="s">
        <v>57</v>
      </c>
      <c r="F238" s="103">
        <v>10.7</v>
      </c>
      <c r="G238" s="84">
        <v>0.38</v>
      </c>
      <c r="H238" s="96">
        <f>IF(Settings!$D$7=true, 1-G238,1)</f>
        <v>0.62</v>
      </c>
      <c r="I238" s="98" t="s">
        <v>55</v>
      </c>
      <c r="J238" s="97" t="s">
        <v>56</v>
      </c>
      <c r="K238" s="98"/>
      <c r="L238" s="99">
        <f t="shared" si="1"/>
        <v>0.1114583333</v>
      </c>
      <c r="M238" s="100">
        <f t="shared" si="2"/>
        <v>0.1538125</v>
      </c>
      <c r="N238" s="90"/>
    </row>
    <row r="239">
      <c r="A239" s="79"/>
      <c r="B239" s="79"/>
      <c r="C239" s="101" t="s">
        <v>329</v>
      </c>
      <c r="D239" s="108">
        <v>2500.0</v>
      </c>
      <c r="E239" s="109" t="s">
        <v>60</v>
      </c>
      <c r="F239" s="110">
        <v>14.43</v>
      </c>
      <c r="G239" s="84">
        <v>0.36</v>
      </c>
      <c r="H239" s="96">
        <f>IF(Settings!$D$7=true, 1-G239,1)</f>
        <v>0.64</v>
      </c>
      <c r="I239" s="98" t="s">
        <v>55</v>
      </c>
      <c r="J239" s="97" t="s">
        <v>62</v>
      </c>
      <c r="K239" s="98"/>
      <c r="L239" s="99">
        <f t="shared" si="1"/>
        <v>0.005772</v>
      </c>
      <c r="M239" s="100">
        <f t="shared" si="2"/>
        <v>0.00784992</v>
      </c>
      <c r="N239" s="90"/>
    </row>
    <row r="240">
      <c r="A240" s="104"/>
      <c r="B240" s="104"/>
      <c r="C240" s="101" t="s">
        <v>330</v>
      </c>
      <c r="D240" s="102">
        <v>1000.0</v>
      </c>
      <c r="E240" s="93" t="s">
        <v>60</v>
      </c>
      <c r="F240" s="103">
        <v>9.5</v>
      </c>
      <c r="G240" s="84">
        <v>0.31</v>
      </c>
      <c r="H240" s="96">
        <f>IF(Settings!$D$7=true, 1-G240,1)</f>
        <v>0.69</v>
      </c>
      <c r="I240" s="97" t="s">
        <v>61</v>
      </c>
      <c r="J240" s="97" t="s">
        <v>71</v>
      </c>
      <c r="K240" s="98"/>
      <c r="L240" s="99">
        <f t="shared" si="1"/>
        <v>0.0095</v>
      </c>
      <c r="M240" s="100">
        <f t="shared" si="2"/>
        <v>0.012445</v>
      </c>
      <c r="N240" s="90"/>
    </row>
    <row r="241">
      <c r="A241" s="79"/>
      <c r="B241" s="79"/>
      <c r="C241" s="101" t="s">
        <v>331</v>
      </c>
      <c r="D241" s="102">
        <v>72.0</v>
      </c>
      <c r="E241" s="93" t="s">
        <v>57</v>
      </c>
      <c r="F241" s="103">
        <v>38.67</v>
      </c>
      <c r="G241" s="84">
        <v>0.1</v>
      </c>
      <c r="H241" s="96">
        <f>IF(Settings!$D$7=true, 1-G241,1)</f>
        <v>0.9</v>
      </c>
      <c r="I241" s="98" t="s">
        <v>55</v>
      </c>
      <c r="J241" s="97" t="s">
        <v>56</v>
      </c>
      <c r="K241" s="98"/>
      <c r="L241" s="99">
        <f t="shared" si="1"/>
        <v>0.5370833333</v>
      </c>
      <c r="M241" s="100">
        <f t="shared" si="2"/>
        <v>0.5907916667</v>
      </c>
      <c r="N241" s="90"/>
    </row>
    <row r="242">
      <c r="A242" s="79"/>
      <c r="B242" s="79"/>
      <c r="C242" s="101" t="s">
        <v>332</v>
      </c>
      <c r="D242" s="102">
        <v>2500.0</v>
      </c>
      <c r="E242" s="93" t="s">
        <v>60</v>
      </c>
      <c r="F242" s="103">
        <v>19.27</v>
      </c>
      <c r="G242" s="84">
        <v>0.08</v>
      </c>
      <c r="H242" s="96">
        <f>IF(Settings!$D$7=true, 1-G242,1)</f>
        <v>0.92</v>
      </c>
      <c r="I242" s="98" t="s">
        <v>55</v>
      </c>
      <c r="J242" s="97" t="s">
        <v>62</v>
      </c>
      <c r="K242" s="98"/>
      <c r="L242" s="99">
        <f t="shared" si="1"/>
        <v>0.007708</v>
      </c>
      <c r="M242" s="100">
        <f t="shared" si="2"/>
        <v>0.00832464</v>
      </c>
      <c r="N242" s="90"/>
    </row>
    <row r="243">
      <c r="A243" s="79"/>
      <c r="B243" s="79"/>
      <c r="C243" s="101" t="s">
        <v>333</v>
      </c>
      <c r="D243" s="102">
        <v>12500.0</v>
      </c>
      <c r="E243" s="93" t="s">
        <v>60</v>
      </c>
      <c r="F243" s="103">
        <v>20.75</v>
      </c>
      <c r="G243" s="84">
        <v>0.04</v>
      </c>
      <c r="H243" s="96">
        <f>IF(Settings!$D$7=true, 1-G243,1)</f>
        <v>0.96</v>
      </c>
      <c r="I243" s="98" t="s">
        <v>55</v>
      </c>
      <c r="J243" s="97" t="s">
        <v>62</v>
      </c>
      <c r="K243" s="98"/>
      <c r="L243" s="99">
        <f t="shared" si="1"/>
        <v>0.00166</v>
      </c>
      <c r="M243" s="100">
        <f t="shared" si="2"/>
        <v>0.0017264</v>
      </c>
      <c r="N243" s="90"/>
    </row>
    <row r="244">
      <c r="A244" s="79"/>
      <c r="B244" s="79"/>
      <c r="C244" s="101" t="s">
        <v>334</v>
      </c>
      <c r="D244" s="102">
        <v>2000.0</v>
      </c>
      <c r="E244" s="93" t="s">
        <v>69</v>
      </c>
      <c r="F244" s="103">
        <v>32.42</v>
      </c>
      <c r="G244" s="84">
        <v>0.02</v>
      </c>
      <c r="H244" s="96">
        <f>IF(Settings!$D$7=true, 1-G244,1)</f>
        <v>0.98</v>
      </c>
      <c r="I244" s="98" t="s">
        <v>55</v>
      </c>
      <c r="J244" s="97" t="s">
        <v>62</v>
      </c>
      <c r="K244" s="98"/>
      <c r="L244" s="99">
        <f t="shared" si="1"/>
        <v>0.01621</v>
      </c>
      <c r="M244" s="100">
        <f t="shared" si="2"/>
        <v>0.0165342</v>
      </c>
      <c r="N244" s="90"/>
    </row>
    <row r="245">
      <c r="A245" s="79"/>
      <c r="B245" s="79"/>
      <c r="C245" s="101" t="s">
        <v>335</v>
      </c>
      <c r="D245" s="102">
        <v>1000.0</v>
      </c>
      <c r="E245" s="93" t="s">
        <v>60</v>
      </c>
      <c r="F245" s="103">
        <v>9.67</v>
      </c>
      <c r="G245" s="84">
        <v>0.01</v>
      </c>
      <c r="H245" s="96">
        <f>IF(Settings!$D$7=true, 1-G245,1)</f>
        <v>0.99</v>
      </c>
      <c r="I245" s="98" t="s">
        <v>55</v>
      </c>
      <c r="J245" s="97" t="s">
        <v>62</v>
      </c>
      <c r="K245" s="98"/>
      <c r="L245" s="99">
        <f t="shared" si="1"/>
        <v>0.00967</v>
      </c>
      <c r="M245" s="100">
        <f t="shared" si="2"/>
        <v>0.0097667</v>
      </c>
      <c r="N245" s="90"/>
    </row>
    <row r="246">
      <c r="A246" s="104"/>
      <c r="B246" s="104"/>
      <c r="C246" s="101" t="s">
        <v>336</v>
      </c>
      <c r="D246" s="102">
        <v>400.0</v>
      </c>
      <c r="E246" s="93" t="s">
        <v>60</v>
      </c>
      <c r="F246" s="103">
        <v>2.5</v>
      </c>
      <c r="G246" s="84">
        <v>0.3</v>
      </c>
      <c r="H246" s="96">
        <f>IF(Settings!$D$7=true, 1-G246,1)</f>
        <v>0.7</v>
      </c>
      <c r="I246" s="97" t="s">
        <v>58</v>
      </c>
      <c r="J246" s="97" t="s">
        <v>65</v>
      </c>
      <c r="K246" s="98"/>
      <c r="L246" s="99">
        <f t="shared" si="1"/>
        <v>0.00625</v>
      </c>
      <c r="M246" s="100">
        <f t="shared" si="2"/>
        <v>0.008125</v>
      </c>
      <c r="N246" s="90"/>
    </row>
    <row r="247">
      <c r="A247" s="79"/>
      <c r="B247" s="79"/>
      <c r="C247" s="101" t="s">
        <v>337</v>
      </c>
      <c r="D247" s="102">
        <v>1000.0</v>
      </c>
      <c r="E247" s="93" t="s">
        <v>60</v>
      </c>
      <c r="F247" s="103">
        <v>28.53</v>
      </c>
      <c r="G247" s="84">
        <v>0.09</v>
      </c>
      <c r="H247" s="96">
        <f>IF(Settings!$D$7=true, 1-G247,1)</f>
        <v>0.91</v>
      </c>
      <c r="I247" s="98" t="s">
        <v>55</v>
      </c>
      <c r="J247" s="97" t="s">
        <v>59</v>
      </c>
      <c r="K247" s="98"/>
      <c r="L247" s="99">
        <f t="shared" si="1"/>
        <v>0.02853</v>
      </c>
      <c r="M247" s="100">
        <f t="shared" si="2"/>
        <v>0.0310977</v>
      </c>
      <c r="N247" s="90"/>
    </row>
    <row r="248">
      <c r="A248" s="79"/>
      <c r="B248" s="79"/>
      <c r="C248" s="101" t="s">
        <v>338</v>
      </c>
      <c r="D248" s="102">
        <v>2000.0</v>
      </c>
      <c r="E248" s="93" t="s">
        <v>60</v>
      </c>
      <c r="F248" s="103">
        <v>24.33</v>
      </c>
      <c r="G248" s="84">
        <v>0.23</v>
      </c>
      <c r="H248" s="96">
        <f>IF(Settings!$D$7=true, 1-G248,1)</f>
        <v>0.77</v>
      </c>
      <c r="I248" s="98" t="s">
        <v>55</v>
      </c>
      <c r="J248" s="97" t="s">
        <v>59</v>
      </c>
      <c r="K248" s="98"/>
      <c r="L248" s="99">
        <f t="shared" si="1"/>
        <v>0.012165</v>
      </c>
      <c r="M248" s="100">
        <f t="shared" si="2"/>
        <v>0.01496295</v>
      </c>
      <c r="N248" s="90"/>
    </row>
    <row r="249">
      <c r="A249" s="79"/>
      <c r="B249" s="79"/>
      <c r="C249" s="101" t="s">
        <v>339</v>
      </c>
      <c r="D249" s="102">
        <v>1000.0</v>
      </c>
      <c r="E249" s="93" t="s">
        <v>60</v>
      </c>
      <c r="F249" s="103">
        <v>23.02</v>
      </c>
      <c r="G249" s="84">
        <v>0.18</v>
      </c>
      <c r="H249" s="96">
        <f>IF(Settings!$D$7=true, 1-G249,1)</f>
        <v>0.82</v>
      </c>
      <c r="I249" s="98" t="s">
        <v>55</v>
      </c>
      <c r="J249" s="97" t="s">
        <v>59</v>
      </c>
      <c r="K249" s="98"/>
      <c r="L249" s="99">
        <f t="shared" si="1"/>
        <v>0.02302</v>
      </c>
      <c r="M249" s="100">
        <f t="shared" si="2"/>
        <v>0.0271636</v>
      </c>
      <c r="N249" s="90"/>
    </row>
    <row r="250">
      <c r="A250" s="79"/>
      <c r="B250" s="79"/>
      <c r="C250" s="101" t="s">
        <v>340</v>
      </c>
      <c r="D250" s="102">
        <v>2000.0</v>
      </c>
      <c r="E250" s="93" t="s">
        <v>60</v>
      </c>
      <c r="F250" s="103">
        <v>21.44</v>
      </c>
      <c r="G250" s="84">
        <v>0.37</v>
      </c>
      <c r="H250" s="96">
        <f>IF(Settings!$D$7=true, 1-G250,1)</f>
        <v>0.63</v>
      </c>
      <c r="I250" s="98" t="s">
        <v>55</v>
      </c>
      <c r="J250" s="97" t="s">
        <v>59</v>
      </c>
      <c r="K250" s="98"/>
      <c r="L250" s="99">
        <f t="shared" si="1"/>
        <v>0.01072</v>
      </c>
      <c r="M250" s="100">
        <f t="shared" si="2"/>
        <v>0.0146864</v>
      </c>
      <c r="N250" s="90"/>
    </row>
    <row r="251">
      <c r="A251" s="104"/>
      <c r="B251" s="104"/>
      <c r="C251" s="101" t="s">
        <v>341</v>
      </c>
      <c r="D251" s="102">
        <v>250.0</v>
      </c>
      <c r="E251" s="93" t="s">
        <v>57</v>
      </c>
      <c r="F251" s="103">
        <v>7.66</v>
      </c>
      <c r="G251" s="84">
        <v>0.12</v>
      </c>
      <c r="H251" s="96">
        <f>IF(Settings!$D$7=true, 1-G251,1)</f>
        <v>0.88</v>
      </c>
      <c r="I251" s="97" t="s">
        <v>78</v>
      </c>
      <c r="J251" s="97" t="s">
        <v>62</v>
      </c>
      <c r="K251" s="98"/>
      <c r="L251" s="99">
        <f t="shared" si="1"/>
        <v>0.03064</v>
      </c>
      <c r="M251" s="100">
        <f t="shared" si="2"/>
        <v>0.0343168</v>
      </c>
      <c r="N251" s="90"/>
    </row>
    <row r="252">
      <c r="A252" s="79"/>
      <c r="B252" s="79"/>
      <c r="C252" s="101" t="s">
        <v>342</v>
      </c>
      <c r="D252" s="102">
        <v>50.0</v>
      </c>
      <c r="E252" s="93" t="s">
        <v>57</v>
      </c>
      <c r="F252" s="94">
        <v>22.45</v>
      </c>
      <c r="G252" s="84">
        <v>0.15</v>
      </c>
      <c r="H252" s="96">
        <f>IF(Settings!$D$7=true, 1-G252,1)</f>
        <v>0.85</v>
      </c>
      <c r="I252" s="98" t="s">
        <v>55</v>
      </c>
      <c r="J252" s="97" t="s">
        <v>59</v>
      </c>
      <c r="K252" s="98"/>
      <c r="L252" s="99">
        <f t="shared" si="1"/>
        <v>0.449</v>
      </c>
      <c r="M252" s="100">
        <f t="shared" si="2"/>
        <v>0.51635</v>
      </c>
      <c r="N252" s="90"/>
    </row>
    <row r="253">
      <c r="A253" s="79"/>
      <c r="B253" s="79"/>
      <c r="C253" s="101" t="s">
        <v>343</v>
      </c>
      <c r="D253" s="102">
        <v>1000.0</v>
      </c>
      <c r="E253" s="93" t="s">
        <v>60</v>
      </c>
      <c r="F253" s="103">
        <v>11.44</v>
      </c>
      <c r="G253" s="84">
        <v>0.06</v>
      </c>
      <c r="H253" s="96">
        <f>IF(Settings!$D$7=true, 1-G253,1)</f>
        <v>0.94</v>
      </c>
      <c r="I253" s="98" t="s">
        <v>55</v>
      </c>
      <c r="J253" s="97" t="s">
        <v>71</v>
      </c>
      <c r="K253" s="98"/>
      <c r="L253" s="99">
        <f t="shared" si="1"/>
        <v>0.01144</v>
      </c>
      <c r="M253" s="100">
        <f t="shared" si="2"/>
        <v>0.0121264</v>
      </c>
      <c r="N253" s="90"/>
    </row>
    <row r="254">
      <c r="A254" s="79"/>
      <c r="B254" s="79"/>
      <c r="C254" s="101" t="s">
        <v>344</v>
      </c>
      <c r="D254" s="102">
        <v>946.0</v>
      </c>
      <c r="E254" s="93" t="s">
        <v>69</v>
      </c>
      <c r="F254" s="103">
        <v>7.34</v>
      </c>
      <c r="G254" s="84">
        <v>0.06</v>
      </c>
      <c r="H254" s="96">
        <f>IF(Settings!$D$7=true, 1-G254,1)</f>
        <v>0.94</v>
      </c>
      <c r="I254" s="98" t="s">
        <v>55</v>
      </c>
      <c r="J254" s="97" t="s">
        <v>62</v>
      </c>
      <c r="K254" s="98"/>
      <c r="L254" s="99">
        <f t="shared" si="1"/>
        <v>0.007758985201</v>
      </c>
      <c r="M254" s="100">
        <f t="shared" si="2"/>
        <v>0.008224524313</v>
      </c>
      <c r="N254" s="90"/>
    </row>
    <row r="255">
      <c r="A255" s="104"/>
      <c r="B255" s="104"/>
      <c r="C255" s="111" t="s">
        <v>345</v>
      </c>
      <c r="D255" s="102">
        <v>1000.0</v>
      </c>
      <c r="E255" s="93" t="s">
        <v>60</v>
      </c>
      <c r="F255" s="103">
        <v>32.0</v>
      </c>
      <c r="G255" s="84">
        <v>0.24</v>
      </c>
      <c r="H255" s="96">
        <f>IF(Settings!$D$7=true, 1-G255,1)</f>
        <v>0.76</v>
      </c>
      <c r="I255" s="97" t="s">
        <v>58</v>
      </c>
      <c r="J255" s="97" t="s">
        <v>65</v>
      </c>
      <c r="K255" s="112"/>
      <c r="L255" s="99">
        <f t="shared" si="1"/>
        <v>0.032</v>
      </c>
      <c r="M255" s="100">
        <f t="shared" si="2"/>
        <v>0.03968</v>
      </c>
      <c r="N255" s="90"/>
    </row>
    <row r="256">
      <c r="A256" s="79"/>
      <c r="B256" s="79"/>
      <c r="C256" s="101" t="s">
        <v>346</v>
      </c>
      <c r="D256" s="102">
        <v>5000.0</v>
      </c>
      <c r="E256" s="93" t="s">
        <v>69</v>
      </c>
      <c r="F256" s="103">
        <v>39.6</v>
      </c>
      <c r="G256" s="84">
        <v>0.29</v>
      </c>
      <c r="H256" s="96">
        <f>IF(Settings!$D$7=true, 1-G256,1)</f>
        <v>0.71</v>
      </c>
      <c r="I256" s="98" t="s">
        <v>55</v>
      </c>
      <c r="J256" s="97" t="s">
        <v>59</v>
      </c>
      <c r="K256" s="98"/>
      <c r="L256" s="99">
        <f t="shared" si="1"/>
        <v>0.00792</v>
      </c>
      <c r="M256" s="100">
        <f t="shared" si="2"/>
        <v>0.0102168</v>
      </c>
      <c r="N256" s="90"/>
    </row>
    <row r="257">
      <c r="A257" s="79"/>
      <c r="B257" s="79"/>
      <c r="C257" s="101" t="s">
        <v>347</v>
      </c>
      <c r="D257" s="102">
        <v>9600.0</v>
      </c>
      <c r="E257" s="93" t="s">
        <v>60</v>
      </c>
      <c r="F257" s="103">
        <v>44.85</v>
      </c>
      <c r="G257" s="84">
        <v>0.18</v>
      </c>
      <c r="H257" s="96">
        <f>IF(Settings!$D$7=true, 1-G257,1)</f>
        <v>0.82</v>
      </c>
      <c r="I257" s="98" t="s">
        <v>55</v>
      </c>
      <c r="J257" s="97" t="s">
        <v>56</v>
      </c>
      <c r="K257" s="98"/>
      <c r="L257" s="99">
        <f t="shared" si="1"/>
        <v>0.004671875</v>
      </c>
      <c r="M257" s="100">
        <f t="shared" si="2"/>
        <v>0.0055128125</v>
      </c>
      <c r="N257" s="90"/>
    </row>
    <row r="258">
      <c r="A258" s="79"/>
      <c r="B258" s="79"/>
      <c r="C258" s="101" t="s">
        <v>348</v>
      </c>
      <c r="D258" s="102">
        <v>1600.0</v>
      </c>
      <c r="E258" s="93" t="s">
        <v>69</v>
      </c>
      <c r="F258" s="103">
        <v>11.32</v>
      </c>
      <c r="G258" s="84">
        <v>0.18</v>
      </c>
      <c r="H258" s="96">
        <f>IF(Settings!$D$7=true, 1-G258,1)</f>
        <v>0.82</v>
      </c>
      <c r="I258" s="98" t="s">
        <v>55</v>
      </c>
      <c r="J258" s="97" t="s">
        <v>62</v>
      </c>
      <c r="K258" s="98"/>
      <c r="L258" s="99">
        <f t="shared" si="1"/>
        <v>0.007075</v>
      </c>
      <c r="M258" s="100">
        <f t="shared" si="2"/>
        <v>0.0083485</v>
      </c>
      <c r="N258" s="90"/>
    </row>
    <row r="259">
      <c r="A259" s="79"/>
      <c r="B259" s="79"/>
      <c r="C259" s="101" t="s">
        <v>349</v>
      </c>
      <c r="D259" s="102">
        <v>5000.0</v>
      </c>
      <c r="E259" s="93" t="s">
        <v>60</v>
      </c>
      <c r="F259" s="103">
        <v>10.57</v>
      </c>
      <c r="G259" s="84">
        <v>0.3</v>
      </c>
      <c r="H259" s="96">
        <f>IF(Settings!$D$7=true, 1-G259,1)</f>
        <v>0.7</v>
      </c>
      <c r="I259" s="98" t="s">
        <v>55</v>
      </c>
      <c r="J259" s="97" t="s">
        <v>62</v>
      </c>
      <c r="K259" s="98"/>
      <c r="L259" s="99">
        <f t="shared" si="1"/>
        <v>0.002114</v>
      </c>
      <c r="M259" s="100">
        <f t="shared" si="2"/>
        <v>0.0027482</v>
      </c>
      <c r="N259" s="90"/>
    </row>
    <row r="260">
      <c r="A260" s="104"/>
      <c r="B260" s="104"/>
      <c r="C260" s="101" t="s">
        <v>350</v>
      </c>
      <c r="D260" s="102">
        <v>1000.0</v>
      </c>
      <c r="E260" s="93" t="s">
        <v>60</v>
      </c>
      <c r="F260" s="103">
        <v>28.0</v>
      </c>
      <c r="G260" s="84">
        <v>0.25</v>
      </c>
      <c r="H260" s="96">
        <f>IF(Settings!$D$7=true, 1-G260,1)</f>
        <v>0.75</v>
      </c>
      <c r="I260" s="97" t="s">
        <v>58</v>
      </c>
      <c r="J260" s="97" t="s">
        <v>65</v>
      </c>
      <c r="K260" s="98"/>
      <c r="L260" s="99">
        <f t="shared" si="1"/>
        <v>0.028</v>
      </c>
      <c r="M260" s="100">
        <f t="shared" si="2"/>
        <v>0.035</v>
      </c>
      <c r="N260" s="90"/>
    </row>
    <row r="261">
      <c r="A261" s="79"/>
      <c r="B261" s="79"/>
      <c r="C261" s="101" t="s">
        <v>351</v>
      </c>
      <c r="D261" s="102">
        <v>96.0</v>
      </c>
      <c r="E261" s="93" t="s">
        <v>57</v>
      </c>
      <c r="F261" s="103">
        <v>10.7</v>
      </c>
      <c r="G261" s="84">
        <v>0.01</v>
      </c>
      <c r="H261" s="96">
        <f>IF(Settings!$D$7=true, 1-G261,1)</f>
        <v>0.99</v>
      </c>
      <c r="I261" s="98" t="s">
        <v>55</v>
      </c>
      <c r="J261" s="97" t="s">
        <v>56</v>
      </c>
      <c r="K261" s="98"/>
      <c r="L261" s="99">
        <f t="shared" si="1"/>
        <v>0.1114583333</v>
      </c>
      <c r="M261" s="100">
        <f t="shared" si="2"/>
        <v>0.1125729167</v>
      </c>
      <c r="N261" s="90"/>
    </row>
    <row r="262">
      <c r="A262" s="79"/>
      <c r="B262" s="79"/>
      <c r="C262" s="101" t="s">
        <v>352</v>
      </c>
      <c r="D262" s="102">
        <v>5000.0</v>
      </c>
      <c r="E262" s="93" t="s">
        <v>60</v>
      </c>
      <c r="F262" s="103">
        <v>45.67</v>
      </c>
      <c r="G262" s="84">
        <v>0.34</v>
      </c>
      <c r="H262" s="96">
        <f>IF(Settings!$D$7=true, 1-G262,1)</f>
        <v>0.66</v>
      </c>
      <c r="I262" s="98" t="s">
        <v>55</v>
      </c>
      <c r="J262" s="97" t="s">
        <v>56</v>
      </c>
      <c r="K262" s="98"/>
      <c r="L262" s="99">
        <f t="shared" si="1"/>
        <v>0.009134</v>
      </c>
      <c r="M262" s="100">
        <f t="shared" si="2"/>
        <v>0.01223956</v>
      </c>
      <c r="N262" s="90"/>
    </row>
    <row r="263">
      <c r="A263" s="79"/>
      <c r="B263" s="79"/>
      <c r="C263" s="101" t="s">
        <v>353</v>
      </c>
      <c r="D263" s="102">
        <v>740.0</v>
      </c>
      <c r="E263" s="93" t="s">
        <v>69</v>
      </c>
      <c r="F263" s="103">
        <v>6.45</v>
      </c>
      <c r="G263" s="84">
        <v>0.29</v>
      </c>
      <c r="H263" s="96">
        <f>IF(Settings!$D$7=true, 1-G263,1)</f>
        <v>0.71</v>
      </c>
      <c r="I263" s="98" t="s">
        <v>55</v>
      </c>
      <c r="J263" s="97" t="s">
        <v>62</v>
      </c>
      <c r="K263" s="98"/>
      <c r="L263" s="99">
        <f t="shared" si="1"/>
        <v>0.008716216216</v>
      </c>
      <c r="M263" s="100">
        <f t="shared" si="2"/>
        <v>0.01124391892</v>
      </c>
      <c r="N263" s="90"/>
    </row>
    <row r="264">
      <c r="A264" s="79"/>
      <c r="B264" s="79"/>
      <c r="C264" s="101" t="s">
        <v>354</v>
      </c>
      <c r="D264" s="102">
        <v>400.0</v>
      </c>
      <c r="E264" s="93" t="s">
        <v>60</v>
      </c>
      <c r="F264" s="103">
        <v>13.75</v>
      </c>
      <c r="G264" s="84">
        <v>0.26</v>
      </c>
      <c r="H264" s="96">
        <f>IF(Settings!$D$7=true, 1-G264,1)</f>
        <v>0.74</v>
      </c>
      <c r="I264" s="98" t="s">
        <v>55</v>
      </c>
      <c r="J264" s="97" t="s">
        <v>62</v>
      </c>
      <c r="K264" s="98"/>
      <c r="L264" s="99">
        <f t="shared" si="1"/>
        <v>0.034375</v>
      </c>
      <c r="M264" s="100">
        <f t="shared" si="2"/>
        <v>0.0433125</v>
      </c>
      <c r="N264" s="90"/>
    </row>
    <row r="265">
      <c r="A265" s="104"/>
      <c r="B265" s="104"/>
      <c r="C265" s="101" t="s">
        <v>355</v>
      </c>
      <c r="D265" s="102">
        <v>1.0</v>
      </c>
      <c r="E265" s="93" t="s">
        <v>57</v>
      </c>
      <c r="F265" s="103">
        <v>0.92</v>
      </c>
      <c r="G265" s="84">
        <v>0.06</v>
      </c>
      <c r="H265" s="96">
        <f>IF(Settings!$D$7=true, 1-G265,1)</f>
        <v>0.94</v>
      </c>
      <c r="I265" s="97" t="s">
        <v>58</v>
      </c>
      <c r="J265" s="97" t="s">
        <v>65</v>
      </c>
      <c r="K265" s="98"/>
      <c r="L265" s="99">
        <f t="shared" si="1"/>
        <v>0.92</v>
      </c>
      <c r="M265" s="100">
        <f t="shared" si="2"/>
        <v>0.9752</v>
      </c>
      <c r="N265" s="90"/>
    </row>
    <row r="266">
      <c r="A266" s="79"/>
      <c r="B266" s="79"/>
      <c r="C266" s="101" t="s">
        <v>356</v>
      </c>
      <c r="D266" s="102">
        <v>16.0</v>
      </c>
      <c r="E266" s="93" t="s">
        <v>57</v>
      </c>
      <c r="F266" s="103">
        <v>41.01</v>
      </c>
      <c r="G266" s="84">
        <v>0.08</v>
      </c>
      <c r="H266" s="96">
        <f>IF(Settings!$D$7=true, 1-G266,1)</f>
        <v>0.92</v>
      </c>
      <c r="I266" s="98" t="s">
        <v>55</v>
      </c>
      <c r="J266" s="97" t="s">
        <v>56</v>
      </c>
      <c r="K266" s="98"/>
      <c r="L266" s="99">
        <f t="shared" si="1"/>
        <v>2.563125</v>
      </c>
      <c r="M266" s="100">
        <f t="shared" si="2"/>
        <v>2.768175</v>
      </c>
      <c r="N266" s="90"/>
    </row>
    <row r="267">
      <c r="A267" s="104"/>
      <c r="B267" s="104"/>
      <c r="C267" s="101" t="s">
        <v>357</v>
      </c>
      <c r="D267" s="102">
        <v>10.0</v>
      </c>
      <c r="E267" s="93" t="s">
        <v>57</v>
      </c>
      <c r="F267" s="103">
        <v>8.6</v>
      </c>
      <c r="G267" s="84">
        <v>0.4</v>
      </c>
      <c r="H267" s="96">
        <f>IF(Settings!$D$7=true, 1-G267,1)</f>
        <v>0.6</v>
      </c>
      <c r="I267" s="97" t="s">
        <v>58</v>
      </c>
      <c r="J267" s="97" t="s">
        <v>65</v>
      </c>
      <c r="K267" s="98"/>
      <c r="L267" s="99">
        <f t="shared" si="1"/>
        <v>0.86</v>
      </c>
      <c r="M267" s="100">
        <f t="shared" si="2"/>
        <v>1.204</v>
      </c>
      <c r="N267" s="90"/>
    </row>
    <row r="268">
      <c r="A268" s="79"/>
      <c r="B268" s="79"/>
      <c r="C268" s="101" t="s">
        <v>358</v>
      </c>
      <c r="D268" s="102">
        <v>1000.0</v>
      </c>
      <c r="E268" s="93" t="s">
        <v>60</v>
      </c>
      <c r="F268" s="103">
        <v>4.75</v>
      </c>
      <c r="G268" s="84">
        <v>0.04</v>
      </c>
      <c r="H268" s="96">
        <f>IF(Settings!$D$7=true, 1-G268,1)</f>
        <v>0.96</v>
      </c>
      <c r="I268" s="98" t="s">
        <v>55</v>
      </c>
      <c r="J268" s="97" t="s">
        <v>56</v>
      </c>
      <c r="K268" s="98"/>
      <c r="L268" s="99">
        <f t="shared" si="1"/>
        <v>0.00475</v>
      </c>
      <c r="M268" s="100">
        <f t="shared" si="2"/>
        <v>0.00494</v>
      </c>
      <c r="N268" s="90"/>
    </row>
    <row r="269">
      <c r="A269" s="79"/>
      <c r="B269" s="79"/>
      <c r="C269" s="101" t="s">
        <v>359</v>
      </c>
      <c r="D269" s="102">
        <v>3000.0</v>
      </c>
      <c r="E269" s="93" t="s">
        <v>69</v>
      </c>
      <c r="F269" s="103">
        <v>9.24</v>
      </c>
      <c r="G269" s="84">
        <v>0.01</v>
      </c>
      <c r="H269" s="96">
        <f>IF(Settings!$D$7=true, 1-G269,1)</f>
        <v>0.99</v>
      </c>
      <c r="I269" s="98" t="s">
        <v>55</v>
      </c>
      <c r="J269" s="97" t="s">
        <v>62</v>
      </c>
      <c r="K269" s="98"/>
      <c r="L269" s="99">
        <f t="shared" si="1"/>
        <v>0.00308</v>
      </c>
      <c r="M269" s="100">
        <f t="shared" si="2"/>
        <v>0.0031108</v>
      </c>
      <c r="N269" s="90"/>
    </row>
    <row r="270">
      <c r="A270" s="104"/>
      <c r="B270" s="104"/>
      <c r="C270" s="101" t="s">
        <v>360</v>
      </c>
      <c r="D270" s="102">
        <v>120.0</v>
      </c>
      <c r="E270" s="93" t="s">
        <v>60</v>
      </c>
      <c r="F270" s="103">
        <v>3.19</v>
      </c>
      <c r="G270" s="84">
        <v>0.13</v>
      </c>
      <c r="H270" s="96">
        <f>IF(Settings!$D$7=true, 1-G270,1)</f>
        <v>0.87</v>
      </c>
      <c r="I270" s="97" t="s">
        <v>67</v>
      </c>
      <c r="J270" s="97" t="s">
        <v>59</v>
      </c>
      <c r="K270" s="98"/>
      <c r="L270" s="99">
        <f t="shared" si="1"/>
        <v>0.02658333333</v>
      </c>
      <c r="M270" s="100">
        <f t="shared" si="2"/>
        <v>0.03003916667</v>
      </c>
      <c r="N270" s="90"/>
    </row>
    <row r="271">
      <c r="A271" s="79"/>
      <c r="B271" s="79"/>
      <c r="C271" s="101" t="s">
        <v>361</v>
      </c>
      <c r="D271" s="102">
        <v>500.0</v>
      </c>
      <c r="E271" s="93" t="s">
        <v>60</v>
      </c>
      <c r="F271" s="103">
        <v>9.67</v>
      </c>
      <c r="G271" s="84">
        <v>0.09</v>
      </c>
      <c r="H271" s="96">
        <f>IF(Settings!$D$7=true, 1-G271,1)</f>
        <v>0.91</v>
      </c>
      <c r="I271" s="98" t="s">
        <v>55</v>
      </c>
      <c r="J271" s="97" t="s">
        <v>62</v>
      </c>
      <c r="K271" s="98"/>
      <c r="L271" s="99">
        <f t="shared" si="1"/>
        <v>0.01934</v>
      </c>
      <c r="M271" s="100">
        <f t="shared" si="2"/>
        <v>0.0210806</v>
      </c>
      <c r="N271" s="90"/>
    </row>
    <row r="272">
      <c r="A272" s="79"/>
      <c r="B272" s="79"/>
      <c r="C272" s="101" t="s">
        <v>362</v>
      </c>
      <c r="D272" s="102">
        <v>2000.0</v>
      </c>
      <c r="E272" s="93" t="s">
        <v>60</v>
      </c>
      <c r="F272" s="103">
        <v>33.03</v>
      </c>
      <c r="G272" s="84">
        <v>0.23</v>
      </c>
      <c r="H272" s="96">
        <f>IF(Settings!$D$7=true, 1-G272,1)</f>
        <v>0.77</v>
      </c>
      <c r="I272" s="98" t="s">
        <v>55</v>
      </c>
      <c r="J272" s="97" t="s">
        <v>62</v>
      </c>
      <c r="K272" s="98"/>
      <c r="L272" s="99">
        <f t="shared" si="1"/>
        <v>0.016515</v>
      </c>
      <c r="M272" s="100">
        <f t="shared" si="2"/>
        <v>0.02031345</v>
      </c>
      <c r="N272" s="90"/>
    </row>
    <row r="273">
      <c r="A273" s="79"/>
      <c r="B273" s="79"/>
      <c r="C273" s="101" t="s">
        <v>363</v>
      </c>
      <c r="D273" s="102">
        <v>4000.0</v>
      </c>
      <c r="E273" s="93" t="s">
        <v>60</v>
      </c>
      <c r="F273" s="103">
        <v>28.53</v>
      </c>
      <c r="G273" s="84">
        <v>0.16</v>
      </c>
      <c r="H273" s="96">
        <f>IF(Settings!$D$7=true, 1-G273,1)</f>
        <v>0.84</v>
      </c>
      <c r="I273" s="98" t="s">
        <v>55</v>
      </c>
      <c r="J273" s="97" t="s">
        <v>62</v>
      </c>
      <c r="K273" s="98"/>
      <c r="L273" s="99">
        <f t="shared" si="1"/>
        <v>0.0071325</v>
      </c>
      <c r="M273" s="100">
        <f t="shared" si="2"/>
        <v>0.0082737</v>
      </c>
      <c r="N273" s="90"/>
    </row>
    <row r="274">
      <c r="A274" s="79"/>
      <c r="B274" s="79"/>
      <c r="C274" s="101" t="s">
        <v>364</v>
      </c>
      <c r="D274" s="102">
        <v>500.0</v>
      </c>
      <c r="E274" s="93" t="s">
        <v>60</v>
      </c>
      <c r="F274" s="103">
        <v>6.51</v>
      </c>
      <c r="G274" s="84">
        <v>0.15</v>
      </c>
      <c r="H274" s="96">
        <f>IF(Settings!$D$7=true, 1-G274,1)</f>
        <v>0.85</v>
      </c>
      <c r="I274" s="98" t="s">
        <v>55</v>
      </c>
      <c r="J274" s="97" t="s">
        <v>62</v>
      </c>
      <c r="K274" s="98"/>
      <c r="L274" s="99">
        <f t="shared" si="1"/>
        <v>0.01302</v>
      </c>
      <c r="M274" s="100">
        <f t="shared" si="2"/>
        <v>0.014973</v>
      </c>
      <c r="N274" s="90"/>
    </row>
    <row r="275">
      <c r="A275" s="104"/>
      <c r="B275" s="104"/>
      <c r="C275" s="101" t="s">
        <v>365</v>
      </c>
      <c r="D275" s="102">
        <v>1000.0</v>
      </c>
      <c r="E275" s="93" t="s">
        <v>60</v>
      </c>
      <c r="F275" s="103">
        <v>6.6</v>
      </c>
      <c r="G275" s="84">
        <v>0.26</v>
      </c>
      <c r="H275" s="96">
        <f>IF(Settings!$D$7=true, 1-G275,1)</f>
        <v>0.74</v>
      </c>
      <c r="I275" s="97" t="s">
        <v>58</v>
      </c>
      <c r="J275" s="97" t="s">
        <v>65</v>
      </c>
      <c r="K275" s="98"/>
      <c r="L275" s="99">
        <f t="shared" si="1"/>
        <v>0.0066</v>
      </c>
      <c r="M275" s="100">
        <f t="shared" si="2"/>
        <v>0.008316</v>
      </c>
      <c r="N275" s="90"/>
    </row>
    <row r="276">
      <c r="A276" s="79"/>
      <c r="B276" s="79"/>
      <c r="C276" s="101" t="s">
        <v>366</v>
      </c>
      <c r="D276" s="108">
        <v>14000.0</v>
      </c>
      <c r="E276" s="109" t="s">
        <v>60</v>
      </c>
      <c r="F276" s="110">
        <v>14.68</v>
      </c>
      <c r="G276" s="84">
        <v>0.32</v>
      </c>
      <c r="H276" s="96">
        <f>IF(Settings!$D$7=true, 1-G276,1)</f>
        <v>0.68</v>
      </c>
      <c r="I276" s="98" t="s">
        <v>55</v>
      </c>
      <c r="J276" s="97" t="s">
        <v>62</v>
      </c>
      <c r="K276" s="98"/>
      <c r="L276" s="99">
        <f t="shared" si="1"/>
        <v>0.001048571429</v>
      </c>
      <c r="M276" s="100">
        <f t="shared" si="2"/>
        <v>0.001384114286</v>
      </c>
      <c r="N276" s="90"/>
    </row>
    <row r="277">
      <c r="A277" s="79"/>
      <c r="B277" s="79"/>
      <c r="C277" s="111" t="s">
        <v>367</v>
      </c>
      <c r="D277" s="102">
        <v>2550.0</v>
      </c>
      <c r="E277" s="93" t="s">
        <v>60</v>
      </c>
      <c r="F277" s="103">
        <v>22.42</v>
      </c>
      <c r="G277" s="84">
        <v>0.19</v>
      </c>
      <c r="H277" s="96">
        <f>IF(Settings!$D$7=true, 1-G277,1)</f>
        <v>0.81</v>
      </c>
      <c r="I277" s="98" t="s">
        <v>55</v>
      </c>
      <c r="J277" s="97" t="s">
        <v>62</v>
      </c>
      <c r="K277" s="112"/>
      <c r="L277" s="99">
        <f t="shared" si="1"/>
        <v>0.008792156863</v>
      </c>
      <c r="M277" s="100">
        <f t="shared" si="2"/>
        <v>0.01046266667</v>
      </c>
      <c r="N277" s="90"/>
    </row>
    <row r="278">
      <c r="A278" s="79"/>
      <c r="B278" s="79"/>
      <c r="C278" s="101" t="s">
        <v>368</v>
      </c>
      <c r="D278" s="102">
        <v>2550.0</v>
      </c>
      <c r="E278" s="93" t="s">
        <v>69</v>
      </c>
      <c r="F278" s="103">
        <v>22.42</v>
      </c>
      <c r="G278" s="84">
        <v>0.39</v>
      </c>
      <c r="H278" s="96">
        <f>IF(Settings!$D$7=true, 1-G278,1)</f>
        <v>0.61</v>
      </c>
      <c r="I278" s="98" t="s">
        <v>55</v>
      </c>
      <c r="J278" s="97" t="s">
        <v>62</v>
      </c>
      <c r="K278" s="98"/>
      <c r="L278" s="99">
        <f t="shared" si="1"/>
        <v>0.008792156863</v>
      </c>
      <c r="M278" s="100">
        <f t="shared" si="2"/>
        <v>0.01222109804</v>
      </c>
      <c r="N278" s="90"/>
    </row>
    <row r="279">
      <c r="A279" s="79"/>
      <c r="B279" s="79"/>
      <c r="C279" s="101" t="s">
        <v>369</v>
      </c>
      <c r="D279" s="102">
        <v>1000.0</v>
      </c>
      <c r="E279" s="93" t="s">
        <v>60</v>
      </c>
      <c r="F279" s="103">
        <v>34.73</v>
      </c>
      <c r="G279" s="84">
        <v>0.26</v>
      </c>
      <c r="H279" s="96">
        <f>IF(Settings!$D$7=true, 1-G279,1)</f>
        <v>0.74</v>
      </c>
      <c r="I279" s="98" t="s">
        <v>55</v>
      </c>
      <c r="J279" s="97" t="s">
        <v>56</v>
      </c>
      <c r="K279" s="98"/>
      <c r="L279" s="99">
        <f t="shared" si="1"/>
        <v>0.03473</v>
      </c>
      <c r="M279" s="100">
        <f t="shared" si="2"/>
        <v>0.0437598</v>
      </c>
      <c r="N279" s="90"/>
    </row>
    <row r="280">
      <c r="A280" s="79"/>
      <c r="B280" s="79"/>
      <c r="C280" s="101" t="s">
        <v>370</v>
      </c>
      <c r="D280" s="102">
        <v>1000.0</v>
      </c>
      <c r="E280" s="93" t="s">
        <v>60</v>
      </c>
      <c r="F280" s="103">
        <v>25.77</v>
      </c>
      <c r="G280" s="84">
        <v>0.31</v>
      </c>
      <c r="H280" s="96">
        <f>IF(Settings!$D$7=true, 1-G280,1)</f>
        <v>0.69</v>
      </c>
      <c r="I280" s="98" t="s">
        <v>55</v>
      </c>
      <c r="J280" s="97" t="s">
        <v>56</v>
      </c>
      <c r="K280" s="98"/>
      <c r="L280" s="99">
        <f t="shared" si="1"/>
        <v>0.02577</v>
      </c>
      <c r="M280" s="100">
        <f t="shared" si="2"/>
        <v>0.0337587</v>
      </c>
      <c r="N280" s="90"/>
    </row>
    <row r="281">
      <c r="A281" s="79"/>
      <c r="B281" s="79"/>
      <c r="C281" s="101" t="s">
        <v>370</v>
      </c>
      <c r="D281" s="102">
        <v>1000.0</v>
      </c>
      <c r="E281" s="93" t="s">
        <v>60</v>
      </c>
      <c r="F281" s="103">
        <v>24.82</v>
      </c>
      <c r="G281" s="84">
        <v>0.38</v>
      </c>
      <c r="H281" s="96">
        <f>IF(Settings!$D$7=true, 1-G281,1)</f>
        <v>0.62</v>
      </c>
      <c r="I281" s="98" t="s">
        <v>55</v>
      </c>
      <c r="J281" s="97" t="s">
        <v>56</v>
      </c>
      <c r="K281" s="98"/>
      <c r="L281" s="99">
        <f t="shared" si="1"/>
        <v>0.02482</v>
      </c>
      <c r="M281" s="100">
        <f t="shared" si="2"/>
        <v>0.0342516</v>
      </c>
      <c r="N281" s="90"/>
    </row>
    <row r="282">
      <c r="A282" s="79"/>
      <c r="B282" s="79"/>
      <c r="C282" s="91" t="s">
        <v>371</v>
      </c>
      <c r="D282" s="102">
        <v>72.0</v>
      </c>
      <c r="E282" s="93" t="s">
        <v>57</v>
      </c>
      <c r="F282" s="103">
        <v>19.31</v>
      </c>
      <c r="G282" s="84">
        <v>0.34</v>
      </c>
      <c r="H282" s="96">
        <f>IF(Settings!$D$7=true, 1-G282,1)</f>
        <v>0.66</v>
      </c>
      <c r="I282" s="98" t="s">
        <v>55</v>
      </c>
      <c r="J282" s="97" t="s">
        <v>56</v>
      </c>
      <c r="K282" s="98"/>
      <c r="L282" s="99">
        <f t="shared" si="1"/>
        <v>0.2681944444</v>
      </c>
      <c r="M282" s="100">
        <f t="shared" si="2"/>
        <v>0.3593805556</v>
      </c>
      <c r="N282" s="90"/>
    </row>
    <row r="283">
      <c r="A283" s="104"/>
      <c r="B283" s="104"/>
      <c r="C283" s="106" t="s">
        <v>372</v>
      </c>
      <c r="D283" s="102">
        <v>400.0</v>
      </c>
      <c r="E283" s="93" t="s">
        <v>60</v>
      </c>
      <c r="F283" s="103">
        <v>4.2</v>
      </c>
      <c r="G283" s="84">
        <v>0.05</v>
      </c>
      <c r="H283" s="96">
        <f>IF(Settings!$D$7=true, 1-G283,1)</f>
        <v>0.95</v>
      </c>
      <c r="I283" s="97" t="s">
        <v>58</v>
      </c>
      <c r="J283" s="97" t="s">
        <v>65</v>
      </c>
      <c r="K283" s="107"/>
      <c r="L283" s="99">
        <f t="shared" si="1"/>
        <v>0.0105</v>
      </c>
      <c r="M283" s="100">
        <f t="shared" si="2"/>
        <v>0.011025</v>
      </c>
      <c r="N283" s="90"/>
    </row>
    <row r="284">
      <c r="A284" s="104"/>
      <c r="B284" s="104"/>
      <c r="C284" s="106" t="s">
        <v>373</v>
      </c>
      <c r="D284" s="102">
        <v>10000.0</v>
      </c>
      <c r="E284" s="93" t="s">
        <v>60</v>
      </c>
      <c r="F284" s="103">
        <v>46.0</v>
      </c>
      <c r="G284" s="84">
        <v>0.23</v>
      </c>
      <c r="H284" s="96">
        <f>IF(Settings!$D$7=true, 1-G284,1)</f>
        <v>0.77</v>
      </c>
      <c r="I284" s="97" t="s">
        <v>58</v>
      </c>
      <c r="J284" s="97" t="s">
        <v>65</v>
      </c>
      <c r="K284" s="107"/>
      <c r="L284" s="99">
        <f t="shared" si="1"/>
        <v>0.0046</v>
      </c>
      <c r="M284" s="100">
        <f t="shared" si="2"/>
        <v>0.005658</v>
      </c>
      <c r="N284" s="90"/>
    </row>
    <row r="285">
      <c r="A285" s="79"/>
      <c r="B285" s="79"/>
      <c r="C285" s="106" t="s">
        <v>374</v>
      </c>
      <c r="D285" s="102">
        <v>1000.0</v>
      </c>
      <c r="E285" s="93" t="s">
        <v>69</v>
      </c>
      <c r="F285" s="103">
        <v>2.81</v>
      </c>
      <c r="G285" s="84">
        <v>0.24</v>
      </c>
      <c r="H285" s="96">
        <f>IF(Settings!$D$7=true, 1-G285,1)</f>
        <v>0.76</v>
      </c>
      <c r="I285" s="98" t="s">
        <v>55</v>
      </c>
      <c r="J285" s="97" t="s">
        <v>62</v>
      </c>
      <c r="K285" s="107"/>
      <c r="L285" s="99">
        <f t="shared" si="1"/>
        <v>0.00281</v>
      </c>
      <c r="M285" s="100">
        <f t="shared" si="2"/>
        <v>0.0034844</v>
      </c>
      <c r="N285" s="90"/>
    </row>
    <row r="286">
      <c r="A286" s="79"/>
      <c r="B286" s="79"/>
      <c r="C286" s="106" t="s">
        <v>375</v>
      </c>
      <c r="D286" s="102">
        <v>190.0</v>
      </c>
      <c r="E286" s="93" t="s">
        <v>60</v>
      </c>
      <c r="F286" s="103">
        <v>3.8</v>
      </c>
      <c r="G286" s="84">
        <v>0.4</v>
      </c>
      <c r="H286" s="96">
        <f>IF(Settings!$D$7=true, 1-G286,1)</f>
        <v>0.6</v>
      </c>
      <c r="I286" s="98" t="s">
        <v>55</v>
      </c>
      <c r="J286" s="97" t="s">
        <v>59</v>
      </c>
      <c r="K286" s="107"/>
      <c r="L286" s="99">
        <f t="shared" si="1"/>
        <v>0.02</v>
      </c>
      <c r="M286" s="100">
        <f t="shared" si="2"/>
        <v>0.028</v>
      </c>
      <c r="N286" s="90"/>
    </row>
    <row r="287">
      <c r="A287" s="79"/>
      <c r="B287" s="79"/>
      <c r="C287" s="106" t="s">
        <v>376</v>
      </c>
      <c r="D287" s="102">
        <v>4000.0</v>
      </c>
      <c r="E287" s="93" t="s">
        <v>69</v>
      </c>
      <c r="F287" s="103">
        <v>14.63</v>
      </c>
      <c r="G287" s="84">
        <v>0.16</v>
      </c>
      <c r="H287" s="96">
        <f>IF(Settings!$D$7=true, 1-G287,1)</f>
        <v>0.84</v>
      </c>
      <c r="I287" s="98" t="s">
        <v>55</v>
      </c>
      <c r="J287" s="97" t="s">
        <v>62</v>
      </c>
      <c r="K287" s="107"/>
      <c r="L287" s="99">
        <f t="shared" si="1"/>
        <v>0.0036575</v>
      </c>
      <c r="M287" s="100">
        <f t="shared" si="2"/>
        <v>0.0042427</v>
      </c>
      <c r="N287" s="90"/>
    </row>
    <row r="288">
      <c r="A288" s="79"/>
      <c r="B288" s="79"/>
      <c r="C288" s="106" t="s">
        <v>377</v>
      </c>
      <c r="D288" s="102">
        <v>12.0</v>
      </c>
      <c r="E288" s="93" t="s">
        <v>57</v>
      </c>
      <c r="F288" s="103">
        <v>2.31</v>
      </c>
      <c r="G288" s="84">
        <v>0.3</v>
      </c>
      <c r="H288" s="96">
        <f>IF(Settings!$D$7=true, 1-G288,1)</f>
        <v>0.7</v>
      </c>
      <c r="I288" s="98" t="s">
        <v>55</v>
      </c>
      <c r="J288" s="97" t="s">
        <v>56</v>
      </c>
      <c r="K288" s="107"/>
      <c r="L288" s="99">
        <f t="shared" si="1"/>
        <v>0.1925</v>
      </c>
      <c r="M288" s="100">
        <f t="shared" si="2"/>
        <v>0.25025</v>
      </c>
      <c r="N288" s="90"/>
    </row>
    <row r="289">
      <c r="A289" s="79"/>
      <c r="B289" s="79"/>
      <c r="C289" s="106" t="s">
        <v>378</v>
      </c>
      <c r="D289" s="102">
        <v>500.0</v>
      </c>
      <c r="E289" s="93" t="s">
        <v>60</v>
      </c>
      <c r="F289" s="103">
        <v>17.33</v>
      </c>
      <c r="G289" s="84">
        <v>0.14</v>
      </c>
      <c r="H289" s="96">
        <f>IF(Settings!$D$7=true, 1-G289,1)</f>
        <v>0.86</v>
      </c>
      <c r="I289" s="98" t="s">
        <v>55</v>
      </c>
      <c r="J289" s="97" t="s">
        <v>59</v>
      </c>
      <c r="K289" s="107"/>
      <c r="L289" s="99">
        <f t="shared" si="1"/>
        <v>0.03466</v>
      </c>
      <c r="M289" s="100">
        <f t="shared" si="2"/>
        <v>0.0395124</v>
      </c>
      <c r="N289" s="90"/>
    </row>
    <row r="290">
      <c r="A290" s="79"/>
      <c r="B290" s="79"/>
      <c r="C290" s="106" t="s">
        <v>379</v>
      </c>
      <c r="D290" s="102">
        <v>60.0</v>
      </c>
      <c r="E290" s="93" t="s">
        <v>57</v>
      </c>
      <c r="F290" s="103">
        <v>55.66</v>
      </c>
      <c r="G290" s="84">
        <v>0.23</v>
      </c>
      <c r="H290" s="96">
        <f>IF(Settings!$D$7=true, 1-G290,1)</f>
        <v>0.77</v>
      </c>
      <c r="I290" s="98" t="s">
        <v>55</v>
      </c>
      <c r="J290" s="97" t="s">
        <v>56</v>
      </c>
      <c r="K290" s="107"/>
      <c r="L290" s="99">
        <f t="shared" si="1"/>
        <v>0.9276666667</v>
      </c>
      <c r="M290" s="100">
        <f t="shared" si="2"/>
        <v>1.14103</v>
      </c>
      <c r="N290" s="90"/>
    </row>
    <row r="291">
      <c r="A291" s="79"/>
      <c r="B291" s="79"/>
      <c r="C291" s="106" t="s">
        <v>380</v>
      </c>
      <c r="D291" s="102">
        <v>2000.0</v>
      </c>
      <c r="E291" s="93" t="s">
        <v>60</v>
      </c>
      <c r="F291" s="103">
        <v>17.42</v>
      </c>
      <c r="G291" s="84">
        <v>0.22</v>
      </c>
      <c r="H291" s="96">
        <f>IF(Settings!$D$7=true, 1-G291,1)</f>
        <v>0.78</v>
      </c>
      <c r="I291" s="98" t="s">
        <v>55</v>
      </c>
      <c r="J291" s="97" t="s">
        <v>59</v>
      </c>
      <c r="K291" s="107"/>
      <c r="L291" s="99">
        <f t="shared" si="1"/>
        <v>0.00871</v>
      </c>
      <c r="M291" s="100">
        <f t="shared" si="2"/>
        <v>0.0106262</v>
      </c>
      <c r="N291" s="90"/>
    </row>
    <row r="292">
      <c r="A292" s="79"/>
      <c r="B292" s="79"/>
      <c r="C292" s="106" t="s">
        <v>381</v>
      </c>
      <c r="D292" s="102">
        <v>1500.0</v>
      </c>
      <c r="E292" s="93" t="s">
        <v>60</v>
      </c>
      <c r="F292" s="103">
        <v>20.51</v>
      </c>
      <c r="G292" s="84">
        <v>0.26</v>
      </c>
      <c r="H292" s="96">
        <f>IF(Settings!$D$7=true, 1-G292,1)</f>
        <v>0.74</v>
      </c>
      <c r="I292" s="98" t="s">
        <v>55</v>
      </c>
      <c r="J292" s="97" t="s">
        <v>59</v>
      </c>
      <c r="K292" s="107"/>
      <c r="L292" s="99">
        <f t="shared" si="1"/>
        <v>0.01367333333</v>
      </c>
      <c r="M292" s="100">
        <f t="shared" si="2"/>
        <v>0.0172284</v>
      </c>
      <c r="N292" s="90"/>
    </row>
    <row r="293">
      <c r="A293" s="79"/>
      <c r="B293" s="79"/>
      <c r="C293" s="106" t="s">
        <v>382</v>
      </c>
      <c r="D293" s="102">
        <v>10000.0</v>
      </c>
      <c r="E293" s="93" t="s">
        <v>69</v>
      </c>
      <c r="F293" s="103">
        <v>22.52</v>
      </c>
      <c r="G293" s="84">
        <v>0.32</v>
      </c>
      <c r="H293" s="96">
        <f>IF(Settings!$D$7=true, 1-G293,1)</f>
        <v>0.68</v>
      </c>
      <c r="I293" s="98" t="s">
        <v>55</v>
      </c>
      <c r="J293" s="97" t="s">
        <v>56</v>
      </c>
      <c r="K293" s="107"/>
      <c r="L293" s="99">
        <f t="shared" si="1"/>
        <v>0.002252</v>
      </c>
      <c r="M293" s="100">
        <f t="shared" si="2"/>
        <v>0.00297264</v>
      </c>
      <c r="N293" s="90"/>
    </row>
    <row r="294">
      <c r="A294" s="79"/>
      <c r="B294" s="79"/>
      <c r="C294" s="106" t="s">
        <v>383</v>
      </c>
      <c r="D294" s="102">
        <v>320.0</v>
      </c>
      <c r="E294" s="93" t="s">
        <v>60</v>
      </c>
      <c r="F294" s="103">
        <v>28.55</v>
      </c>
      <c r="G294" s="84">
        <v>0.2</v>
      </c>
      <c r="H294" s="96">
        <f>IF(Settings!$D$7=true, 1-G294,1)</f>
        <v>0.8</v>
      </c>
      <c r="I294" s="98" t="s">
        <v>55</v>
      </c>
      <c r="J294" s="97" t="s">
        <v>62</v>
      </c>
      <c r="K294" s="107"/>
      <c r="L294" s="99">
        <f t="shared" si="1"/>
        <v>0.08921875</v>
      </c>
      <c r="M294" s="100">
        <f t="shared" si="2"/>
        <v>0.1070625</v>
      </c>
      <c r="N294" s="90"/>
    </row>
    <row r="295">
      <c r="A295" s="79"/>
      <c r="B295" s="79"/>
      <c r="C295" s="106" t="s">
        <v>384</v>
      </c>
      <c r="D295" s="102">
        <v>8.0</v>
      </c>
      <c r="E295" s="93" t="s">
        <v>57</v>
      </c>
      <c r="F295" s="103">
        <v>34.09</v>
      </c>
      <c r="G295" s="84">
        <v>0.36</v>
      </c>
      <c r="H295" s="96">
        <f>IF(Settings!$D$7=true, 1-G295,1)</f>
        <v>0.64</v>
      </c>
      <c r="I295" s="98" t="s">
        <v>55</v>
      </c>
      <c r="J295" s="97" t="s">
        <v>56</v>
      </c>
      <c r="K295" s="107"/>
      <c r="L295" s="99">
        <f t="shared" si="1"/>
        <v>4.26125</v>
      </c>
      <c r="M295" s="100">
        <f t="shared" si="2"/>
        <v>5.7953</v>
      </c>
      <c r="N295" s="90"/>
    </row>
    <row r="296">
      <c r="A296" s="79"/>
      <c r="B296" s="79"/>
      <c r="C296" s="106" t="s">
        <v>385</v>
      </c>
      <c r="D296" s="102">
        <v>2500.0</v>
      </c>
      <c r="E296" s="93" t="s">
        <v>60</v>
      </c>
      <c r="F296" s="103">
        <v>39.36</v>
      </c>
      <c r="G296" s="84">
        <v>0.29</v>
      </c>
      <c r="H296" s="96">
        <f>IF(Settings!$D$7=true, 1-G296,1)</f>
        <v>0.71</v>
      </c>
      <c r="I296" s="98" t="s">
        <v>55</v>
      </c>
      <c r="J296" s="97" t="s">
        <v>62</v>
      </c>
      <c r="K296" s="107"/>
      <c r="L296" s="99">
        <f t="shared" si="1"/>
        <v>0.015744</v>
      </c>
      <c r="M296" s="100">
        <f t="shared" si="2"/>
        <v>0.02030976</v>
      </c>
      <c r="N296" s="90"/>
    </row>
    <row r="297">
      <c r="A297" s="104"/>
      <c r="B297" s="104"/>
      <c r="C297" s="106" t="s">
        <v>386</v>
      </c>
      <c r="D297" s="102">
        <v>20000.0</v>
      </c>
      <c r="E297" s="93" t="s">
        <v>69</v>
      </c>
      <c r="F297" s="103">
        <v>86.66</v>
      </c>
      <c r="G297" s="84">
        <v>0.28</v>
      </c>
      <c r="H297" s="96">
        <f>IF(Settings!$D$7=true, 1-G297,1)</f>
        <v>0.72</v>
      </c>
      <c r="I297" s="97" t="s">
        <v>79</v>
      </c>
      <c r="J297" s="97" t="s">
        <v>62</v>
      </c>
      <c r="K297" s="107"/>
      <c r="L297" s="99">
        <f t="shared" si="1"/>
        <v>0.004333</v>
      </c>
      <c r="M297" s="100">
        <f t="shared" si="2"/>
        <v>0.00554624</v>
      </c>
      <c r="N297" s="90"/>
    </row>
    <row r="298">
      <c r="A298" s="79"/>
      <c r="B298" s="79"/>
      <c r="C298" s="113" t="s">
        <v>387</v>
      </c>
      <c r="D298" s="102">
        <v>2500.0</v>
      </c>
      <c r="E298" s="93" t="s">
        <v>60</v>
      </c>
      <c r="F298" s="103">
        <v>34.26</v>
      </c>
      <c r="G298" s="84">
        <v>0.15</v>
      </c>
      <c r="H298" s="96">
        <f>IF(Settings!$D$7=true, 1-G298,1)</f>
        <v>0.85</v>
      </c>
      <c r="I298" s="98" t="s">
        <v>55</v>
      </c>
      <c r="J298" s="97" t="s">
        <v>62</v>
      </c>
      <c r="K298" s="107"/>
      <c r="L298" s="99">
        <f t="shared" si="1"/>
        <v>0.013704</v>
      </c>
      <c r="M298" s="100">
        <f t="shared" si="2"/>
        <v>0.0157596</v>
      </c>
      <c r="N298" s="90"/>
    </row>
    <row r="299">
      <c r="A299" s="79"/>
      <c r="B299" s="79"/>
      <c r="C299" s="106" t="s">
        <v>388</v>
      </c>
      <c r="D299" s="102">
        <v>1500.0</v>
      </c>
      <c r="E299" s="93" t="s">
        <v>60</v>
      </c>
      <c r="F299" s="103">
        <v>44.78</v>
      </c>
      <c r="G299" s="84">
        <v>0.31</v>
      </c>
      <c r="H299" s="96">
        <f>IF(Settings!$D$7=true, 1-G299,1)</f>
        <v>0.69</v>
      </c>
      <c r="I299" s="98" t="s">
        <v>55</v>
      </c>
      <c r="J299" s="97" t="s">
        <v>62</v>
      </c>
      <c r="K299" s="107"/>
      <c r="L299" s="99">
        <f t="shared" si="1"/>
        <v>0.02985333333</v>
      </c>
      <c r="M299" s="100">
        <f t="shared" si="2"/>
        <v>0.03910786667</v>
      </c>
      <c r="N299" s="90"/>
    </row>
    <row r="300">
      <c r="A300" s="79"/>
      <c r="B300" s="79"/>
      <c r="C300" s="106" t="s">
        <v>389</v>
      </c>
      <c r="D300" s="102">
        <v>2000.0</v>
      </c>
      <c r="E300" s="93" t="s">
        <v>60</v>
      </c>
      <c r="F300" s="103">
        <v>5.29</v>
      </c>
      <c r="G300" s="84">
        <v>0.08</v>
      </c>
      <c r="H300" s="96">
        <f>IF(Settings!$D$7=true, 1-G300,1)</f>
        <v>0.92</v>
      </c>
      <c r="I300" s="98" t="s">
        <v>55</v>
      </c>
      <c r="J300" s="97" t="s">
        <v>56</v>
      </c>
      <c r="K300" s="107"/>
      <c r="L300" s="99">
        <f t="shared" si="1"/>
        <v>0.002645</v>
      </c>
      <c r="M300" s="100">
        <f t="shared" si="2"/>
        <v>0.0028566</v>
      </c>
      <c r="N300" s="90"/>
    </row>
    <row r="301">
      <c r="A301" s="79"/>
      <c r="B301" s="79"/>
      <c r="C301" s="106" t="s">
        <v>390</v>
      </c>
      <c r="D301" s="102">
        <v>500.0</v>
      </c>
      <c r="E301" s="93" t="s">
        <v>69</v>
      </c>
      <c r="F301" s="103">
        <v>7.88</v>
      </c>
      <c r="G301" s="84">
        <v>0.03</v>
      </c>
      <c r="H301" s="96">
        <f>IF(Settings!$D$7=true, 1-G301,1)</f>
        <v>0.97</v>
      </c>
      <c r="I301" s="98" t="s">
        <v>55</v>
      </c>
      <c r="J301" s="97" t="s">
        <v>59</v>
      </c>
      <c r="K301" s="107"/>
      <c r="L301" s="99">
        <f t="shared" si="1"/>
        <v>0.01576</v>
      </c>
      <c r="M301" s="100">
        <f t="shared" si="2"/>
        <v>0.0162328</v>
      </c>
      <c r="N301" s="90"/>
    </row>
    <row r="302">
      <c r="A302" s="79"/>
      <c r="B302" s="79"/>
      <c r="C302" s="106" t="s">
        <v>391</v>
      </c>
      <c r="D302" s="102">
        <v>20000.0</v>
      </c>
      <c r="E302" s="93" t="s">
        <v>69</v>
      </c>
      <c r="F302" s="103">
        <v>20.52</v>
      </c>
      <c r="G302" s="84">
        <v>0.05</v>
      </c>
      <c r="H302" s="96">
        <f>IF(Settings!$D$7=true, 1-G302,1)</f>
        <v>0.95</v>
      </c>
      <c r="I302" s="98" t="s">
        <v>55</v>
      </c>
      <c r="J302" s="97" t="s">
        <v>62</v>
      </c>
      <c r="K302" s="107"/>
      <c r="L302" s="99">
        <f t="shared" si="1"/>
        <v>0.001026</v>
      </c>
      <c r="M302" s="100">
        <f t="shared" si="2"/>
        <v>0.0010773</v>
      </c>
      <c r="N302" s="90"/>
    </row>
    <row r="303">
      <c r="A303" s="79"/>
      <c r="B303" s="79"/>
      <c r="C303" s="106" t="s">
        <v>392</v>
      </c>
      <c r="D303" s="102">
        <v>12000.0</v>
      </c>
      <c r="E303" s="93" t="s">
        <v>60</v>
      </c>
      <c r="F303" s="103">
        <v>24.99</v>
      </c>
      <c r="G303" s="84">
        <v>0.15</v>
      </c>
      <c r="H303" s="96">
        <f>IF(Settings!$D$7=true, 1-G303,1)</f>
        <v>0.85</v>
      </c>
      <c r="I303" s="98" t="s">
        <v>55</v>
      </c>
      <c r="J303" s="97" t="s">
        <v>62</v>
      </c>
      <c r="K303" s="107"/>
      <c r="L303" s="99">
        <f t="shared" si="1"/>
        <v>0.0020825</v>
      </c>
      <c r="M303" s="100">
        <f t="shared" si="2"/>
        <v>0.002394875</v>
      </c>
      <c r="N303" s="90"/>
    </row>
    <row r="304">
      <c r="A304" s="79"/>
      <c r="B304" s="79"/>
      <c r="C304" s="106" t="s">
        <v>393</v>
      </c>
      <c r="D304" s="102">
        <v>15000.0</v>
      </c>
      <c r="E304" s="93" t="s">
        <v>69</v>
      </c>
      <c r="F304" s="103">
        <v>35.71</v>
      </c>
      <c r="G304" s="84">
        <v>0.13</v>
      </c>
      <c r="H304" s="96">
        <f>IF(Settings!$D$7=true, 1-G304,1)</f>
        <v>0.87</v>
      </c>
      <c r="I304" s="98" t="s">
        <v>55</v>
      </c>
      <c r="J304" s="97" t="s">
        <v>62</v>
      </c>
      <c r="K304" s="107"/>
      <c r="L304" s="99">
        <f t="shared" si="1"/>
        <v>0.002380666667</v>
      </c>
      <c r="M304" s="100">
        <f t="shared" si="2"/>
        <v>0.002690153333</v>
      </c>
      <c r="N304" s="90"/>
    </row>
    <row r="305">
      <c r="A305" s="79"/>
      <c r="B305" s="79"/>
      <c r="C305" s="106" t="s">
        <v>394</v>
      </c>
      <c r="D305" s="102">
        <v>4000.0</v>
      </c>
      <c r="E305" s="93" t="s">
        <v>69</v>
      </c>
      <c r="F305" s="103">
        <v>11.54</v>
      </c>
      <c r="G305" s="84">
        <v>0.19</v>
      </c>
      <c r="H305" s="96">
        <f>IF(Settings!$D$7=true, 1-G305,1)</f>
        <v>0.81</v>
      </c>
      <c r="I305" s="98" t="s">
        <v>55</v>
      </c>
      <c r="J305" s="97" t="s">
        <v>62</v>
      </c>
      <c r="K305" s="107"/>
      <c r="L305" s="99">
        <f t="shared" si="1"/>
        <v>0.002885</v>
      </c>
      <c r="M305" s="100">
        <f t="shared" si="2"/>
        <v>0.00343315</v>
      </c>
      <c r="N305" s="90"/>
    </row>
    <row r="306">
      <c r="A306" s="104"/>
      <c r="B306" s="104"/>
      <c r="C306" s="106" t="s">
        <v>395</v>
      </c>
      <c r="D306" s="102">
        <v>1000.0</v>
      </c>
      <c r="E306" s="93" t="s">
        <v>60</v>
      </c>
      <c r="F306" s="103">
        <v>6.0</v>
      </c>
      <c r="G306" s="84">
        <v>0.09</v>
      </c>
      <c r="H306" s="96">
        <f>IF(Settings!$D$7=true, 1-G306,1)</f>
        <v>0.91</v>
      </c>
      <c r="I306" s="97" t="s">
        <v>58</v>
      </c>
      <c r="J306" s="97" t="s">
        <v>65</v>
      </c>
      <c r="K306" s="107"/>
      <c r="L306" s="99">
        <f t="shared" si="1"/>
        <v>0.006</v>
      </c>
      <c r="M306" s="100">
        <f t="shared" si="2"/>
        <v>0.00654</v>
      </c>
      <c r="N306" s="90"/>
    </row>
    <row r="307">
      <c r="A307" s="79"/>
      <c r="B307" s="79"/>
      <c r="C307" s="106" t="s">
        <v>396</v>
      </c>
      <c r="D307" s="102">
        <v>1000.0</v>
      </c>
      <c r="E307" s="93" t="s">
        <v>60</v>
      </c>
      <c r="F307" s="103">
        <v>20.66</v>
      </c>
      <c r="G307" s="84">
        <v>0.11</v>
      </c>
      <c r="H307" s="96">
        <f>IF(Settings!$D$7=true, 1-G307,1)</f>
        <v>0.89</v>
      </c>
      <c r="I307" s="98" t="s">
        <v>55</v>
      </c>
      <c r="J307" s="97" t="s">
        <v>56</v>
      </c>
      <c r="K307" s="107"/>
      <c r="L307" s="99">
        <f t="shared" si="1"/>
        <v>0.02066</v>
      </c>
      <c r="M307" s="100">
        <f t="shared" si="2"/>
        <v>0.0229326</v>
      </c>
      <c r="N307" s="90"/>
    </row>
    <row r="308">
      <c r="A308" s="104"/>
      <c r="B308" s="104"/>
      <c r="C308" s="106" t="s">
        <v>397</v>
      </c>
      <c r="D308" s="102">
        <v>1.0</v>
      </c>
      <c r="E308" s="93" t="s">
        <v>66</v>
      </c>
      <c r="F308" s="103">
        <v>6.6</v>
      </c>
      <c r="G308" s="84">
        <v>0.32</v>
      </c>
      <c r="H308" s="96">
        <f>IF(Settings!$D$7=true, 1-G308,1)</f>
        <v>0.68</v>
      </c>
      <c r="I308" s="97" t="s">
        <v>58</v>
      </c>
      <c r="J308" s="97" t="s">
        <v>65</v>
      </c>
      <c r="K308" s="107"/>
      <c r="L308" s="99">
        <f t="shared" si="1"/>
        <v>6.6</v>
      </c>
      <c r="M308" s="100">
        <f t="shared" si="2"/>
        <v>8.712</v>
      </c>
      <c r="N308" s="90"/>
    </row>
    <row r="309">
      <c r="A309" s="104"/>
      <c r="B309" s="104"/>
      <c r="C309" s="106" t="s">
        <v>398</v>
      </c>
      <c r="D309" s="102">
        <v>1000.0</v>
      </c>
      <c r="E309" s="93" t="s">
        <v>60</v>
      </c>
      <c r="F309" s="103">
        <v>25.0</v>
      </c>
      <c r="G309" s="84">
        <v>0.35</v>
      </c>
      <c r="H309" s="96">
        <f>IF(Settings!$D$7=true, 1-G309,1)</f>
        <v>0.65</v>
      </c>
      <c r="I309" s="97" t="s">
        <v>80</v>
      </c>
      <c r="J309" s="97" t="s">
        <v>77</v>
      </c>
      <c r="K309" s="107"/>
      <c r="L309" s="99">
        <f t="shared" si="1"/>
        <v>0.025</v>
      </c>
      <c r="M309" s="100">
        <f t="shared" si="2"/>
        <v>0.03375</v>
      </c>
      <c r="N309" s="90"/>
    </row>
    <row r="310">
      <c r="A310" s="104"/>
      <c r="B310" s="104"/>
      <c r="C310" s="106" t="s">
        <v>399</v>
      </c>
      <c r="D310" s="102">
        <v>1000.0</v>
      </c>
      <c r="E310" s="93" t="s">
        <v>60</v>
      </c>
      <c r="F310" s="103">
        <v>15.25</v>
      </c>
      <c r="G310" s="84">
        <v>0.2</v>
      </c>
      <c r="H310" s="96">
        <f>IF(Settings!$D$7=true, 1-G310,1)</f>
        <v>0.8</v>
      </c>
      <c r="I310" s="97" t="s">
        <v>58</v>
      </c>
      <c r="J310" s="97" t="s">
        <v>65</v>
      </c>
      <c r="K310" s="107"/>
      <c r="L310" s="99">
        <f t="shared" si="1"/>
        <v>0.01525</v>
      </c>
      <c r="M310" s="100">
        <f t="shared" si="2"/>
        <v>0.0183</v>
      </c>
      <c r="N310" s="90"/>
    </row>
    <row r="311">
      <c r="A311" s="79"/>
      <c r="B311" s="79"/>
      <c r="C311" s="106" t="s">
        <v>400</v>
      </c>
      <c r="D311" s="102">
        <v>8000.0</v>
      </c>
      <c r="E311" s="93" t="s">
        <v>69</v>
      </c>
      <c r="F311" s="103">
        <v>28.32</v>
      </c>
      <c r="G311" s="84">
        <v>0.29</v>
      </c>
      <c r="H311" s="96">
        <f>IF(Settings!$D$7=true, 1-G311,1)</f>
        <v>0.71</v>
      </c>
      <c r="I311" s="98" t="s">
        <v>55</v>
      </c>
      <c r="J311" s="97" t="s">
        <v>62</v>
      </c>
      <c r="K311" s="107"/>
      <c r="L311" s="99">
        <f t="shared" si="1"/>
        <v>0.00354</v>
      </c>
      <c r="M311" s="100">
        <f t="shared" si="2"/>
        <v>0.0045666</v>
      </c>
      <c r="N311" s="90"/>
    </row>
    <row r="312">
      <c r="A312" s="104"/>
      <c r="B312" s="104"/>
      <c r="C312" s="106" t="s">
        <v>401</v>
      </c>
      <c r="D312" s="102">
        <v>1000.0</v>
      </c>
      <c r="E312" s="93" t="s">
        <v>60</v>
      </c>
      <c r="F312" s="103">
        <v>17.86</v>
      </c>
      <c r="G312" s="84">
        <v>0.23</v>
      </c>
      <c r="H312" s="96">
        <f>IF(Settings!$D$7=true, 1-G312,1)</f>
        <v>0.77</v>
      </c>
      <c r="I312" s="97" t="s">
        <v>61</v>
      </c>
      <c r="J312" s="97" t="s">
        <v>71</v>
      </c>
      <c r="K312" s="107"/>
      <c r="L312" s="99">
        <f t="shared" si="1"/>
        <v>0.01786</v>
      </c>
      <c r="M312" s="100">
        <f t="shared" si="2"/>
        <v>0.0219678</v>
      </c>
      <c r="N312" s="90"/>
    </row>
    <row r="313">
      <c r="A313" s="104"/>
      <c r="B313" s="104"/>
      <c r="C313" s="106" t="s">
        <v>402</v>
      </c>
      <c r="D313" s="102">
        <v>500.0</v>
      </c>
      <c r="E313" s="93" t="s">
        <v>60</v>
      </c>
      <c r="F313" s="103">
        <v>6.3</v>
      </c>
      <c r="G313" s="84">
        <v>0.0</v>
      </c>
      <c r="H313" s="96">
        <f>IF(Settings!$D$7=true, 1-G313,1)</f>
        <v>1</v>
      </c>
      <c r="I313" s="97" t="s">
        <v>58</v>
      </c>
      <c r="J313" s="97" t="s">
        <v>65</v>
      </c>
      <c r="K313" s="107"/>
      <c r="L313" s="99">
        <f t="shared" si="1"/>
        <v>0.0126</v>
      </c>
      <c r="M313" s="100">
        <f t="shared" si="2"/>
        <v>0.0126</v>
      </c>
      <c r="N313" s="90"/>
    </row>
    <row r="314">
      <c r="A314" s="79"/>
      <c r="B314" s="79"/>
      <c r="C314" s="106" t="s">
        <v>403</v>
      </c>
      <c r="D314" s="102">
        <v>3000.0</v>
      </c>
      <c r="E314" s="93" t="s">
        <v>60</v>
      </c>
      <c r="F314" s="103">
        <v>11.14</v>
      </c>
      <c r="G314" s="84">
        <v>0.37</v>
      </c>
      <c r="H314" s="96">
        <f>IF(Settings!$D$7=true, 1-G314,1)</f>
        <v>0.63</v>
      </c>
      <c r="I314" s="98" t="s">
        <v>55</v>
      </c>
      <c r="J314" s="97" t="s">
        <v>62</v>
      </c>
      <c r="K314" s="107"/>
      <c r="L314" s="99">
        <f t="shared" si="1"/>
        <v>0.003713333333</v>
      </c>
      <c r="M314" s="100">
        <f t="shared" si="2"/>
        <v>0.005087266667</v>
      </c>
      <c r="N314" s="90"/>
    </row>
    <row r="315">
      <c r="A315" s="104"/>
      <c r="B315" s="104"/>
      <c r="C315" s="106" t="s">
        <v>404</v>
      </c>
      <c r="D315" s="102">
        <v>5000.0</v>
      </c>
      <c r="E315" s="93" t="s">
        <v>69</v>
      </c>
      <c r="F315" s="103">
        <v>29.84</v>
      </c>
      <c r="G315" s="84">
        <v>0.39</v>
      </c>
      <c r="H315" s="96">
        <f>IF(Settings!$D$7=true, 1-G315,1)</f>
        <v>0.61</v>
      </c>
      <c r="I315" s="97" t="s">
        <v>82</v>
      </c>
      <c r="J315" s="97" t="s">
        <v>56</v>
      </c>
      <c r="K315" s="107"/>
      <c r="L315" s="99">
        <f t="shared" si="1"/>
        <v>0.005968</v>
      </c>
      <c r="M315" s="100">
        <f t="shared" si="2"/>
        <v>0.00829552</v>
      </c>
      <c r="N315" s="90"/>
    </row>
    <row r="316">
      <c r="A316" s="104"/>
      <c r="B316" s="104"/>
      <c r="C316" s="106" t="s">
        <v>149</v>
      </c>
      <c r="D316" s="102">
        <v>1000.0</v>
      </c>
      <c r="E316" s="93" t="s">
        <v>60</v>
      </c>
      <c r="F316" s="103">
        <v>4.5</v>
      </c>
      <c r="G316" s="84">
        <v>0.29</v>
      </c>
      <c r="H316" s="96">
        <f>IF(Settings!$D$7=true, 1-G316,1)</f>
        <v>0.71</v>
      </c>
      <c r="I316" s="97" t="s">
        <v>58</v>
      </c>
      <c r="J316" s="97" t="s">
        <v>65</v>
      </c>
      <c r="K316" s="107"/>
      <c r="L316" s="99">
        <f t="shared" si="1"/>
        <v>0.0045</v>
      </c>
      <c r="M316" s="100">
        <f t="shared" si="2"/>
        <v>0.005805</v>
      </c>
      <c r="N316" s="90"/>
    </row>
    <row r="317">
      <c r="A317" s="104"/>
      <c r="B317" s="104"/>
      <c r="C317" s="106" t="s">
        <v>405</v>
      </c>
      <c r="D317" s="102">
        <v>1.0</v>
      </c>
      <c r="E317" s="93" t="s">
        <v>57</v>
      </c>
      <c r="F317" s="103">
        <v>4.8</v>
      </c>
      <c r="G317" s="84">
        <v>0.35</v>
      </c>
      <c r="H317" s="96">
        <f>IF(Settings!$D$7=true, 1-G317,1)</f>
        <v>0.65</v>
      </c>
      <c r="I317" s="97" t="s">
        <v>76</v>
      </c>
      <c r="J317" s="97" t="s">
        <v>71</v>
      </c>
      <c r="K317" s="107"/>
      <c r="L317" s="99">
        <f t="shared" si="1"/>
        <v>4.8</v>
      </c>
      <c r="M317" s="100">
        <f t="shared" si="2"/>
        <v>6.48</v>
      </c>
      <c r="N317" s="90"/>
    </row>
    <row r="318">
      <c r="A318" s="104"/>
      <c r="B318" s="104"/>
      <c r="C318" s="106" t="s">
        <v>406</v>
      </c>
      <c r="D318" s="102">
        <v>1.0</v>
      </c>
      <c r="E318" s="93" t="s">
        <v>57</v>
      </c>
      <c r="F318" s="103">
        <v>4.8</v>
      </c>
      <c r="G318" s="84">
        <v>0.11</v>
      </c>
      <c r="H318" s="96">
        <f>IF(Settings!$D$7=true, 1-G318,1)</f>
        <v>0.89</v>
      </c>
      <c r="I318" s="97" t="s">
        <v>76</v>
      </c>
      <c r="J318" s="97" t="s">
        <v>71</v>
      </c>
      <c r="K318" s="107"/>
      <c r="L318" s="99">
        <f t="shared" si="1"/>
        <v>4.8</v>
      </c>
      <c r="M318" s="100">
        <f t="shared" si="2"/>
        <v>5.328</v>
      </c>
      <c r="N318" s="90"/>
    </row>
    <row r="319">
      <c r="A319" s="104"/>
      <c r="B319" s="104"/>
      <c r="C319" s="106" t="s">
        <v>407</v>
      </c>
      <c r="D319" s="102">
        <v>1.0</v>
      </c>
      <c r="E319" s="93" t="s">
        <v>57</v>
      </c>
      <c r="F319" s="103">
        <v>4.8</v>
      </c>
      <c r="G319" s="84">
        <v>0.12</v>
      </c>
      <c r="H319" s="96">
        <f>IF(Settings!$D$7=true, 1-G319,1)</f>
        <v>0.88</v>
      </c>
      <c r="I319" s="97" t="s">
        <v>76</v>
      </c>
      <c r="J319" s="97" t="s">
        <v>75</v>
      </c>
      <c r="K319" s="107"/>
      <c r="L319" s="99">
        <f t="shared" si="1"/>
        <v>4.8</v>
      </c>
      <c r="M319" s="100">
        <f t="shared" si="2"/>
        <v>5.376</v>
      </c>
      <c r="N319" s="90"/>
    </row>
    <row r="320">
      <c r="A320" s="104"/>
      <c r="B320" s="104"/>
      <c r="C320" s="106" t="s">
        <v>408</v>
      </c>
      <c r="D320" s="102">
        <v>1.0</v>
      </c>
      <c r="E320" s="93" t="s">
        <v>57</v>
      </c>
      <c r="F320" s="103">
        <v>4.8</v>
      </c>
      <c r="G320" s="84">
        <v>0.35</v>
      </c>
      <c r="H320" s="96">
        <f>IF(Settings!$D$7=true, 1-G320,1)</f>
        <v>0.65</v>
      </c>
      <c r="I320" s="97" t="s">
        <v>76</v>
      </c>
      <c r="J320" s="97" t="s">
        <v>71</v>
      </c>
      <c r="K320" s="107"/>
      <c r="L320" s="99">
        <f t="shared" si="1"/>
        <v>4.8</v>
      </c>
      <c r="M320" s="100">
        <f t="shared" si="2"/>
        <v>6.48</v>
      </c>
      <c r="N320" s="90"/>
    </row>
    <row r="321">
      <c r="A321" s="79"/>
      <c r="B321" s="79"/>
      <c r="C321" s="106" t="s">
        <v>409</v>
      </c>
      <c r="D321" s="102">
        <v>25.0</v>
      </c>
      <c r="E321" s="93" t="s">
        <v>57</v>
      </c>
      <c r="F321" s="103">
        <v>87.65</v>
      </c>
      <c r="G321" s="84">
        <v>0.36</v>
      </c>
      <c r="H321" s="96">
        <f>IF(Settings!$D$7=true, 1-G321,1)</f>
        <v>0.64</v>
      </c>
      <c r="I321" s="98" t="s">
        <v>55</v>
      </c>
      <c r="J321" s="97" t="s">
        <v>56</v>
      </c>
      <c r="K321" s="107"/>
      <c r="L321" s="99">
        <f t="shared" si="1"/>
        <v>3.506</v>
      </c>
      <c r="M321" s="100">
        <f t="shared" si="2"/>
        <v>4.76816</v>
      </c>
      <c r="N321" s="90"/>
    </row>
    <row r="322">
      <c r="A322" s="79"/>
      <c r="B322" s="79"/>
      <c r="C322" s="106" t="s">
        <v>410</v>
      </c>
      <c r="D322" s="102">
        <v>725.0</v>
      </c>
      <c r="E322" s="93" t="s">
        <v>69</v>
      </c>
      <c r="F322" s="103">
        <v>3.35</v>
      </c>
      <c r="G322" s="84">
        <v>0.18</v>
      </c>
      <c r="H322" s="96">
        <f>IF(Settings!$D$7=true, 1-G322,1)</f>
        <v>0.82</v>
      </c>
      <c r="I322" s="98" t="s">
        <v>55</v>
      </c>
      <c r="J322" s="97" t="s">
        <v>62</v>
      </c>
      <c r="K322" s="107"/>
      <c r="L322" s="99">
        <f t="shared" si="1"/>
        <v>0.004620689655</v>
      </c>
      <c r="M322" s="100">
        <f t="shared" si="2"/>
        <v>0.005452413793</v>
      </c>
      <c r="N322" s="90"/>
    </row>
    <row r="323">
      <c r="A323" s="79"/>
      <c r="B323" s="79"/>
      <c r="C323" s="106" t="s">
        <v>411</v>
      </c>
      <c r="D323" s="102">
        <v>1000.0</v>
      </c>
      <c r="E323" s="93" t="s">
        <v>60</v>
      </c>
      <c r="F323" s="103">
        <v>6.89</v>
      </c>
      <c r="G323" s="84">
        <v>0.03</v>
      </c>
      <c r="H323" s="96">
        <f>IF(Settings!$D$7=true, 1-G323,1)</f>
        <v>0.97</v>
      </c>
      <c r="I323" s="98" t="s">
        <v>55</v>
      </c>
      <c r="J323" s="97" t="s">
        <v>62</v>
      </c>
      <c r="K323" s="107"/>
      <c r="L323" s="99">
        <f t="shared" si="1"/>
        <v>0.00689</v>
      </c>
      <c r="M323" s="100">
        <f t="shared" si="2"/>
        <v>0.0070967</v>
      </c>
      <c r="N323" s="90"/>
    </row>
    <row r="324">
      <c r="A324" s="104"/>
      <c r="B324" s="104"/>
      <c r="C324" s="106" t="s">
        <v>412</v>
      </c>
      <c r="D324" s="102">
        <v>1000.0</v>
      </c>
      <c r="E324" s="93" t="s">
        <v>60</v>
      </c>
      <c r="F324" s="103">
        <v>14.18</v>
      </c>
      <c r="G324" s="84">
        <v>0.12</v>
      </c>
      <c r="H324" s="96">
        <f>IF(Settings!$D$7=true, 1-G324,1)</f>
        <v>0.88</v>
      </c>
      <c r="I324" s="97" t="s">
        <v>61</v>
      </c>
      <c r="J324" s="97" t="s">
        <v>71</v>
      </c>
      <c r="K324" s="107"/>
      <c r="L324" s="99">
        <f t="shared" si="1"/>
        <v>0.01418</v>
      </c>
      <c r="M324" s="100">
        <f t="shared" si="2"/>
        <v>0.0158816</v>
      </c>
      <c r="N324" s="90"/>
    </row>
    <row r="325">
      <c r="A325" s="104"/>
      <c r="B325" s="104"/>
      <c r="C325" s="106" t="s">
        <v>413</v>
      </c>
      <c r="D325" s="102">
        <v>49500.0</v>
      </c>
      <c r="E325" s="93" t="s">
        <v>69</v>
      </c>
      <c r="F325" s="103">
        <v>376.0</v>
      </c>
      <c r="G325" s="84">
        <v>0.06</v>
      </c>
      <c r="H325" s="96">
        <f>IF(Settings!$D$7=true, 1-G325,1)</f>
        <v>0.94</v>
      </c>
      <c r="I325" s="97" t="s">
        <v>72</v>
      </c>
      <c r="J325" s="97" t="s">
        <v>59</v>
      </c>
      <c r="K325" s="107"/>
      <c r="L325" s="99">
        <f t="shared" si="1"/>
        <v>0.007595959596</v>
      </c>
      <c r="M325" s="100">
        <f t="shared" si="2"/>
        <v>0.008051717172</v>
      </c>
      <c r="N325" s="90"/>
    </row>
    <row r="326">
      <c r="A326" s="79"/>
      <c r="B326" s="79"/>
      <c r="C326" s="106" t="s">
        <v>414</v>
      </c>
      <c r="D326" s="102">
        <v>500.0</v>
      </c>
      <c r="E326" s="93" t="s">
        <v>60</v>
      </c>
      <c r="F326" s="103">
        <v>3.21</v>
      </c>
      <c r="G326" s="84">
        <v>0.08</v>
      </c>
      <c r="H326" s="96">
        <f>IF(Settings!$D$7=true, 1-G326,1)</f>
        <v>0.92</v>
      </c>
      <c r="I326" s="98" t="s">
        <v>55</v>
      </c>
      <c r="J326" s="97" t="s">
        <v>62</v>
      </c>
      <c r="K326" s="107"/>
      <c r="L326" s="99">
        <f t="shared" si="1"/>
        <v>0.00642</v>
      </c>
      <c r="M326" s="100">
        <f t="shared" si="2"/>
        <v>0.0069336</v>
      </c>
      <c r="N326" s="90"/>
    </row>
    <row r="327">
      <c r="A327" s="79"/>
      <c r="B327" s="79"/>
      <c r="C327" s="106" t="s">
        <v>415</v>
      </c>
      <c r="D327" s="102">
        <v>1000.0</v>
      </c>
      <c r="E327" s="93" t="s">
        <v>60</v>
      </c>
      <c r="F327" s="103">
        <v>15.5</v>
      </c>
      <c r="G327" s="84">
        <v>0.19</v>
      </c>
      <c r="H327" s="96">
        <f>IF(Settings!$D$7=true, 1-G327,1)</f>
        <v>0.81</v>
      </c>
      <c r="I327" s="98" t="s">
        <v>55</v>
      </c>
      <c r="J327" s="97" t="s">
        <v>62</v>
      </c>
      <c r="K327" s="107"/>
      <c r="L327" s="99">
        <f t="shared" si="1"/>
        <v>0.0155</v>
      </c>
      <c r="M327" s="100">
        <f t="shared" si="2"/>
        <v>0.018445</v>
      </c>
      <c r="N327" s="90"/>
    </row>
    <row r="328">
      <c r="A328" s="79"/>
      <c r="B328" s="79"/>
      <c r="C328" s="106" t="s">
        <v>416</v>
      </c>
      <c r="D328" s="102">
        <v>200.0</v>
      </c>
      <c r="E328" s="93" t="s">
        <v>57</v>
      </c>
      <c r="F328" s="103">
        <v>38.34</v>
      </c>
      <c r="G328" s="84">
        <v>0.25</v>
      </c>
      <c r="H328" s="96">
        <f>IF(Settings!$D$7=true, 1-G328,1)</f>
        <v>0.75</v>
      </c>
      <c r="I328" s="98" t="s">
        <v>55</v>
      </c>
      <c r="J328" s="97" t="s">
        <v>59</v>
      </c>
      <c r="K328" s="107"/>
      <c r="L328" s="99">
        <f t="shared" si="1"/>
        <v>0.1917</v>
      </c>
      <c r="M328" s="100">
        <f t="shared" si="2"/>
        <v>0.239625</v>
      </c>
      <c r="N328" s="90"/>
    </row>
    <row r="329">
      <c r="A329" s="79"/>
      <c r="B329" s="79"/>
      <c r="C329" s="106" t="s">
        <v>417</v>
      </c>
      <c r="D329" s="102">
        <v>1000.0</v>
      </c>
      <c r="E329" s="93" t="s">
        <v>60</v>
      </c>
      <c r="F329" s="103">
        <v>51.66</v>
      </c>
      <c r="G329" s="84">
        <v>0.23</v>
      </c>
      <c r="H329" s="96">
        <f>IF(Settings!$D$7=true, 1-G329,1)</f>
        <v>0.77</v>
      </c>
      <c r="I329" s="98" t="s">
        <v>55</v>
      </c>
      <c r="J329" s="97" t="s">
        <v>59</v>
      </c>
      <c r="K329" s="107"/>
      <c r="L329" s="99">
        <f t="shared" si="1"/>
        <v>0.05166</v>
      </c>
      <c r="M329" s="100">
        <f t="shared" si="2"/>
        <v>0.0635418</v>
      </c>
      <c r="N329" s="90"/>
    </row>
    <row r="330">
      <c r="A330" s="104"/>
      <c r="B330" s="104"/>
      <c r="C330" s="106" t="s">
        <v>418</v>
      </c>
      <c r="D330" s="102">
        <v>1000.0</v>
      </c>
      <c r="E330" s="93" t="s">
        <v>69</v>
      </c>
      <c r="F330" s="103">
        <v>11.19</v>
      </c>
      <c r="G330" s="84">
        <v>0.17</v>
      </c>
      <c r="H330" s="96">
        <f>IF(Settings!$D$7=true, 1-G330,1)</f>
        <v>0.83</v>
      </c>
      <c r="I330" s="97" t="s">
        <v>67</v>
      </c>
      <c r="J330" s="97" t="s">
        <v>59</v>
      </c>
      <c r="K330" s="107"/>
      <c r="L330" s="99">
        <f t="shared" si="1"/>
        <v>0.01119</v>
      </c>
      <c r="M330" s="100">
        <f t="shared" si="2"/>
        <v>0.0130923</v>
      </c>
      <c r="N330" s="90"/>
    </row>
    <row r="331">
      <c r="A331" s="104"/>
      <c r="B331" s="104"/>
      <c r="C331" s="106" t="s">
        <v>419</v>
      </c>
      <c r="D331" s="102">
        <v>1000.0</v>
      </c>
      <c r="E331" s="93" t="s">
        <v>60</v>
      </c>
      <c r="F331" s="103">
        <v>22.45</v>
      </c>
      <c r="G331" s="84">
        <v>0.15</v>
      </c>
      <c r="H331" s="96">
        <f>IF(Settings!$D$7=true, 1-G331,1)</f>
        <v>0.85</v>
      </c>
      <c r="I331" s="97" t="s">
        <v>61</v>
      </c>
      <c r="J331" s="97" t="s">
        <v>71</v>
      </c>
      <c r="K331" s="107"/>
      <c r="L331" s="99">
        <f t="shared" si="1"/>
        <v>0.02245</v>
      </c>
      <c r="M331" s="100">
        <f t="shared" si="2"/>
        <v>0.0258175</v>
      </c>
      <c r="N331" s="90"/>
    </row>
    <row r="332">
      <c r="A332" s="79"/>
      <c r="B332" s="79"/>
      <c r="C332" s="106" t="s">
        <v>420</v>
      </c>
      <c r="D332" s="102">
        <v>450.0</v>
      </c>
      <c r="E332" s="93" t="s">
        <v>60</v>
      </c>
      <c r="F332" s="103">
        <v>27.47</v>
      </c>
      <c r="G332" s="84">
        <v>0.35</v>
      </c>
      <c r="H332" s="96">
        <f>IF(Settings!$D$7=true, 1-G332,1)</f>
        <v>0.65</v>
      </c>
      <c r="I332" s="98" t="s">
        <v>55</v>
      </c>
      <c r="J332" s="97" t="s">
        <v>59</v>
      </c>
      <c r="K332" s="107"/>
      <c r="L332" s="99">
        <f t="shared" si="1"/>
        <v>0.06104444444</v>
      </c>
      <c r="M332" s="100">
        <f t="shared" si="2"/>
        <v>0.08241</v>
      </c>
      <c r="N332" s="90"/>
    </row>
    <row r="333">
      <c r="A333" s="79"/>
      <c r="B333" s="79"/>
      <c r="C333" s="106" t="s">
        <v>183</v>
      </c>
      <c r="D333" s="102">
        <v>1000.0</v>
      </c>
      <c r="E333" s="93" t="s">
        <v>60</v>
      </c>
      <c r="F333" s="103">
        <v>4.5</v>
      </c>
      <c r="G333" s="84">
        <v>0.27</v>
      </c>
      <c r="H333" s="96">
        <f>IF(Settings!$D$7=true, 1-G333,1)</f>
        <v>0.73</v>
      </c>
      <c r="I333" s="98" t="s">
        <v>55</v>
      </c>
      <c r="J333" s="97" t="s">
        <v>62</v>
      </c>
      <c r="K333" s="107"/>
      <c r="L333" s="99">
        <f t="shared" si="1"/>
        <v>0.0045</v>
      </c>
      <c r="M333" s="100">
        <f t="shared" si="2"/>
        <v>0.005715</v>
      </c>
      <c r="N333" s="90"/>
    </row>
    <row r="334">
      <c r="A334" s="114"/>
      <c r="B334" s="114"/>
      <c r="C334" s="115" t="s">
        <v>421</v>
      </c>
      <c r="D334" s="116">
        <v>1000.0</v>
      </c>
      <c r="E334" s="117" t="s">
        <v>60</v>
      </c>
      <c r="F334" s="118">
        <v>8.04</v>
      </c>
      <c r="G334" s="84">
        <v>0.28</v>
      </c>
      <c r="H334" s="96">
        <f>IF(Settings!$D$7=true, 1-G334,1)</f>
        <v>0.72</v>
      </c>
      <c r="I334" s="119" t="s">
        <v>55</v>
      </c>
      <c r="J334" s="97" t="s">
        <v>62</v>
      </c>
      <c r="K334" s="119"/>
      <c r="L334" s="99">
        <f t="shared" si="1"/>
        <v>0.00804</v>
      </c>
      <c r="M334" s="100">
        <f t="shared" si="2"/>
        <v>0.0102912</v>
      </c>
      <c r="N334" s="90"/>
    </row>
    <row r="335">
      <c r="A335" s="114"/>
      <c r="B335" s="114"/>
      <c r="C335" s="115" t="s">
        <v>422</v>
      </c>
      <c r="D335" s="120">
        <v>20.0</v>
      </c>
      <c r="E335" s="121" t="s">
        <v>60</v>
      </c>
      <c r="F335" s="118">
        <v>30.49</v>
      </c>
      <c r="G335" s="84">
        <v>0.39</v>
      </c>
      <c r="H335" s="96">
        <f>IF(Settings!$D$7=true, 1-G335,1)</f>
        <v>0.61</v>
      </c>
      <c r="I335" s="119" t="s">
        <v>55</v>
      </c>
      <c r="J335" s="97" t="s">
        <v>62</v>
      </c>
      <c r="K335" s="119"/>
      <c r="L335" s="99">
        <f t="shared" si="1"/>
        <v>1.5245</v>
      </c>
      <c r="M335" s="100">
        <f t="shared" si="2"/>
        <v>2.119055</v>
      </c>
      <c r="N335" s="90"/>
    </row>
    <row r="336">
      <c r="A336" s="114"/>
      <c r="B336" s="114"/>
      <c r="C336" s="115" t="s">
        <v>423</v>
      </c>
      <c r="D336" s="120">
        <v>1000.0</v>
      </c>
      <c r="E336" s="121" t="s">
        <v>60</v>
      </c>
      <c r="F336" s="122">
        <v>9.19</v>
      </c>
      <c r="G336" s="84">
        <v>0.16</v>
      </c>
      <c r="H336" s="96">
        <f>IF(Settings!$D$7=true, 1-G336,1)</f>
        <v>0.84</v>
      </c>
      <c r="I336" s="119" t="s">
        <v>55</v>
      </c>
      <c r="J336" s="97" t="s">
        <v>62</v>
      </c>
      <c r="K336" s="119"/>
      <c r="L336" s="99">
        <f t="shared" si="1"/>
        <v>0.00919</v>
      </c>
      <c r="M336" s="100">
        <f t="shared" si="2"/>
        <v>0.0106604</v>
      </c>
      <c r="N336" s="90"/>
    </row>
    <row r="337">
      <c r="A337" s="114"/>
      <c r="B337" s="114"/>
      <c r="C337" s="115" t="s">
        <v>424</v>
      </c>
      <c r="D337" s="120">
        <v>500.0</v>
      </c>
      <c r="E337" s="121" t="s">
        <v>60</v>
      </c>
      <c r="F337" s="118">
        <v>3.85</v>
      </c>
      <c r="G337" s="84">
        <v>0.08</v>
      </c>
      <c r="H337" s="96">
        <f>IF(Settings!$D$7=true, 1-G337,1)</f>
        <v>0.92</v>
      </c>
      <c r="I337" s="119" t="s">
        <v>55</v>
      </c>
      <c r="J337" s="97" t="s">
        <v>56</v>
      </c>
      <c r="K337" s="119"/>
      <c r="L337" s="99">
        <f t="shared" si="1"/>
        <v>0.0077</v>
      </c>
      <c r="M337" s="100">
        <f t="shared" si="2"/>
        <v>0.008316</v>
      </c>
      <c r="N337" s="90"/>
    </row>
    <row r="338">
      <c r="A338" s="114"/>
      <c r="B338" s="114"/>
      <c r="C338" s="115" t="s">
        <v>425</v>
      </c>
      <c r="D338" s="120">
        <v>2500.0</v>
      </c>
      <c r="E338" s="121" t="s">
        <v>60</v>
      </c>
      <c r="F338" s="118">
        <v>17.77</v>
      </c>
      <c r="G338" s="84">
        <v>0.39</v>
      </c>
      <c r="H338" s="96">
        <f>IF(Settings!$D$7=true, 1-G338,1)</f>
        <v>0.61</v>
      </c>
      <c r="I338" s="119" t="s">
        <v>55</v>
      </c>
      <c r="J338" s="97" t="s">
        <v>62</v>
      </c>
      <c r="K338" s="119"/>
      <c r="L338" s="99">
        <f t="shared" si="1"/>
        <v>0.007108</v>
      </c>
      <c r="M338" s="100">
        <f t="shared" si="2"/>
        <v>0.00988012</v>
      </c>
      <c r="N338" s="90"/>
    </row>
    <row r="339">
      <c r="A339" s="123"/>
      <c r="B339" s="123"/>
      <c r="C339" s="115" t="s">
        <v>426</v>
      </c>
      <c r="D339" s="120">
        <v>1000.0</v>
      </c>
      <c r="E339" s="121" t="s">
        <v>69</v>
      </c>
      <c r="F339" s="118">
        <v>1.742</v>
      </c>
      <c r="G339" s="84">
        <v>0.1</v>
      </c>
      <c r="H339" s="96">
        <f>IF(Settings!$D$7=true, 1-G339,1)</f>
        <v>0.9</v>
      </c>
      <c r="I339" s="124" t="s">
        <v>67</v>
      </c>
      <c r="J339" s="97" t="s">
        <v>59</v>
      </c>
      <c r="K339" s="119"/>
      <c r="L339" s="99">
        <f t="shared" si="1"/>
        <v>0.001742</v>
      </c>
      <c r="M339" s="100">
        <f t="shared" si="2"/>
        <v>0.0019162</v>
      </c>
      <c r="N339" s="90"/>
    </row>
    <row r="340">
      <c r="A340" s="114"/>
      <c r="B340" s="114"/>
      <c r="C340" s="115" t="s">
        <v>427</v>
      </c>
      <c r="D340" s="120">
        <v>3000.0</v>
      </c>
      <c r="E340" s="121" t="s">
        <v>60</v>
      </c>
      <c r="F340" s="118">
        <v>14.76</v>
      </c>
      <c r="G340" s="84">
        <v>0.11</v>
      </c>
      <c r="H340" s="96">
        <f>IF(Settings!$D$7=true, 1-G340,1)</f>
        <v>0.89</v>
      </c>
      <c r="I340" s="119" t="s">
        <v>55</v>
      </c>
      <c r="J340" s="97" t="s">
        <v>62</v>
      </c>
      <c r="K340" s="119"/>
      <c r="L340" s="99">
        <f t="shared" si="1"/>
        <v>0.00492</v>
      </c>
      <c r="M340" s="100">
        <f t="shared" si="2"/>
        <v>0.0054612</v>
      </c>
      <c r="N340" s="90"/>
    </row>
    <row r="341">
      <c r="A341" s="123"/>
      <c r="B341" s="123"/>
      <c r="C341" s="115" t="s">
        <v>428</v>
      </c>
      <c r="D341" s="116">
        <v>1000.0</v>
      </c>
      <c r="E341" s="117" t="s">
        <v>60</v>
      </c>
      <c r="F341" s="118">
        <v>9.8</v>
      </c>
      <c r="G341" s="84">
        <v>0.39</v>
      </c>
      <c r="H341" s="96">
        <f>IF(Settings!$D$7=true, 1-G341,1)</f>
        <v>0.61</v>
      </c>
      <c r="I341" s="124" t="s">
        <v>58</v>
      </c>
      <c r="J341" s="97" t="s">
        <v>65</v>
      </c>
      <c r="K341" s="119"/>
      <c r="L341" s="99">
        <f t="shared" si="1"/>
        <v>0.0098</v>
      </c>
      <c r="M341" s="100">
        <f t="shared" si="2"/>
        <v>0.013622</v>
      </c>
      <c r="N341" s="90"/>
    </row>
    <row r="342">
      <c r="A342" s="123"/>
      <c r="B342" s="123"/>
      <c r="C342" s="115" t="s">
        <v>429</v>
      </c>
      <c r="D342" s="120">
        <v>800.0</v>
      </c>
      <c r="E342" s="121" t="s">
        <v>60</v>
      </c>
      <c r="F342" s="118">
        <v>35.56</v>
      </c>
      <c r="G342" s="84">
        <v>0.14</v>
      </c>
      <c r="H342" s="96">
        <f>IF(Settings!$D$7=true, 1-G342,1)</f>
        <v>0.86</v>
      </c>
      <c r="I342" s="124" t="s">
        <v>61</v>
      </c>
      <c r="J342" s="97" t="s">
        <v>71</v>
      </c>
      <c r="K342" s="119"/>
      <c r="L342" s="99">
        <f t="shared" si="1"/>
        <v>0.04445</v>
      </c>
      <c r="M342" s="100">
        <f t="shared" si="2"/>
        <v>0.050673</v>
      </c>
      <c r="N342" s="90"/>
    </row>
    <row r="343">
      <c r="A343" s="123"/>
      <c r="B343" s="123"/>
      <c r="C343" s="115" t="s">
        <v>430</v>
      </c>
      <c r="D343" s="120">
        <v>4.0</v>
      </c>
      <c r="E343" s="121" t="s">
        <v>57</v>
      </c>
      <c r="F343" s="118">
        <v>32.14</v>
      </c>
      <c r="G343" s="84">
        <v>0.1</v>
      </c>
      <c r="H343" s="96">
        <f>IF(Settings!$D$7=true, 1-G343,1)</f>
        <v>0.9</v>
      </c>
      <c r="I343" s="124" t="s">
        <v>61</v>
      </c>
      <c r="J343" s="97" t="s">
        <v>71</v>
      </c>
      <c r="K343" s="119"/>
      <c r="L343" s="99">
        <f t="shared" si="1"/>
        <v>8.035</v>
      </c>
      <c r="M343" s="100">
        <f t="shared" si="2"/>
        <v>8.8385</v>
      </c>
      <c r="N343" s="90"/>
    </row>
    <row r="344">
      <c r="A344" s="123"/>
      <c r="B344" s="123"/>
      <c r="C344" s="115" t="s">
        <v>431</v>
      </c>
      <c r="D344" s="120">
        <v>2.0</v>
      </c>
      <c r="E344" s="121" t="s">
        <v>57</v>
      </c>
      <c r="F344" s="118">
        <v>18.75</v>
      </c>
      <c r="G344" s="84">
        <v>0.11</v>
      </c>
      <c r="H344" s="96">
        <f>IF(Settings!$D$7=true, 1-G344,1)</f>
        <v>0.89</v>
      </c>
      <c r="I344" s="124" t="s">
        <v>61</v>
      </c>
      <c r="J344" s="97" t="s">
        <v>71</v>
      </c>
      <c r="K344" s="119"/>
      <c r="L344" s="99">
        <f t="shared" si="1"/>
        <v>9.375</v>
      </c>
      <c r="M344" s="100">
        <f t="shared" si="2"/>
        <v>10.40625</v>
      </c>
      <c r="N344" s="90"/>
    </row>
    <row r="345">
      <c r="A345" s="114"/>
      <c r="B345" s="114"/>
      <c r="C345" s="115" t="s">
        <v>432</v>
      </c>
      <c r="D345" s="120">
        <v>2000.0</v>
      </c>
      <c r="E345" s="121" t="s">
        <v>60</v>
      </c>
      <c r="F345" s="118">
        <v>23.78</v>
      </c>
      <c r="G345" s="84">
        <v>0.27</v>
      </c>
      <c r="H345" s="96">
        <f>IF(Settings!$D$7=true, 1-G345,1)</f>
        <v>0.73</v>
      </c>
      <c r="I345" s="119" t="s">
        <v>55</v>
      </c>
      <c r="J345" s="97" t="s">
        <v>62</v>
      </c>
      <c r="K345" s="119"/>
      <c r="L345" s="99">
        <f t="shared" si="1"/>
        <v>0.01189</v>
      </c>
      <c r="M345" s="100">
        <f t="shared" si="2"/>
        <v>0.0151003</v>
      </c>
      <c r="N345" s="90"/>
    </row>
    <row r="346">
      <c r="A346" s="114"/>
      <c r="B346" s="114"/>
      <c r="C346" s="115" t="s">
        <v>433</v>
      </c>
      <c r="D346" s="120">
        <v>5000.0</v>
      </c>
      <c r="E346" s="121" t="s">
        <v>60</v>
      </c>
      <c r="F346" s="118">
        <v>161.88</v>
      </c>
      <c r="G346" s="84">
        <v>0.04</v>
      </c>
      <c r="H346" s="96">
        <f>IF(Settings!$D$7=true, 1-G346,1)</f>
        <v>0.96</v>
      </c>
      <c r="I346" s="119" t="s">
        <v>55</v>
      </c>
      <c r="J346" s="97" t="s">
        <v>56</v>
      </c>
      <c r="K346" s="119"/>
      <c r="L346" s="99">
        <f t="shared" si="1"/>
        <v>0.032376</v>
      </c>
      <c r="M346" s="100">
        <f t="shared" si="2"/>
        <v>0.03367104</v>
      </c>
      <c r="N346" s="90"/>
    </row>
    <row r="347">
      <c r="A347" s="114"/>
      <c r="B347" s="114"/>
      <c r="C347" s="115" t="s">
        <v>434</v>
      </c>
      <c r="D347" s="120">
        <v>1000.0</v>
      </c>
      <c r="E347" s="121" t="s">
        <v>60</v>
      </c>
      <c r="F347" s="118">
        <v>40.0</v>
      </c>
      <c r="G347" s="84">
        <v>0.2</v>
      </c>
      <c r="H347" s="96">
        <f>IF(Settings!$D$7=true, 1-G347,1)</f>
        <v>0.8</v>
      </c>
      <c r="I347" s="119" t="s">
        <v>55</v>
      </c>
      <c r="J347" s="97" t="s">
        <v>56</v>
      </c>
      <c r="K347" s="119"/>
      <c r="L347" s="99">
        <f t="shared" si="1"/>
        <v>0.04</v>
      </c>
      <c r="M347" s="100">
        <f t="shared" si="2"/>
        <v>0.048</v>
      </c>
      <c r="N347" s="90"/>
    </row>
    <row r="348">
      <c r="A348" s="123"/>
      <c r="B348" s="123"/>
      <c r="C348" s="115" t="s">
        <v>435</v>
      </c>
      <c r="D348" s="120">
        <v>180.0</v>
      </c>
      <c r="E348" s="121" t="s">
        <v>60</v>
      </c>
      <c r="F348" s="118">
        <v>1.55</v>
      </c>
      <c r="G348" s="84">
        <v>0.32</v>
      </c>
      <c r="H348" s="96">
        <f>IF(Settings!$D$7=true, 1-G348,1)</f>
        <v>0.68</v>
      </c>
      <c r="I348" s="124" t="s">
        <v>74</v>
      </c>
      <c r="J348" s="97" t="s">
        <v>62</v>
      </c>
      <c r="K348" s="119"/>
      <c r="L348" s="99">
        <f t="shared" si="1"/>
        <v>0.008611111111</v>
      </c>
      <c r="M348" s="100">
        <f t="shared" si="2"/>
        <v>0.01136666667</v>
      </c>
      <c r="N348" s="90"/>
    </row>
    <row r="349">
      <c r="A349" s="114"/>
      <c r="B349" s="114"/>
      <c r="C349" s="115" t="s">
        <v>436</v>
      </c>
      <c r="D349" s="120">
        <v>1000.0</v>
      </c>
      <c r="E349" s="121" t="s">
        <v>60</v>
      </c>
      <c r="F349" s="118">
        <v>4.75</v>
      </c>
      <c r="G349" s="84">
        <v>0.17</v>
      </c>
      <c r="H349" s="96">
        <f>IF(Settings!$D$7=true, 1-G349,1)</f>
        <v>0.83</v>
      </c>
      <c r="I349" s="119" t="s">
        <v>55</v>
      </c>
      <c r="J349" s="97" t="s">
        <v>59</v>
      </c>
      <c r="K349" s="119"/>
      <c r="L349" s="99">
        <f t="shared" si="1"/>
        <v>0.00475</v>
      </c>
      <c r="M349" s="100">
        <f t="shared" si="2"/>
        <v>0.0055575</v>
      </c>
      <c r="N349" s="90"/>
    </row>
    <row r="350">
      <c r="A350" s="123"/>
      <c r="B350" s="123"/>
      <c r="C350" s="115" t="s">
        <v>437</v>
      </c>
      <c r="D350" s="120">
        <v>1000.0</v>
      </c>
      <c r="E350" s="121" t="s">
        <v>60</v>
      </c>
      <c r="F350" s="118">
        <v>43.5</v>
      </c>
      <c r="G350" s="84">
        <v>0.0</v>
      </c>
      <c r="H350" s="96">
        <f>IF(Settings!$D$7=true, 1-G350,1)</f>
        <v>1</v>
      </c>
      <c r="I350" s="124" t="s">
        <v>81</v>
      </c>
      <c r="J350" s="97" t="s">
        <v>56</v>
      </c>
      <c r="K350" s="119"/>
      <c r="L350" s="99">
        <f t="shared" si="1"/>
        <v>0.0435</v>
      </c>
      <c r="M350" s="100">
        <f t="shared" si="2"/>
        <v>0.0435</v>
      </c>
      <c r="N350" s="90"/>
    </row>
    <row r="351">
      <c r="A351" s="114"/>
      <c r="B351" s="114"/>
      <c r="C351" s="115" t="s">
        <v>438</v>
      </c>
      <c r="D351" s="116">
        <v>620.0</v>
      </c>
      <c r="E351" s="117" t="s">
        <v>60</v>
      </c>
      <c r="F351" s="118">
        <v>14.87</v>
      </c>
      <c r="G351" s="84">
        <v>0.12</v>
      </c>
      <c r="H351" s="96">
        <f>IF(Settings!$D$7=true, 1-G351,1)</f>
        <v>0.88</v>
      </c>
      <c r="I351" s="119" t="s">
        <v>55</v>
      </c>
      <c r="J351" s="97" t="s">
        <v>62</v>
      </c>
      <c r="K351" s="119"/>
      <c r="L351" s="99">
        <f t="shared" si="1"/>
        <v>0.02398387097</v>
      </c>
      <c r="M351" s="100">
        <f t="shared" si="2"/>
        <v>0.02686193548</v>
      </c>
      <c r="N351" s="90"/>
    </row>
    <row r="352">
      <c r="A352" s="114"/>
      <c r="B352" s="114"/>
      <c r="C352" s="115" t="s">
        <v>439</v>
      </c>
      <c r="D352" s="120">
        <v>16.0</v>
      </c>
      <c r="E352" s="121" t="s">
        <v>57</v>
      </c>
      <c r="F352" s="118">
        <v>4.79</v>
      </c>
      <c r="G352" s="84">
        <v>0.03</v>
      </c>
      <c r="H352" s="96">
        <f>IF(Settings!$D$7=true, 1-G352,1)</f>
        <v>0.97</v>
      </c>
      <c r="I352" s="119" t="s">
        <v>55</v>
      </c>
      <c r="J352" s="97" t="s">
        <v>56</v>
      </c>
      <c r="K352" s="119"/>
      <c r="L352" s="99">
        <f t="shared" si="1"/>
        <v>0.299375</v>
      </c>
      <c r="M352" s="100">
        <f t="shared" si="2"/>
        <v>0.30835625</v>
      </c>
      <c r="N352" s="90"/>
    </row>
    <row r="353">
      <c r="A353" s="114"/>
      <c r="B353" s="114"/>
      <c r="C353" s="115" t="s">
        <v>440</v>
      </c>
      <c r="D353" s="120">
        <v>2200.0</v>
      </c>
      <c r="E353" s="121" t="s">
        <v>69</v>
      </c>
      <c r="F353" s="118">
        <v>16.85</v>
      </c>
      <c r="G353" s="84">
        <v>0.32</v>
      </c>
      <c r="H353" s="96">
        <f>IF(Settings!$D$7=true, 1-G353,1)</f>
        <v>0.68</v>
      </c>
      <c r="I353" s="119" t="s">
        <v>55</v>
      </c>
      <c r="J353" s="97" t="s">
        <v>62</v>
      </c>
      <c r="K353" s="119"/>
      <c r="L353" s="99">
        <f t="shared" si="1"/>
        <v>0.007659090909</v>
      </c>
      <c r="M353" s="100">
        <f t="shared" si="2"/>
        <v>0.01011</v>
      </c>
      <c r="N353" s="90"/>
    </row>
    <row r="354">
      <c r="A354" s="123"/>
      <c r="B354" s="123"/>
      <c r="C354" s="115" t="s">
        <v>441</v>
      </c>
      <c r="D354" s="120">
        <v>1000.0</v>
      </c>
      <c r="E354" s="121" t="s">
        <v>60</v>
      </c>
      <c r="F354" s="118">
        <v>13.98</v>
      </c>
      <c r="G354" s="84">
        <v>0.4</v>
      </c>
      <c r="H354" s="96">
        <f>IF(Settings!$D$7=true, 1-G354,1)</f>
        <v>0.6</v>
      </c>
      <c r="I354" s="124" t="s">
        <v>61</v>
      </c>
      <c r="J354" s="97" t="s">
        <v>71</v>
      </c>
      <c r="K354" s="119"/>
      <c r="L354" s="99">
        <f t="shared" si="1"/>
        <v>0.01398</v>
      </c>
      <c r="M354" s="100">
        <f t="shared" si="2"/>
        <v>0.019572</v>
      </c>
      <c r="N354" s="90"/>
    </row>
    <row r="355">
      <c r="A355" s="114"/>
      <c r="B355" s="114"/>
      <c r="C355" s="115" t="s">
        <v>442</v>
      </c>
      <c r="D355" s="120">
        <v>1000.0</v>
      </c>
      <c r="E355" s="121" t="s">
        <v>69</v>
      </c>
      <c r="F355" s="118">
        <v>13.03</v>
      </c>
      <c r="G355" s="84">
        <v>0.19</v>
      </c>
      <c r="H355" s="96">
        <f>IF(Settings!$D$7=true, 1-G355,1)</f>
        <v>0.81</v>
      </c>
      <c r="I355" s="119" t="s">
        <v>55</v>
      </c>
      <c r="J355" s="97" t="s">
        <v>62</v>
      </c>
      <c r="K355" s="119"/>
      <c r="L355" s="99">
        <f t="shared" si="1"/>
        <v>0.01303</v>
      </c>
      <c r="M355" s="100">
        <f t="shared" si="2"/>
        <v>0.0155057</v>
      </c>
      <c r="N355" s="90"/>
    </row>
    <row r="356">
      <c r="A356" s="114"/>
      <c r="B356" s="114"/>
      <c r="C356" s="115" t="s">
        <v>443</v>
      </c>
      <c r="D356" s="120">
        <v>620.0</v>
      </c>
      <c r="E356" s="121" t="s">
        <v>69</v>
      </c>
      <c r="F356" s="118">
        <v>5.22</v>
      </c>
      <c r="G356" s="84">
        <v>0.33</v>
      </c>
      <c r="H356" s="96">
        <f>IF(Settings!$D$7=true, 1-G356,1)</f>
        <v>0.67</v>
      </c>
      <c r="I356" s="119" t="s">
        <v>55</v>
      </c>
      <c r="J356" s="97" t="s">
        <v>62</v>
      </c>
      <c r="K356" s="119"/>
      <c r="L356" s="99">
        <f t="shared" si="1"/>
        <v>0.008419354839</v>
      </c>
      <c r="M356" s="100">
        <f t="shared" si="2"/>
        <v>0.01119774194</v>
      </c>
      <c r="N356" s="90"/>
    </row>
    <row r="357">
      <c r="A357" s="114"/>
      <c r="B357" s="114"/>
      <c r="C357" s="115" t="s">
        <v>444</v>
      </c>
      <c r="D357" s="116">
        <v>300.0</v>
      </c>
      <c r="E357" s="117" t="s">
        <v>60</v>
      </c>
      <c r="F357" s="118">
        <v>7.26</v>
      </c>
      <c r="G357" s="84">
        <v>0.13</v>
      </c>
      <c r="H357" s="96">
        <f>IF(Settings!$D$7=true, 1-G357,1)</f>
        <v>0.87</v>
      </c>
      <c r="I357" s="119" t="s">
        <v>55</v>
      </c>
      <c r="J357" s="97" t="s">
        <v>62</v>
      </c>
      <c r="K357" s="119"/>
      <c r="L357" s="99">
        <f t="shared" si="1"/>
        <v>0.0242</v>
      </c>
      <c r="M357" s="100">
        <f t="shared" si="2"/>
        <v>0.027346</v>
      </c>
      <c r="N357" s="90"/>
    </row>
    <row r="358">
      <c r="A358" s="123"/>
      <c r="B358" s="123"/>
      <c r="C358" s="115" t="s">
        <v>445</v>
      </c>
      <c r="D358" s="116">
        <v>1000.0</v>
      </c>
      <c r="E358" s="117" t="s">
        <v>60</v>
      </c>
      <c r="F358" s="118">
        <v>27.44</v>
      </c>
      <c r="G358" s="84">
        <v>0.09</v>
      </c>
      <c r="H358" s="96">
        <f>IF(Settings!$D$7=true, 1-G358,1)</f>
        <v>0.91</v>
      </c>
      <c r="I358" s="124" t="s">
        <v>67</v>
      </c>
      <c r="J358" s="97" t="s">
        <v>62</v>
      </c>
      <c r="K358" s="119"/>
      <c r="L358" s="99">
        <f t="shared" si="1"/>
        <v>0.02744</v>
      </c>
      <c r="M358" s="100">
        <f t="shared" si="2"/>
        <v>0.0299096</v>
      </c>
      <c r="N358" s="90"/>
    </row>
    <row r="359">
      <c r="A359" s="123"/>
      <c r="B359" s="123"/>
      <c r="C359" s="115" t="s">
        <v>446</v>
      </c>
      <c r="D359" s="120">
        <v>420.0</v>
      </c>
      <c r="E359" s="121" t="s">
        <v>60</v>
      </c>
      <c r="F359" s="118">
        <v>1.36</v>
      </c>
      <c r="G359" s="84">
        <v>0.15</v>
      </c>
      <c r="H359" s="96">
        <f>IF(Settings!$D$7=true, 1-G359,1)</f>
        <v>0.85</v>
      </c>
      <c r="I359" s="124" t="s">
        <v>67</v>
      </c>
      <c r="J359" s="97" t="s">
        <v>59</v>
      </c>
      <c r="K359" s="119"/>
      <c r="L359" s="99">
        <f t="shared" si="1"/>
        <v>0.003238095238</v>
      </c>
      <c r="M359" s="100">
        <f t="shared" si="2"/>
        <v>0.003723809524</v>
      </c>
      <c r="N359" s="90"/>
    </row>
    <row r="360">
      <c r="A360" s="123"/>
      <c r="B360" s="123"/>
      <c r="C360" s="115" t="s">
        <v>447</v>
      </c>
      <c r="D360" s="120">
        <v>420.0</v>
      </c>
      <c r="E360" s="121" t="s">
        <v>60</v>
      </c>
      <c r="F360" s="118">
        <v>3.67</v>
      </c>
      <c r="G360" s="84">
        <v>0.21</v>
      </c>
      <c r="H360" s="96">
        <f>IF(Settings!$D$7=true, 1-G360,1)</f>
        <v>0.79</v>
      </c>
      <c r="I360" s="124" t="s">
        <v>67</v>
      </c>
      <c r="J360" s="97" t="s">
        <v>59</v>
      </c>
      <c r="K360" s="119"/>
      <c r="L360" s="99">
        <f t="shared" si="1"/>
        <v>0.008738095238</v>
      </c>
      <c r="M360" s="100">
        <f t="shared" si="2"/>
        <v>0.01057309524</v>
      </c>
      <c r="N360" s="90"/>
    </row>
    <row r="361">
      <c r="A361" s="123"/>
      <c r="B361" s="123"/>
      <c r="C361" s="115" t="s">
        <v>448</v>
      </c>
      <c r="D361" s="120">
        <v>1000.0</v>
      </c>
      <c r="E361" s="121" t="s">
        <v>60</v>
      </c>
      <c r="F361" s="118">
        <v>28.5</v>
      </c>
      <c r="G361" s="84">
        <v>0.14</v>
      </c>
      <c r="H361" s="96">
        <f>IF(Settings!$D$7=true, 1-G361,1)</f>
        <v>0.86</v>
      </c>
      <c r="I361" s="124" t="s">
        <v>58</v>
      </c>
      <c r="J361" s="97" t="s">
        <v>65</v>
      </c>
      <c r="K361" s="119"/>
      <c r="L361" s="99">
        <f t="shared" si="1"/>
        <v>0.0285</v>
      </c>
      <c r="M361" s="100">
        <f t="shared" si="2"/>
        <v>0.03249</v>
      </c>
      <c r="N361" s="90"/>
    </row>
    <row r="362">
      <c r="A362" s="123"/>
      <c r="B362" s="123"/>
      <c r="C362" s="115" t="s">
        <v>449</v>
      </c>
      <c r="D362" s="120">
        <v>150.0</v>
      </c>
      <c r="E362" s="121" t="s">
        <v>60</v>
      </c>
      <c r="F362" s="118">
        <v>4.45</v>
      </c>
      <c r="G362" s="84">
        <v>0.19</v>
      </c>
      <c r="H362" s="96">
        <f>IF(Settings!$D$7=true, 1-G362,1)</f>
        <v>0.81</v>
      </c>
      <c r="I362" s="124" t="s">
        <v>67</v>
      </c>
      <c r="J362" s="97" t="s">
        <v>59</v>
      </c>
      <c r="K362" s="119"/>
      <c r="L362" s="99">
        <f t="shared" si="1"/>
        <v>0.02966666667</v>
      </c>
      <c r="M362" s="100">
        <f t="shared" si="2"/>
        <v>0.03530333333</v>
      </c>
      <c r="N362" s="90"/>
    </row>
    <row r="363">
      <c r="A363" s="123"/>
      <c r="B363" s="123"/>
      <c r="C363" s="115" t="s">
        <v>450</v>
      </c>
      <c r="D363" s="120">
        <v>1000.0</v>
      </c>
      <c r="E363" s="121" t="s">
        <v>60</v>
      </c>
      <c r="F363" s="118">
        <v>11.48</v>
      </c>
      <c r="G363" s="84">
        <v>0.22</v>
      </c>
      <c r="H363" s="96">
        <f>IF(Settings!$D$7=true, 1-G363,1)</f>
        <v>0.78</v>
      </c>
      <c r="I363" s="124" t="s">
        <v>67</v>
      </c>
      <c r="J363" s="97" t="s">
        <v>59</v>
      </c>
      <c r="K363" s="119"/>
      <c r="L363" s="99">
        <f t="shared" si="1"/>
        <v>0.01148</v>
      </c>
      <c r="M363" s="100">
        <f t="shared" si="2"/>
        <v>0.0140056</v>
      </c>
      <c r="N363" s="90"/>
    </row>
    <row r="364">
      <c r="A364" s="125"/>
      <c r="B364" s="125"/>
      <c r="C364" s="115" t="s">
        <v>451</v>
      </c>
      <c r="D364" s="126">
        <v>1000.0</v>
      </c>
      <c r="E364" s="117" t="s">
        <v>69</v>
      </c>
      <c r="F364" s="127">
        <v>2.7</v>
      </c>
      <c r="G364" s="84">
        <v>0.16</v>
      </c>
      <c r="H364" s="96">
        <f>IF(Settings!$D$7=true, 1-G364,1)</f>
        <v>0.84</v>
      </c>
      <c r="I364" s="128" t="s">
        <v>55</v>
      </c>
      <c r="J364" s="97" t="s">
        <v>62</v>
      </c>
      <c r="K364" s="119"/>
      <c r="L364" s="99">
        <f t="shared" si="1"/>
        <v>0.0027</v>
      </c>
      <c r="M364" s="100">
        <f t="shared" si="2"/>
        <v>0.003132</v>
      </c>
      <c r="N364" s="90"/>
    </row>
    <row r="365">
      <c r="A365" s="125"/>
      <c r="B365" s="125"/>
      <c r="C365" s="115" t="s">
        <v>452</v>
      </c>
      <c r="D365" s="126">
        <v>2000.0</v>
      </c>
      <c r="E365" s="117" t="s">
        <v>69</v>
      </c>
      <c r="F365" s="127">
        <v>11.09</v>
      </c>
      <c r="G365" s="84">
        <v>0.04</v>
      </c>
      <c r="H365" s="96">
        <f>IF(Settings!$D$7=true, 1-G365,1)</f>
        <v>0.96</v>
      </c>
      <c r="I365" s="128" t="s">
        <v>55</v>
      </c>
      <c r="J365" s="97" t="s">
        <v>62</v>
      </c>
      <c r="K365" s="119"/>
      <c r="L365" s="99">
        <f t="shared" si="1"/>
        <v>0.005545</v>
      </c>
      <c r="M365" s="100">
        <f t="shared" si="2"/>
        <v>0.0057668</v>
      </c>
      <c r="N365" s="90"/>
    </row>
    <row r="366">
      <c r="A366" s="125"/>
      <c r="B366" s="125"/>
      <c r="C366" s="115" t="s">
        <v>453</v>
      </c>
      <c r="D366" s="126">
        <v>500.0</v>
      </c>
      <c r="E366" s="117" t="s">
        <v>60</v>
      </c>
      <c r="F366" s="127">
        <v>9.13</v>
      </c>
      <c r="G366" s="84">
        <v>0.15</v>
      </c>
      <c r="H366" s="96">
        <f>IF(Settings!$D$7=true, 1-G366,1)</f>
        <v>0.85</v>
      </c>
      <c r="I366" s="128" t="s">
        <v>55</v>
      </c>
      <c r="J366" s="97" t="s">
        <v>62</v>
      </c>
      <c r="K366" s="119"/>
      <c r="L366" s="99">
        <f t="shared" si="1"/>
        <v>0.01826</v>
      </c>
      <c r="M366" s="100">
        <f t="shared" si="2"/>
        <v>0.020999</v>
      </c>
      <c r="N366" s="90"/>
    </row>
    <row r="367">
      <c r="A367" s="125"/>
      <c r="B367" s="125"/>
      <c r="C367" s="115" t="s">
        <v>454</v>
      </c>
      <c r="D367" s="126">
        <v>2950.0</v>
      </c>
      <c r="E367" s="117" t="s">
        <v>60</v>
      </c>
      <c r="F367" s="127">
        <v>6.21</v>
      </c>
      <c r="G367" s="84">
        <v>0.32</v>
      </c>
      <c r="H367" s="96">
        <f>IF(Settings!$D$7=true, 1-G367,1)</f>
        <v>0.68</v>
      </c>
      <c r="I367" s="128" t="s">
        <v>55</v>
      </c>
      <c r="J367" s="97" t="s">
        <v>62</v>
      </c>
      <c r="K367" s="119"/>
      <c r="L367" s="99">
        <f t="shared" si="1"/>
        <v>0.002105084746</v>
      </c>
      <c r="M367" s="100">
        <f t="shared" si="2"/>
        <v>0.002778711864</v>
      </c>
      <c r="N367" s="90"/>
    </row>
    <row r="368">
      <c r="A368" s="123"/>
      <c r="B368" s="123"/>
      <c r="C368" s="115" t="s">
        <v>455</v>
      </c>
      <c r="D368" s="126">
        <v>1500.0</v>
      </c>
      <c r="E368" s="117" t="s">
        <v>60</v>
      </c>
      <c r="F368" s="127">
        <v>10.5</v>
      </c>
      <c r="G368" s="84">
        <v>0.33</v>
      </c>
      <c r="H368" s="96">
        <f>IF(Settings!$D$7=true, 1-G368,1)</f>
        <v>0.67</v>
      </c>
      <c r="I368" s="124" t="s">
        <v>58</v>
      </c>
      <c r="J368" s="97" t="s">
        <v>65</v>
      </c>
      <c r="K368" s="119"/>
      <c r="L368" s="99">
        <f t="shared" si="1"/>
        <v>0.007</v>
      </c>
      <c r="M368" s="100">
        <f t="shared" si="2"/>
        <v>0.00931</v>
      </c>
      <c r="N368" s="90"/>
    </row>
    <row r="369">
      <c r="A369" s="125"/>
      <c r="B369" s="125"/>
      <c r="C369" s="115" t="s">
        <v>456</v>
      </c>
      <c r="D369" s="126">
        <v>500.0</v>
      </c>
      <c r="E369" s="117" t="s">
        <v>60</v>
      </c>
      <c r="F369" s="127">
        <v>12.81</v>
      </c>
      <c r="G369" s="84">
        <v>0.35</v>
      </c>
      <c r="H369" s="96">
        <f>IF(Settings!$D$7=true, 1-G369,1)</f>
        <v>0.65</v>
      </c>
      <c r="I369" s="128" t="s">
        <v>55</v>
      </c>
      <c r="J369" s="97" t="s">
        <v>62</v>
      </c>
      <c r="K369" s="119"/>
      <c r="L369" s="99">
        <f t="shared" si="1"/>
        <v>0.02562</v>
      </c>
      <c r="M369" s="100">
        <f t="shared" si="2"/>
        <v>0.034587</v>
      </c>
      <c r="N369" s="90"/>
    </row>
    <row r="370">
      <c r="A370" s="125"/>
      <c r="B370" s="125"/>
      <c r="C370" s="115" t="s">
        <v>457</v>
      </c>
      <c r="D370" s="126">
        <v>1000.0</v>
      </c>
      <c r="E370" s="117" t="s">
        <v>60</v>
      </c>
      <c r="F370" s="127">
        <v>14.3</v>
      </c>
      <c r="G370" s="84">
        <v>0.04</v>
      </c>
      <c r="H370" s="96">
        <f>IF(Settings!$D$7=true, 1-G370,1)</f>
        <v>0.96</v>
      </c>
      <c r="I370" s="128" t="s">
        <v>55</v>
      </c>
      <c r="J370" s="97" t="s">
        <v>62</v>
      </c>
      <c r="K370" s="119"/>
      <c r="L370" s="99">
        <f t="shared" si="1"/>
        <v>0.0143</v>
      </c>
      <c r="M370" s="100">
        <f t="shared" si="2"/>
        <v>0.014872</v>
      </c>
      <c r="N370" s="90"/>
    </row>
    <row r="371">
      <c r="A371" s="125"/>
      <c r="B371" s="125"/>
      <c r="C371" s="115" t="s">
        <v>458</v>
      </c>
      <c r="D371" s="126">
        <v>3000.0</v>
      </c>
      <c r="E371" s="117" t="s">
        <v>60</v>
      </c>
      <c r="F371" s="127">
        <v>16.97</v>
      </c>
      <c r="G371" s="84">
        <v>0.02</v>
      </c>
      <c r="H371" s="96">
        <f>IF(Settings!$D$7=true, 1-G371,1)</f>
        <v>0.98</v>
      </c>
      <c r="I371" s="128" t="s">
        <v>55</v>
      </c>
      <c r="J371" s="97" t="s">
        <v>62</v>
      </c>
      <c r="K371" s="119"/>
      <c r="L371" s="99">
        <f t="shared" si="1"/>
        <v>0.005656666667</v>
      </c>
      <c r="M371" s="100">
        <f t="shared" si="2"/>
        <v>0.0057698</v>
      </c>
      <c r="N371" s="90"/>
    </row>
    <row r="372">
      <c r="A372" s="125"/>
      <c r="B372" s="125"/>
      <c r="C372" s="115" t="s">
        <v>459</v>
      </c>
      <c r="D372" s="126">
        <v>1000.0</v>
      </c>
      <c r="E372" s="117" t="s">
        <v>69</v>
      </c>
      <c r="F372" s="127">
        <v>13.3</v>
      </c>
      <c r="G372" s="84">
        <v>0.07</v>
      </c>
      <c r="H372" s="96">
        <f>IF(Settings!$D$7=true, 1-G372,1)</f>
        <v>0.93</v>
      </c>
      <c r="I372" s="128" t="s">
        <v>55</v>
      </c>
      <c r="J372" s="97" t="s">
        <v>62</v>
      </c>
      <c r="K372" s="119"/>
      <c r="L372" s="99">
        <f t="shared" si="1"/>
        <v>0.0133</v>
      </c>
      <c r="M372" s="100">
        <f t="shared" si="2"/>
        <v>0.014231</v>
      </c>
      <c r="N372" s="90"/>
    </row>
    <row r="373">
      <c r="A373" s="125"/>
      <c r="B373" s="125"/>
      <c r="C373" s="115" t="s">
        <v>460</v>
      </c>
      <c r="D373" s="126">
        <v>1000.0</v>
      </c>
      <c r="E373" s="117" t="s">
        <v>60</v>
      </c>
      <c r="F373" s="127">
        <v>9.67</v>
      </c>
      <c r="G373" s="84">
        <v>0.38</v>
      </c>
      <c r="H373" s="96">
        <f>IF(Settings!$D$7=true, 1-G373,1)</f>
        <v>0.62</v>
      </c>
      <c r="I373" s="128" t="s">
        <v>55</v>
      </c>
      <c r="J373" s="97" t="s">
        <v>62</v>
      </c>
      <c r="K373" s="119"/>
      <c r="L373" s="99">
        <f t="shared" si="1"/>
        <v>0.00967</v>
      </c>
      <c r="M373" s="100">
        <f t="shared" si="2"/>
        <v>0.0133446</v>
      </c>
      <c r="N373" s="90"/>
    </row>
    <row r="374">
      <c r="A374" s="125"/>
      <c r="B374" s="125"/>
      <c r="C374" s="115" t="s">
        <v>461</v>
      </c>
      <c r="D374" s="126">
        <v>750.0</v>
      </c>
      <c r="E374" s="117" t="s">
        <v>60</v>
      </c>
      <c r="F374" s="127">
        <v>2.54</v>
      </c>
      <c r="G374" s="84">
        <v>0.05</v>
      </c>
      <c r="H374" s="96">
        <f>IF(Settings!$D$7=true, 1-G374,1)</f>
        <v>0.95</v>
      </c>
      <c r="I374" s="128" t="s">
        <v>55</v>
      </c>
      <c r="J374" s="97" t="s">
        <v>59</v>
      </c>
      <c r="K374" s="119"/>
      <c r="L374" s="99">
        <f t="shared" si="1"/>
        <v>0.003386666667</v>
      </c>
      <c r="M374" s="100">
        <f t="shared" si="2"/>
        <v>0.003556</v>
      </c>
      <c r="N374" s="90"/>
    </row>
    <row r="375">
      <c r="A375" s="125"/>
      <c r="B375" s="125"/>
      <c r="C375" s="115" t="s">
        <v>462</v>
      </c>
      <c r="D375" s="126">
        <v>150.0</v>
      </c>
      <c r="E375" s="117" t="s">
        <v>69</v>
      </c>
      <c r="F375" s="127">
        <v>8.91</v>
      </c>
      <c r="G375" s="84">
        <v>0.15</v>
      </c>
      <c r="H375" s="96">
        <f>IF(Settings!$D$7=true, 1-G375,1)</f>
        <v>0.85</v>
      </c>
      <c r="I375" s="128" t="s">
        <v>55</v>
      </c>
      <c r="J375" s="97" t="s">
        <v>62</v>
      </c>
      <c r="K375" s="119"/>
      <c r="L375" s="99">
        <f t="shared" si="1"/>
        <v>0.0594</v>
      </c>
      <c r="M375" s="100">
        <f t="shared" si="2"/>
        <v>0.06831</v>
      </c>
      <c r="N375" s="90"/>
    </row>
    <row r="376">
      <c r="A376" s="123"/>
      <c r="B376" s="123"/>
      <c r="C376" s="115" t="s">
        <v>463</v>
      </c>
      <c r="D376" s="126">
        <v>12000.0</v>
      </c>
      <c r="E376" s="117" t="s">
        <v>60</v>
      </c>
      <c r="F376" s="127">
        <v>56.0</v>
      </c>
      <c r="G376" s="84">
        <v>0.15</v>
      </c>
      <c r="H376" s="96">
        <f>IF(Settings!$D$7=true, 1-G376,1)</f>
        <v>0.85</v>
      </c>
      <c r="I376" s="124" t="s">
        <v>58</v>
      </c>
      <c r="J376" s="97" t="s">
        <v>65</v>
      </c>
      <c r="K376" s="119"/>
      <c r="L376" s="99">
        <f t="shared" si="1"/>
        <v>0.004666666667</v>
      </c>
      <c r="M376" s="100">
        <f t="shared" si="2"/>
        <v>0.005366666667</v>
      </c>
      <c r="N376" s="90"/>
    </row>
    <row r="377">
      <c r="A377" s="125"/>
      <c r="B377" s="125"/>
      <c r="C377" s="115" t="s">
        <v>464</v>
      </c>
      <c r="D377" s="126">
        <v>750.0</v>
      </c>
      <c r="E377" s="117" t="s">
        <v>60</v>
      </c>
      <c r="F377" s="127">
        <v>15.27</v>
      </c>
      <c r="G377" s="84">
        <v>0.08</v>
      </c>
      <c r="H377" s="96">
        <f>IF(Settings!$D$7=true, 1-G377,1)</f>
        <v>0.92</v>
      </c>
      <c r="I377" s="128" t="s">
        <v>55</v>
      </c>
      <c r="J377" s="97" t="s">
        <v>62</v>
      </c>
      <c r="K377" s="119"/>
      <c r="L377" s="99">
        <f t="shared" si="1"/>
        <v>0.02036</v>
      </c>
      <c r="M377" s="100">
        <f t="shared" si="2"/>
        <v>0.0219888</v>
      </c>
      <c r="N377" s="90"/>
    </row>
    <row r="378">
      <c r="A378" s="123"/>
      <c r="B378" s="123"/>
      <c r="C378" s="115" t="s">
        <v>465</v>
      </c>
      <c r="D378" s="126">
        <v>50.0</v>
      </c>
      <c r="E378" s="117" t="s">
        <v>57</v>
      </c>
      <c r="F378" s="127">
        <v>2.2</v>
      </c>
      <c r="G378" s="84">
        <v>0.18</v>
      </c>
      <c r="H378" s="96">
        <f>IF(Settings!$D$7=true, 1-G378,1)</f>
        <v>0.82</v>
      </c>
      <c r="I378" s="124" t="s">
        <v>74</v>
      </c>
      <c r="J378" s="97" t="s">
        <v>62</v>
      </c>
      <c r="K378" s="119"/>
      <c r="L378" s="99">
        <f t="shared" si="1"/>
        <v>0.044</v>
      </c>
      <c r="M378" s="100">
        <f t="shared" si="2"/>
        <v>0.05192</v>
      </c>
      <c r="N378" s="90"/>
    </row>
    <row r="379">
      <c r="A379" s="123"/>
      <c r="B379" s="123"/>
      <c r="C379" s="115" t="s">
        <v>466</v>
      </c>
      <c r="D379" s="126">
        <v>770.0</v>
      </c>
      <c r="E379" s="117" t="s">
        <v>69</v>
      </c>
      <c r="F379" s="127">
        <v>5.82</v>
      </c>
      <c r="G379" s="84">
        <v>0.17</v>
      </c>
      <c r="H379" s="96">
        <f>IF(Settings!$D$7=true, 1-G379,1)</f>
        <v>0.83</v>
      </c>
      <c r="I379" s="124" t="s">
        <v>67</v>
      </c>
      <c r="J379" s="97" t="s">
        <v>62</v>
      </c>
      <c r="K379" s="119"/>
      <c r="L379" s="99">
        <f t="shared" si="1"/>
        <v>0.007558441558</v>
      </c>
      <c r="M379" s="100">
        <f t="shared" si="2"/>
        <v>0.008843376623</v>
      </c>
      <c r="N379" s="90"/>
    </row>
    <row r="380">
      <c r="A380" s="123"/>
      <c r="B380" s="123"/>
      <c r="C380" s="115" t="s">
        <v>467</v>
      </c>
      <c r="D380" s="126">
        <v>1000.0</v>
      </c>
      <c r="E380" s="117" t="s">
        <v>60</v>
      </c>
      <c r="F380" s="127">
        <v>3.2</v>
      </c>
      <c r="G380" s="84">
        <v>0.24</v>
      </c>
      <c r="H380" s="96">
        <f>IF(Settings!$D$7=true, 1-G380,1)</f>
        <v>0.76</v>
      </c>
      <c r="I380" s="124" t="s">
        <v>58</v>
      </c>
      <c r="J380" s="97" t="s">
        <v>65</v>
      </c>
      <c r="K380" s="119"/>
      <c r="L380" s="99">
        <f t="shared" si="1"/>
        <v>0.0032</v>
      </c>
      <c r="M380" s="100">
        <f t="shared" si="2"/>
        <v>0.003968</v>
      </c>
      <c r="N380" s="90"/>
    </row>
    <row r="381">
      <c r="A381" s="125"/>
      <c r="B381" s="125"/>
      <c r="C381" s="115" t="s">
        <v>468</v>
      </c>
      <c r="D381" s="126">
        <v>1000.0</v>
      </c>
      <c r="E381" s="117" t="s">
        <v>60</v>
      </c>
      <c r="F381" s="127">
        <v>30.98</v>
      </c>
      <c r="G381" s="84">
        <v>0.25</v>
      </c>
      <c r="H381" s="96">
        <f>IF(Settings!$D$7=true, 1-G381,1)</f>
        <v>0.75</v>
      </c>
      <c r="I381" s="128" t="s">
        <v>55</v>
      </c>
      <c r="J381" s="97" t="s">
        <v>62</v>
      </c>
      <c r="K381" s="119"/>
      <c r="L381" s="99">
        <f t="shared" si="1"/>
        <v>0.03098</v>
      </c>
      <c r="M381" s="100">
        <f t="shared" si="2"/>
        <v>0.038725</v>
      </c>
      <c r="N381" s="90"/>
    </row>
    <row r="382">
      <c r="A382" s="123"/>
      <c r="B382" s="123"/>
      <c r="C382" s="115" t="s">
        <v>469</v>
      </c>
      <c r="D382" s="126">
        <v>645.0</v>
      </c>
      <c r="E382" s="117" t="s">
        <v>69</v>
      </c>
      <c r="F382" s="127">
        <v>3.74</v>
      </c>
      <c r="G382" s="84">
        <v>0.31</v>
      </c>
      <c r="H382" s="96">
        <f>IF(Settings!$D$7=true, 1-G382,1)</f>
        <v>0.69</v>
      </c>
      <c r="I382" s="124" t="s">
        <v>67</v>
      </c>
      <c r="J382" s="97" t="s">
        <v>62</v>
      </c>
      <c r="K382" s="119"/>
      <c r="L382" s="99">
        <f t="shared" si="1"/>
        <v>0.005798449612</v>
      </c>
      <c r="M382" s="100">
        <f t="shared" si="2"/>
        <v>0.007595968992</v>
      </c>
      <c r="N382" s="90"/>
    </row>
    <row r="383">
      <c r="A383" s="123"/>
      <c r="B383" s="123"/>
      <c r="C383" s="115" t="s">
        <v>470</v>
      </c>
      <c r="D383" s="126">
        <v>805.0</v>
      </c>
      <c r="E383" s="117" t="s">
        <v>60</v>
      </c>
      <c r="F383" s="127">
        <v>3.38</v>
      </c>
      <c r="G383" s="84">
        <v>0.18</v>
      </c>
      <c r="H383" s="96">
        <f>IF(Settings!$D$7=true, 1-G383,1)</f>
        <v>0.82</v>
      </c>
      <c r="I383" s="124" t="s">
        <v>67</v>
      </c>
      <c r="J383" s="97" t="s">
        <v>59</v>
      </c>
      <c r="K383" s="119"/>
      <c r="L383" s="99">
        <f t="shared" si="1"/>
        <v>0.004198757764</v>
      </c>
      <c r="M383" s="100">
        <f t="shared" si="2"/>
        <v>0.004954534161</v>
      </c>
      <c r="N383" s="90"/>
    </row>
    <row r="384">
      <c r="A384" s="125"/>
      <c r="B384" s="125"/>
      <c r="C384" s="115" t="s">
        <v>471</v>
      </c>
      <c r="D384" s="126">
        <v>72.0</v>
      </c>
      <c r="E384" s="117" t="s">
        <v>57</v>
      </c>
      <c r="F384" s="127">
        <v>57.75</v>
      </c>
      <c r="G384" s="84">
        <v>0.23</v>
      </c>
      <c r="H384" s="96">
        <f>IF(Settings!$D$7=true, 1-G384,1)</f>
        <v>0.77</v>
      </c>
      <c r="I384" s="128" t="s">
        <v>55</v>
      </c>
      <c r="J384" s="97" t="s">
        <v>59</v>
      </c>
      <c r="K384" s="119"/>
      <c r="L384" s="99">
        <f t="shared" si="1"/>
        <v>0.8020833333</v>
      </c>
      <c r="M384" s="100">
        <f t="shared" si="2"/>
        <v>0.9865625</v>
      </c>
      <c r="N384" s="90"/>
    </row>
    <row r="385">
      <c r="A385" s="123"/>
      <c r="B385" s="123"/>
      <c r="C385" s="115" t="s">
        <v>472</v>
      </c>
      <c r="D385" s="126">
        <v>770.0</v>
      </c>
      <c r="E385" s="117" t="s">
        <v>60</v>
      </c>
      <c r="F385" s="127">
        <v>1.99</v>
      </c>
      <c r="G385" s="84">
        <v>0.0</v>
      </c>
      <c r="H385" s="96">
        <f>IF(Settings!$D$7=true, 1-G385,1)</f>
        <v>1</v>
      </c>
      <c r="I385" s="124" t="s">
        <v>67</v>
      </c>
      <c r="J385" s="97" t="s">
        <v>59</v>
      </c>
      <c r="K385" s="119"/>
      <c r="L385" s="99">
        <f t="shared" si="1"/>
        <v>0.002584415584</v>
      </c>
      <c r="M385" s="100">
        <f t="shared" si="2"/>
        <v>0.002584415584</v>
      </c>
      <c r="N385" s="90"/>
    </row>
    <row r="386">
      <c r="A386" s="123"/>
      <c r="B386" s="123"/>
      <c r="C386" s="115" t="s">
        <v>473</v>
      </c>
      <c r="D386" s="126">
        <v>2650.0</v>
      </c>
      <c r="E386" s="117" t="s">
        <v>60</v>
      </c>
      <c r="F386" s="127">
        <v>8.05</v>
      </c>
      <c r="G386" s="84">
        <v>0.31</v>
      </c>
      <c r="H386" s="96">
        <f>IF(Settings!$D$7=true, 1-G386,1)</f>
        <v>0.69</v>
      </c>
      <c r="I386" s="124" t="s">
        <v>67</v>
      </c>
      <c r="J386" s="97" t="s">
        <v>59</v>
      </c>
      <c r="K386" s="119"/>
      <c r="L386" s="99">
        <f t="shared" si="1"/>
        <v>0.003037735849</v>
      </c>
      <c r="M386" s="100">
        <f t="shared" si="2"/>
        <v>0.003979433962</v>
      </c>
      <c r="N386" s="90"/>
    </row>
    <row r="387">
      <c r="A387" s="125"/>
      <c r="B387" s="125"/>
      <c r="C387" s="115" t="s">
        <v>474</v>
      </c>
      <c r="D387" s="126">
        <v>1000.0</v>
      </c>
      <c r="E387" s="117" t="s">
        <v>60</v>
      </c>
      <c r="F387" s="127">
        <v>14.67</v>
      </c>
      <c r="G387" s="84">
        <v>0.38</v>
      </c>
      <c r="H387" s="96">
        <f>IF(Settings!$D$7=true, 1-G387,1)</f>
        <v>0.62</v>
      </c>
      <c r="I387" s="128" t="s">
        <v>55</v>
      </c>
      <c r="J387" s="97" t="s">
        <v>62</v>
      </c>
      <c r="K387" s="119"/>
      <c r="L387" s="99">
        <f t="shared" si="1"/>
        <v>0.01467</v>
      </c>
      <c r="M387" s="100">
        <f t="shared" si="2"/>
        <v>0.0202446</v>
      </c>
      <c r="N387" s="90"/>
    </row>
    <row r="388">
      <c r="A388" s="125"/>
      <c r="B388" s="125"/>
      <c r="C388" s="115" t="s">
        <v>475</v>
      </c>
      <c r="D388" s="126">
        <v>750.0</v>
      </c>
      <c r="E388" s="117" t="s">
        <v>60</v>
      </c>
      <c r="F388" s="127">
        <v>8.04</v>
      </c>
      <c r="G388" s="84">
        <v>0.28</v>
      </c>
      <c r="H388" s="96">
        <f>IF(Settings!$D$7=true, 1-G388,1)</f>
        <v>0.72</v>
      </c>
      <c r="I388" s="128" t="s">
        <v>55</v>
      </c>
      <c r="J388" s="97" t="s">
        <v>62</v>
      </c>
      <c r="K388" s="119"/>
      <c r="L388" s="99">
        <f t="shared" si="1"/>
        <v>0.01072</v>
      </c>
      <c r="M388" s="100">
        <f t="shared" si="2"/>
        <v>0.0137216</v>
      </c>
      <c r="N388" s="90"/>
    </row>
    <row r="389">
      <c r="A389" s="123"/>
      <c r="B389" s="123"/>
      <c r="C389" s="115" t="s">
        <v>476</v>
      </c>
      <c r="D389" s="126">
        <v>4460.0</v>
      </c>
      <c r="E389" s="117" t="s">
        <v>60</v>
      </c>
      <c r="F389" s="127">
        <v>37.08</v>
      </c>
      <c r="G389" s="84">
        <v>0.11</v>
      </c>
      <c r="H389" s="96">
        <f>IF(Settings!$D$7=true, 1-G389,1)</f>
        <v>0.89</v>
      </c>
      <c r="I389" s="124" t="s">
        <v>67</v>
      </c>
      <c r="J389" s="97" t="s">
        <v>59</v>
      </c>
      <c r="K389" s="119"/>
      <c r="L389" s="99">
        <f t="shared" si="1"/>
        <v>0.008313901345</v>
      </c>
      <c r="M389" s="100">
        <f t="shared" si="2"/>
        <v>0.009228430493</v>
      </c>
      <c r="N389" s="90"/>
    </row>
    <row r="390">
      <c r="A390" s="125"/>
      <c r="B390" s="125"/>
      <c r="C390" s="115" t="s">
        <v>477</v>
      </c>
      <c r="D390" s="126">
        <v>5000.0</v>
      </c>
      <c r="E390" s="117" t="s">
        <v>60</v>
      </c>
      <c r="F390" s="127">
        <v>105.45</v>
      </c>
      <c r="G390" s="84">
        <v>0.37</v>
      </c>
      <c r="H390" s="96">
        <f>IF(Settings!$D$7=true, 1-G390,1)</f>
        <v>0.63</v>
      </c>
      <c r="I390" s="128" t="s">
        <v>55</v>
      </c>
      <c r="J390" s="97" t="s">
        <v>56</v>
      </c>
      <c r="K390" s="119"/>
      <c r="L390" s="99">
        <f t="shared" si="1"/>
        <v>0.02109</v>
      </c>
      <c r="M390" s="100">
        <f t="shared" si="2"/>
        <v>0.0288933</v>
      </c>
      <c r="N390" s="90"/>
    </row>
    <row r="391">
      <c r="A391" s="123"/>
      <c r="B391" s="123"/>
      <c r="C391" s="115" t="s">
        <v>478</v>
      </c>
      <c r="D391" s="126">
        <v>5000.0</v>
      </c>
      <c r="E391" s="117" t="s">
        <v>60</v>
      </c>
      <c r="F391" s="127">
        <v>160.0</v>
      </c>
      <c r="G391" s="84">
        <v>0.08</v>
      </c>
      <c r="H391" s="96">
        <f>IF(Settings!$D$7=true, 1-G391,1)</f>
        <v>0.92</v>
      </c>
      <c r="I391" s="124" t="s">
        <v>81</v>
      </c>
      <c r="J391" s="97" t="s">
        <v>56</v>
      </c>
      <c r="K391" s="119"/>
      <c r="L391" s="99">
        <f t="shared" si="1"/>
        <v>0.032</v>
      </c>
      <c r="M391" s="100">
        <f t="shared" si="2"/>
        <v>0.03456</v>
      </c>
      <c r="N391" s="90"/>
    </row>
    <row r="392">
      <c r="A392" s="125"/>
      <c r="B392" s="125"/>
      <c r="C392" s="115" t="s">
        <v>479</v>
      </c>
      <c r="D392" s="126">
        <v>500.0</v>
      </c>
      <c r="E392" s="117" t="s">
        <v>60</v>
      </c>
      <c r="F392" s="127">
        <v>8.42</v>
      </c>
      <c r="G392" s="84">
        <v>0.04</v>
      </c>
      <c r="H392" s="96">
        <f>IF(Settings!$D$7=true, 1-G392,1)</f>
        <v>0.96</v>
      </c>
      <c r="I392" s="128" t="s">
        <v>55</v>
      </c>
      <c r="J392" s="97" t="s">
        <v>62</v>
      </c>
      <c r="K392" s="119"/>
      <c r="L392" s="99">
        <f t="shared" si="1"/>
        <v>0.01684</v>
      </c>
      <c r="M392" s="100">
        <f t="shared" si="2"/>
        <v>0.0175136</v>
      </c>
      <c r="N392" s="90"/>
    </row>
    <row r="393">
      <c r="A393" s="125"/>
      <c r="B393" s="125"/>
      <c r="C393" s="115" t="s">
        <v>480</v>
      </c>
      <c r="D393" s="126">
        <v>500.0</v>
      </c>
      <c r="E393" s="117" t="s">
        <v>60</v>
      </c>
      <c r="F393" s="127">
        <v>15.23</v>
      </c>
      <c r="G393" s="84">
        <v>0.36</v>
      </c>
      <c r="H393" s="96">
        <f>IF(Settings!$D$7=true, 1-G393,1)</f>
        <v>0.64</v>
      </c>
      <c r="I393" s="128" t="s">
        <v>55</v>
      </c>
      <c r="J393" s="97" t="s">
        <v>62</v>
      </c>
      <c r="K393" s="119"/>
      <c r="L393" s="99">
        <f t="shared" si="1"/>
        <v>0.03046</v>
      </c>
      <c r="M393" s="100">
        <f t="shared" si="2"/>
        <v>0.0414256</v>
      </c>
      <c r="N393" s="90"/>
    </row>
    <row r="394">
      <c r="A394" s="125"/>
      <c r="B394" s="125"/>
      <c r="C394" s="115" t="s">
        <v>481</v>
      </c>
      <c r="D394" s="126">
        <v>850.0</v>
      </c>
      <c r="E394" s="117" t="s">
        <v>60</v>
      </c>
      <c r="F394" s="127">
        <v>18.71</v>
      </c>
      <c r="G394" s="84">
        <v>0.12</v>
      </c>
      <c r="H394" s="96">
        <f>IF(Settings!$D$7=true, 1-G394,1)</f>
        <v>0.88</v>
      </c>
      <c r="I394" s="128" t="s">
        <v>55</v>
      </c>
      <c r="J394" s="97" t="s">
        <v>62</v>
      </c>
      <c r="K394" s="119"/>
      <c r="L394" s="99">
        <f t="shared" si="1"/>
        <v>0.02201176471</v>
      </c>
      <c r="M394" s="100">
        <f t="shared" si="2"/>
        <v>0.02465317647</v>
      </c>
      <c r="N394" s="90"/>
    </row>
    <row r="395">
      <c r="A395" s="123"/>
      <c r="B395" s="123"/>
      <c r="C395" s="115" t="s">
        <v>482</v>
      </c>
      <c r="D395" s="126">
        <v>1500.0</v>
      </c>
      <c r="E395" s="117" t="s">
        <v>69</v>
      </c>
      <c r="F395" s="127">
        <v>13.87</v>
      </c>
      <c r="G395" s="84">
        <v>0.18</v>
      </c>
      <c r="H395" s="96">
        <f>IF(Settings!$D$7=true, 1-G395,1)</f>
        <v>0.82</v>
      </c>
      <c r="I395" s="124" t="s">
        <v>67</v>
      </c>
      <c r="J395" s="97" t="s">
        <v>59</v>
      </c>
      <c r="K395" s="119"/>
      <c r="L395" s="99">
        <f t="shared" si="1"/>
        <v>0.009246666667</v>
      </c>
      <c r="M395" s="100">
        <f t="shared" si="2"/>
        <v>0.01091106667</v>
      </c>
      <c r="N395" s="90"/>
    </row>
    <row r="396">
      <c r="A396" s="123"/>
      <c r="B396" s="123"/>
      <c r="C396" s="115" t="s">
        <v>483</v>
      </c>
      <c r="D396" s="126">
        <v>2.0</v>
      </c>
      <c r="E396" s="117" t="s">
        <v>57</v>
      </c>
      <c r="F396" s="127">
        <v>44.48</v>
      </c>
      <c r="G396" s="84">
        <v>0.05</v>
      </c>
      <c r="H396" s="96">
        <f>IF(Settings!$D$7=true, 1-G396,1)</f>
        <v>0.95</v>
      </c>
      <c r="I396" s="124" t="s">
        <v>61</v>
      </c>
      <c r="J396" s="97" t="s">
        <v>71</v>
      </c>
      <c r="K396" s="119"/>
      <c r="L396" s="99">
        <f t="shared" si="1"/>
        <v>22.24</v>
      </c>
      <c r="M396" s="100">
        <f t="shared" si="2"/>
        <v>23.352</v>
      </c>
      <c r="N396" s="90"/>
    </row>
    <row r="397">
      <c r="A397" s="123"/>
      <c r="B397" s="123"/>
      <c r="C397" s="115" t="s">
        <v>484</v>
      </c>
      <c r="D397" s="126">
        <v>4.0</v>
      </c>
      <c r="E397" s="117" t="s">
        <v>57</v>
      </c>
      <c r="F397" s="127">
        <v>77.84</v>
      </c>
      <c r="G397" s="84">
        <v>0.1</v>
      </c>
      <c r="H397" s="96">
        <f>IF(Settings!$D$7=true, 1-G397,1)</f>
        <v>0.9</v>
      </c>
      <c r="I397" s="124" t="s">
        <v>61</v>
      </c>
      <c r="J397" s="97" t="s">
        <v>71</v>
      </c>
      <c r="K397" s="119"/>
      <c r="L397" s="99">
        <f t="shared" si="1"/>
        <v>19.46</v>
      </c>
      <c r="M397" s="100">
        <f t="shared" si="2"/>
        <v>21.406</v>
      </c>
      <c r="N397" s="90"/>
    </row>
    <row r="398">
      <c r="A398" s="123"/>
      <c r="B398" s="123"/>
      <c r="C398" s="115" t="s">
        <v>485</v>
      </c>
      <c r="D398" s="126">
        <v>4.0</v>
      </c>
      <c r="E398" s="117" t="s">
        <v>57</v>
      </c>
      <c r="F398" s="127">
        <v>46.04</v>
      </c>
      <c r="G398" s="84">
        <v>0.08</v>
      </c>
      <c r="H398" s="96">
        <f>IF(Settings!$D$7=true, 1-G398,1)</f>
        <v>0.92</v>
      </c>
      <c r="I398" s="124" t="s">
        <v>61</v>
      </c>
      <c r="J398" s="97" t="s">
        <v>71</v>
      </c>
      <c r="K398" s="119"/>
      <c r="L398" s="99">
        <f t="shared" si="1"/>
        <v>11.51</v>
      </c>
      <c r="M398" s="100">
        <f t="shared" si="2"/>
        <v>12.4308</v>
      </c>
      <c r="N398" s="90"/>
    </row>
    <row r="399">
      <c r="A399" s="123"/>
      <c r="B399" s="123"/>
      <c r="C399" s="115" t="s">
        <v>486</v>
      </c>
      <c r="D399" s="126">
        <v>2.0</v>
      </c>
      <c r="E399" s="117" t="s">
        <v>57</v>
      </c>
      <c r="F399" s="127">
        <v>34.08</v>
      </c>
      <c r="G399" s="84">
        <v>0.28</v>
      </c>
      <c r="H399" s="96">
        <f>IF(Settings!$D$7=true, 1-G399,1)</f>
        <v>0.72</v>
      </c>
      <c r="I399" s="124" t="s">
        <v>61</v>
      </c>
      <c r="J399" s="97" t="s">
        <v>71</v>
      </c>
      <c r="K399" s="119"/>
      <c r="L399" s="99">
        <f t="shared" si="1"/>
        <v>17.04</v>
      </c>
      <c r="M399" s="100">
        <f t="shared" si="2"/>
        <v>21.8112</v>
      </c>
      <c r="N399" s="90"/>
    </row>
    <row r="400">
      <c r="A400" s="123"/>
      <c r="B400" s="123"/>
      <c r="C400" s="115" t="s">
        <v>487</v>
      </c>
      <c r="D400" s="126">
        <v>2.0</v>
      </c>
      <c r="E400" s="117" t="s">
        <v>57</v>
      </c>
      <c r="F400" s="127">
        <v>46.04</v>
      </c>
      <c r="G400" s="84">
        <v>0.26</v>
      </c>
      <c r="H400" s="96">
        <f>IF(Settings!$D$7=true, 1-G400,1)</f>
        <v>0.74</v>
      </c>
      <c r="I400" s="124" t="s">
        <v>61</v>
      </c>
      <c r="J400" s="97" t="s">
        <v>71</v>
      </c>
      <c r="K400" s="119"/>
      <c r="L400" s="99">
        <f t="shared" si="1"/>
        <v>23.02</v>
      </c>
      <c r="M400" s="100">
        <f t="shared" si="2"/>
        <v>29.0052</v>
      </c>
      <c r="N400" s="90"/>
    </row>
    <row r="401">
      <c r="A401" s="129"/>
      <c r="B401" s="129"/>
      <c r="C401" s="115" t="s">
        <v>488</v>
      </c>
      <c r="D401" s="126">
        <v>5000.0</v>
      </c>
      <c r="E401" s="117" t="s">
        <v>60</v>
      </c>
      <c r="F401" s="127">
        <v>4.2</v>
      </c>
      <c r="G401" s="84">
        <v>0.15</v>
      </c>
      <c r="H401" s="96">
        <f>IF(Settings!$D$7=true, 1-G401,1)</f>
        <v>0.85</v>
      </c>
      <c r="I401" s="130" t="s">
        <v>489</v>
      </c>
      <c r="J401" s="97" t="s">
        <v>75</v>
      </c>
      <c r="K401" s="119"/>
      <c r="L401" s="99">
        <f t="shared" si="1"/>
        <v>0.00084</v>
      </c>
      <c r="M401" s="100">
        <f t="shared" si="2"/>
        <v>0.000966</v>
      </c>
      <c r="N401" s="90"/>
    </row>
    <row r="402">
      <c r="A402" s="123"/>
      <c r="B402" s="123"/>
      <c r="C402" s="115" t="s">
        <v>490</v>
      </c>
      <c r="D402" s="126">
        <v>200.0</v>
      </c>
      <c r="E402" s="117" t="s">
        <v>60</v>
      </c>
      <c r="F402" s="127">
        <v>6.0</v>
      </c>
      <c r="G402" s="84">
        <v>0.32</v>
      </c>
      <c r="H402" s="96">
        <f>IF(Settings!$D$7=true, 1-G402,1)</f>
        <v>0.68</v>
      </c>
      <c r="I402" s="124" t="s">
        <v>58</v>
      </c>
      <c r="J402" s="97" t="s">
        <v>65</v>
      </c>
      <c r="K402" s="119"/>
      <c r="L402" s="99">
        <f t="shared" si="1"/>
        <v>0.03</v>
      </c>
      <c r="M402" s="100">
        <f t="shared" si="2"/>
        <v>0.0396</v>
      </c>
      <c r="N402" s="90"/>
    </row>
    <row r="403">
      <c r="A403" s="123"/>
      <c r="B403" s="123"/>
      <c r="C403" s="115" t="s">
        <v>491</v>
      </c>
      <c r="D403" s="126">
        <v>200.0</v>
      </c>
      <c r="E403" s="117" t="s">
        <v>60</v>
      </c>
      <c r="F403" s="127">
        <v>8.0</v>
      </c>
      <c r="G403" s="84">
        <v>0.09</v>
      </c>
      <c r="H403" s="96">
        <f>IF(Settings!$D$7=true, 1-G403,1)</f>
        <v>0.91</v>
      </c>
      <c r="I403" s="124" t="s">
        <v>58</v>
      </c>
      <c r="J403" s="97" t="s">
        <v>65</v>
      </c>
      <c r="K403" s="119"/>
      <c r="L403" s="99">
        <f t="shared" si="1"/>
        <v>0.04</v>
      </c>
      <c r="M403" s="100">
        <f t="shared" si="2"/>
        <v>0.0436</v>
      </c>
      <c r="N403" s="90"/>
    </row>
    <row r="404">
      <c r="A404" s="125"/>
      <c r="B404" s="125"/>
      <c r="C404" s="115" t="s">
        <v>492</v>
      </c>
      <c r="D404" s="126">
        <v>1000.0</v>
      </c>
      <c r="E404" s="117" t="s">
        <v>60</v>
      </c>
      <c r="F404" s="127">
        <v>11.42</v>
      </c>
      <c r="G404" s="84">
        <v>0.01</v>
      </c>
      <c r="H404" s="96">
        <f>IF(Settings!$D$7=true, 1-G404,1)</f>
        <v>0.99</v>
      </c>
      <c r="I404" s="128" t="s">
        <v>55</v>
      </c>
      <c r="J404" s="97" t="s">
        <v>62</v>
      </c>
      <c r="K404" s="119"/>
      <c r="L404" s="99">
        <f t="shared" si="1"/>
        <v>0.01142</v>
      </c>
      <c r="M404" s="100">
        <f t="shared" si="2"/>
        <v>0.0115342</v>
      </c>
      <c r="N404" s="90"/>
    </row>
    <row r="405">
      <c r="A405" s="125"/>
      <c r="B405" s="125"/>
      <c r="C405" s="115" t="s">
        <v>493</v>
      </c>
      <c r="D405" s="126">
        <v>1000.0</v>
      </c>
      <c r="E405" s="117" t="s">
        <v>60</v>
      </c>
      <c r="F405" s="127">
        <v>19.83</v>
      </c>
      <c r="G405" s="84">
        <v>0.37</v>
      </c>
      <c r="H405" s="96">
        <f>IF(Settings!$D$7=true, 1-G405,1)</f>
        <v>0.63</v>
      </c>
      <c r="I405" s="128" t="s">
        <v>55</v>
      </c>
      <c r="J405" s="97" t="s">
        <v>62</v>
      </c>
      <c r="K405" s="119"/>
      <c r="L405" s="99">
        <f t="shared" si="1"/>
        <v>0.01983</v>
      </c>
      <c r="M405" s="100">
        <f t="shared" si="2"/>
        <v>0.0271671</v>
      </c>
      <c r="N405" s="90"/>
    </row>
    <row r="406">
      <c r="A406" s="125"/>
      <c r="B406" s="125"/>
      <c r="C406" s="115" t="s">
        <v>494</v>
      </c>
      <c r="D406" s="126">
        <v>48.0</v>
      </c>
      <c r="E406" s="117" t="s">
        <v>57</v>
      </c>
      <c r="F406" s="127">
        <v>45.62</v>
      </c>
      <c r="G406" s="84">
        <v>0.28</v>
      </c>
      <c r="H406" s="96">
        <f>IF(Settings!$D$7=true, 1-G406,1)</f>
        <v>0.72</v>
      </c>
      <c r="I406" s="128" t="s">
        <v>55</v>
      </c>
      <c r="J406" s="97" t="s">
        <v>56</v>
      </c>
      <c r="K406" s="119"/>
      <c r="L406" s="99">
        <f t="shared" si="1"/>
        <v>0.9504166667</v>
      </c>
      <c r="M406" s="100">
        <f t="shared" si="2"/>
        <v>1.216533333</v>
      </c>
      <c r="N406" s="90"/>
    </row>
    <row r="407">
      <c r="A407" s="125"/>
      <c r="B407" s="125"/>
      <c r="C407" s="115" t="s">
        <v>495</v>
      </c>
      <c r="D407" s="126">
        <v>72.0</v>
      </c>
      <c r="E407" s="117" t="s">
        <v>57</v>
      </c>
      <c r="F407" s="127">
        <v>90.04</v>
      </c>
      <c r="G407" s="84">
        <v>0.03</v>
      </c>
      <c r="H407" s="96">
        <f>IF(Settings!$D$7=true, 1-G407,1)</f>
        <v>0.97</v>
      </c>
      <c r="I407" s="128" t="s">
        <v>55</v>
      </c>
      <c r="J407" s="97" t="s">
        <v>56</v>
      </c>
      <c r="K407" s="119"/>
      <c r="L407" s="99">
        <f t="shared" si="1"/>
        <v>1.250555556</v>
      </c>
      <c r="M407" s="100">
        <f t="shared" si="2"/>
        <v>1.288072222</v>
      </c>
      <c r="N407" s="90"/>
    </row>
    <row r="408">
      <c r="A408" s="123"/>
      <c r="B408" s="123"/>
      <c r="C408" s="115" t="s">
        <v>322</v>
      </c>
      <c r="D408" s="126">
        <v>4.0</v>
      </c>
      <c r="E408" s="117" t="s">
        <v>57</v>
      </c>
      <c r="F408" s="127">
        <v>21.99</v>
      </c>
      <c r="G408" s="84">
        <v>0.32</v>
      </c>
      <c r="H408" s="96">
        <f>IF(Settings!$D$7=true, 1-G408,1)</f>
        <v>0.68</v>
      </c>
      <c r="I408" s="124" t="s">
        <v>76</v>
      </c>
      <c r="J408" s="97" t="s">
        <v>71</v>
      </c>
      <c r="K408" s="119"/>
      <c r="L408" s="99">
        <f t="shared" si="1"/>
        <v>5.4975</v>
      </c>
      <c r="M408" s="100">
        <f t="shared" si="2"/>
        <v>7.2567</v>
      </c>
      <c r="N408" s="90"/>
    </row>
    <row r="409">
      <c r="A409" s="123"/>
      <c r="B409" s="123"/>
      <c r="C409" s="115" t="s">
        <v>496</v>
      </c>
      <c r="D409" s="126">
        <v>1000.0</v>
      </c>
      <c r="E409" s="117" t="s">
        <v>60</v>
      </c>
      <c r="F409" s="127">
        <v>17.99</v>
      </c>
      <c r="G409" s="84">
        <v>0.08</v>
      </c>
      <c r="H409" s="96">
        <f>IF(Settings!$D$7=true, 1-G409,1)</f>
        <v>0.92</v>
      </c>
      <c r="I409" s="124" t="s">
        <v>76</v>
      </c>
      <c r="J409" s="97" t="s">
        <v>71</v>
      </c>
      <c r="K409" s="119"/>
      <c r="L409" s="99">
        <f t="shared" si="1"/>
        <v>0.01799</v>
      </c>
      <c r="M409" s="100">
        <f t="shared" si="2"/>
        <v>0.0194292</v>
      </c>
      <c r="N409" s="90"/>
    </row>
    <row r="410">
      <c r="A410" s="123"/>
      <c r="B410" s="123"/>
      <c r="C410" s="115" t="s">
        <v>497</v>
      </c>
      <c r="D410" s="126">
        <v>1000.0</v>
      </c>
      <c r="E410" s="117" t="s">
        <v>60</v>
      </c>
      <c r="F410" s="127">
        <v>42.99</v>
      </c>
      <c r="G410" s="84">
        <v>0.01</v>
      </c>
      <c r="H410" s="96">
        <f>IF(Settings!$D$7=true, 1-G410,1)</f>
        <v>0.99</v>
      </c>
      <c r="I410" s="124" t="s">
        <v>76</v>
      </c>
      <c r="J410" s="97" t="s">
        <v>71</v>
      </c>
      <c r="K410" s="119"/>
      <c r="L410" s="99">
        <f t="shared" si="1"/>
        <v>0.04299</v>
      </c>
      <c r="M410" s="100">
        <f t="shared" si="2"/>
        <v>0.0434199</v>
      </c>
      <c r="N410" s="90"/>
    </row>
    <row r="411">
      <c r="A411" s="123"/>
      <c r="B411" s="123"/>
      <c r="C411" s="115" t="s">
        <v>498</v>
      </c>
      <c r="D411" s="126">
        <v>1000.0</v>
      </c>
      <c r="E411" s="117" t="s">
        <v>60</v>
      </c>
      <c r="F411" s="127">
        <v>36.99</v>
      </c>
      <c r="G411" s="84">
        <v>0.03</v>
      </c>
      <c r="H411" s="96">
        <f>IF(Settings!$D$7=true, 1-G411,1)</f>
        <v>0.97</v>
      </c>
      <c r="I411" s="124" t="s">
        <v>76</v>
      </c>
      <c r="J411" s="97" t="s">
        <v>71</v>
      </c>
      <c r="K411" s="119"/>
      <c r="L411" s="99">
        <f t="shared" si="1"/>
        <v>0.03699</v>
      </c>
      <c r="M411" s="100">
        <f t="shared" si="2"/>
        <v>0.0380997</v>
      </c>
      <c r="N411" s="90"/>
    </row>
    <row r="412">
      <c r="A412" s="123"/>
      <c r="B412" s="123"/>
      <c r="C412" s="115" t="s">
        <v>499</v>
      </c>
      <c r="D412" s="126">
        <v>1000.0</v>
      </c>
      <c r="E412" s="117" t="s">
        <v>60</v>
      </c>
      <c r="F412" s="127">
        <v>29.99</v>
      </c>
      <c r="G412" s="84">
        <v>0.2</v>
      </c>
      <c r="H412" s="96">
        <f>IF(Settings!$D$7=true, 1-G412,1)</f>
        <v>0.8</v>
      </c>
      <c r="I412" s="124" t="s">
        <v>76</v>
      </c>
      <c r="J412" s="97" t="s">
        <v>71</v>
      </c>
      <c r="K412" s="119"/>
      <c r="L412" s="99">
        <f t="shared" si="1"/>
        <v>0.02999</v>
      </c>
      <c r="M412" s="100">
        <f t="shared" si="2"/>
        <v>0.035988</v>
      </c>
      <c r="N412" s="90"/>
    </row>
    <row r="413">
      <c r="A413" s="123"/>
      <c r="B413" s="123"/>
      <c r="C413" s="115" t="s">
        <v>500</v>
      </c>
      <c r="D413" s="126">
        <v>1000.0</v>
      </c>
      <c r="E413" s="117" t="s">
        <v>60</v>
      </c>
      <c r="F413" s="127">
        <v>46.99</v>
      </c>
      <c r="G413" s="84">
        <v>0.02</v>
      </c>
      <c r="H413" s="96">
        <f>IF(Settings!$D$7=true, 1-G413,1)</f>
        <v>0.98</v>
      </c>
      <c r="I413" s="124" t="s">
        <v>76</v>
      </c>
      <c r="J413" s="97" t="s">
        <v>71</v>
      </c>
      <c r="K413" s="119"/>
      <c r="L413" s="99">
        <f t="shared" si="1"/>
        <v>0.04699</v>
      </c>
      <c r="M413" s="100">
        <f t="shared" si="2"/>
        <v>0.0479298</v>
      </c>
      <c r="N413" s="90"/>
    </row>
    <row r="414">
      <c r="A414" s="123"/>
      <c r="B414" s="123"/>
      <c r="C414" s="115" t="s">
        <v>501</v>
      </c>
      <c r="D414" s="126">
        <v>1000.0</v>
      </c>
      <c r="E414" s="117" t="s">
        <v>60</v>
      </c>
      <c r="F414" s="127">
        <v>14.99</v>
      </c>
      <c r="G414" s="84">
        <v>0.08</v>
      </c>
      <c r="H414" s="96">
        <f>IF(Settings!$D$7=true, 1-G414,1)</f>
        <v>0.92</v>
      </c>
      <c r="I414" s="124" t="s">
        <v>76</v>
      </c>
      <c r="J414" s="97" t="s">
        <v>71</v>
      </c>
      <c r="K414" s="119"/>
      <c r="L414" s="99">
        <f t="shared" si="1"/>
        <v>0.01499</v>
      </c>
      <c r="M414" s="100">
        <f t="shared" si="2"/>
        <v>0.0161892</v>
      </c>
      <c r="N414" s="90"/>
    </row>
    <row r="415">
      <c r="A415" s="123"/>
      <c r="B415" s="123"/>
      <c r="C415" s="115" t="s">
        <v>502</v>
      </c>
      <c r="D415" s="126">
        <v>1000.0</v>
      </c>
      <c r="E415" s="117" t="s">
        <v>60</v>
      </c>
      <c r="F415" s="127">
        <v>14.99</v>
      </c>
      <c r="G415" s="84">
        <v>0.24</v>
      </c>
      <c r="H415" s="96">
        <f>IF(Settings!$D$7=true, 1-G415,1)</f>
        <v>0.76</v>
      </c>
      <c r="I415" s="124" t="s">
        <v>76</v>
      </c>
      <c r="J415" s="97" t="s">
        <v>71</v>
      </c>
      <c r="K415" s="119"/>
      <c r="L415" s="99">
        <f t="shared" si="1"/>
        <v>0.01499</v>
      </c>
      <c r="M415" s="100">
        <f t="shared" si="2"/>
        <v>0.0185876</v>
      </c>
      <c r="N415" s="90"/>
    </row>
    <row r="416">
      <c r="A416" s="123"/>
      <c r="B416" s="123"/>
      <c r="C416" s="115" t="s">
        <v>503</v>
      </c>
      <c r="D416" s="126">
        <v>1000.0</v>
      </c>
      <c r="E416" s="117" t="s">
        <v>60</v>
      </c>
      <c r="F416" s="127">
        <v>12.99</v>
      </c>
      <c r="G416" s="84">
        <v>0.01</v>
      </c>
      <c r="H416" s="96">
        <f>IF(Settings!$D$7=true, 1-G416,1)</f>
        <v>0.99</v>
      </c>
      <c r="I416" s="124" t="s">
        <v>76</v>
      </c>
      <c r="J416" s="97" t="s">
        <v>71</v>
      </c>
      <c r="K416" s="119"/>
      <c r="L416" s="99">
        <f t="shared" si="1"/>
        <v>0.01299</v>
      </c>
      <c r="M416" s="100">
        <f t="shared" si="2"/>
        <v>0.0131199</v>
      </c>
      <c r="N416" s="90"/>
    </row>
    <row r="417">
      <c r="A417" s="123"/>
      <c r="B417" s="123"/>
      <c r="C417" s="115" t="s">
        <v>504</v>
      </c>
      <c r="D417" s="126">
        <v>1000.0</v>
      </c>
      <c r="E417" s="117" t="s">
        <v>60</v>
      </c>
      <c r="F417" s="127">
        <v>13.99</v>
      </c>
      <c r="G417" s="84">
        <v>0.33</v>
      </c>
      <c r="H417" s="96">
        <f>IF(Settings!$D$7=true, 1-G417,1)</f>
        <v>0.67</v>
      </c>
      <c r="I417" s="124" t="s">
        <v>76</v>
      </c>
      <c r="J417" s="97" t="s">
        <v>71</v>
      </c>
      <c r="K417" s="119"/>
      <c r="L417" s="99">
        <f t="shared" si="1"/>
        <v>0.01399</v>
      </c>
      <c r="M417" s="100">
        <f t="shared" si="2"/>
        <v>0.0186067</v>
      </c>
      <c r="N417" s="90"/>
    </row>
    <row r="418">
      <c r="A418" s="123"/>
      <c r="B418" s="123"/>
      <c r="C418" s="115" t="s">
        <v>505</v>
      </c>
      <c r="D418" s="126">
        <v>1000.0</v>
      </c>
      <c r="E418" s="117" t="s">
        <v>60</v>
      </c>
      <c r="F418" s="127">
        <v>14.99</v>
      </c>
      <c r="G418" s="84">
        <v>0.1</v>
      </c>
      <c r="H418" s="96">
        <f>IF(Settings!$D$7=true, 1-G418,1)</f>
        <v>0.9</v>
      </c>
      <c r="I418" s="124" t="s">
        <v>76</v>
      </c>
      <c r="J418" s="97" t="s">
        <v>71</v>
      </c>
      <c r="K418" s="119"/>
      <c r="L418" s="99">
        <f t="shared" si="1"/>
        <v>0.01499</v>
      </c>
      <c r="M418" s="100">
        <f t="shared" si="2"/>
        <v>0.016489</v>
      </c>
      <c r="N418" s="90"/>
    </row>
    <row r="419">
      <c r="A419" s="123"/>
      <c r="B419" s="123"/>
      <c r="C419" s="115" t="s">
        <v>506</v>
      </c>
      <c r="D419" s="126">
        <v>1000.0</v>
      </c>
      <c r="E419" s="117" t="s">
        <v>60</v>
      </c>
      <c r="F419" s="127">
        <v>15.99</v>
      </c>
      <c r="G419" s="84">
        <v>0.31</v>
      </c>
      <c r="H419" s="96">
        <f>IF(Settings!$D$7=true, 1-G419,1)</f>
        <v>0.69</v>
      </c>
      <c r="I419" s="124" t="s">
        <v>76</v>
      </c>
      <c r="J419" s="97" t="s">
        <v>71</v>
      </c>
      <c r="K419" s="119"/>
      <c r="L419" s="99">
        <f t="shared" si="1"/>
        <v>0.01599</v>
      </c>
      <c r="M419" s="100">
        <f t="shared" si="2"/>
        <v>0.0209469</v>
      </c>
      <c r="N419" s="90"/>
    </row>
    <row r="420">
      <c r="A420" s="123"/>
      <c r="B420" s="123"/>
      <c r="C420" s="115" t="s">
        <v>507</v>
      </c>
      <c r="D420" s="126">
        <v>1000.0</v>
      </c>
      <c r="E420" s="117" t="s">
        <v>60</v>
      </c>
      <c r="F420" s="127">
        <v>16.99</v>
      </c>
      <c r="G420" s="84">
        <v>0.25</v>
      </c>
      <c r="H420" s="96">
        <f>IF(Settings!$D$7=true, 1-G420,1)</f>
        <v>0.75</v>
      </c>
      <c r="I420" s="124" t="s">
        <v>76</v>
      </c>
      <c r="J420" s="97" t="s">
        <v>71</v>
      </c>
      <c r="K420" s="119"/>
      <c r="L420" s="99">
        <f t="shared" si="1"/>
        <v>0.01699</v>
      </c>
      <c r="M420" s="100">
        <f t="shared" si="2"/>
        <v>0.0212375</v>
      </c>
      <c r="N420" s="90"/>
    </row>
    <row r="421">
      <c r="A421" s="123"/>
      <c r="B421" s="123"/>
      <c r="C421" s="115" t="s">
        <v>508</v>
      </c>
      <c r="D421" s="126">
        <v>1000.0</v>
      </c>
      <c r="E421" s="117" t="s">
        <v>60</v>
      </c>
      <c r="F421" s="127">
        <v>16.99</v>
      </c>
      <c r="G421" s="84">
        <v>0.23</v>
      </c>
      <c r="H421" s="96">
        <f>IF(Settings!$D$7=true, 1-G421,1)</f>
        <v>0.77</v>
      </c>
      <c r="I421" s="124" t="s">
        <v>76</v>
      </c>
      <c r="J421" s="97" t="s">
        <v>71</v>
      </c>
      <c r="K421" s="119"/>
      <c r="L421" s="99">
        <f t="shared" si="1"/>
        <v>0.01699</v>
      </c>
      <c r="M421" s="100">
        <f t="shared" si="2"/>
        <v>0.0208977</v>
      </c>
      <c r="N421" s="90"/>
    </row>
    <row r="422">
      <c r="A422" s="123"/>
      <c r="B422" s="123"/>
      <c r="C422" s="115" t="s">
        <v>509</v>
      </c>
      <c r="D422" s="126">
        <v>1000.0</v>
      </c>
      <c r="E422" s="117" t="s">
        <v>60</v>
      </c>
      <c r="F422" s="127">
        <v>16.99</v>
      </c>
      <c r="G422" s="84">
        <v>0.03</v>
      </c>
      <c r="H422" s="96">
        <f>IF(Settings!$D$7=true, 1-G422,1)</f>
        <v>0.97</v>
      </c>
      <c r="I422" s="124" t="s">
        <v>76</v>
      </c>
      <c r="J422" s="97" t="s">
        <v>75</v>
      </c>
      <c r="K422" s="119"/>
      <c r="L422" s="99">
        <f t="shared" si="1"/>
        <v>0.01699</v>
      </c>
      <c r="M422" s="100">
        <f t="shared" si="2"/>
        <v>0.0174997</v>
      </c>
      <c r="N422" s="90"/>
    </row>
    <row r="423">
      <c r="A423" s="123"/>
      <c r="B423" s="123"/>
      <c r="C423" s="115" t="s">
        <v>510</v>
      </c>
      <c r="D423" s="126">
        <v>1000.0</v>
      </c>
      <c r="E423" s="117" t="s">
        <v>60</v>
      </c>
      <c r="F423" s="127">
        <v>21.99</v>
      </c>
      <c r="G423" s="84">
        <v>0.16</v>
      </c>
      <c r="H423" s="96">
        <f>IF(Settings!$D$7=true, 1-G423,1)</f>
        <v>0.84</v>
      </c>
      <c r="I423" s="124" t="s">
        <v>76</v>
      </c>
      <c r="J423" s="97" t="s">
        <v>71</v>
      </c>
      <c r="K423" s="119"/>
      <c r="L423" s="99">
        <f t="shared" si="1"/>
        <v>0.02199</v>
      </c>
      <c r="M423" s="100">
        <f t="shared" si="2"/>
        <v>0.0255084</v>
      </c>
      <c r="N423" s="90"/>
    </row>
    <row r="424">
      <c r="A424" s="123"/>
      <c r="B424" s="123"/>
      <c r="C424" s="115" t="s">
        <v>511</v>
      </c>
      <c r="D424" s="126">
        <v>1000.0</v>
      </c>
      <c r="E424" s="117" t="s">
        <v>60</v>
      </c>
      <c r="F424" s="127">
        <v>18.99</v>
      </c>
      <c r="G424" s="84">
        <v>0.05</v>
      </c>
      <c r="H424" s="96">
        <f>IF(Settings!$D$7=true, 1-G424,1)</f>
        <v>0.95</v>
      </c>
      <c r="I424" s="124" t="s">
        <v>76</v>
      </c>
      <c r="J424" s="97" t="s">
        <v>71</v>
      </c>
      <c r="K424" s="119"/>
      <c r="L424" s="99">
        <f t="shared" si="1"/>
        <v>0.01899</v>
      </c>
      <c r="M424" s="100">
        <f t="shared" si="2"/>
        <v>0.0199395</v>
      </c>
      <c r="N424" s="90"/>
    </row>
    <row r="425">
      <c r="A425" s="123"/>
      <c r="B425" s="123"/>
      <c r="C425" s="115" t="s">
        <v>512</v>
      </c>
      <c r="D425" s="126">
        <v>1000.0</v>
      </c>
      <c r="E425" s="117" t="s">
        <v>60</v>
      </c>
      <c r="F425" s="127">
        <v>12.99</v>
      </c>
      <c r="G425" s="84">
        <v>0.02</v>
      </c>
      <c r="H425" s="96">
        <f>IF(Settings!$D$7=true, 1-G425,1)</f>
        <v>0.98</v>
      </c>
      <c r="I425" s="124" t="s">
        <v>76</v>
      </c>
      <c r="J425" s="97" t="s">
        <v>71</v>
      </c>
      <c r="K425" s="119"/>
      <c r="L425" s="99">
        <f t="shared" si="1"/>
        <v>0.01299</v>
      </c>
      <c r="M425" s="100">
        <f t="shared" si="2"/>
        <v>0.0132498</v>
      </c>
      <c r="N425" s="90"/>
    </row>
    <row r="426">
      <c r="A426" s="123"/>
      <c r="B426" s="123"/>
      <c r="C426" s="115" t="s">
        <v>513</v>
      </c>
      <c r="D426" s="126">
        <v>1000.0</v>
      </c>
      <c r="E426" s="117" t="s">
        <v>60</v>
      </c>
      <c r="F426" s="127">
        <v>7.99</v>
      </c>
      <c r="G426" s="84">
        <v>0.03</v>
      </c>
      <c r="H426" s="96">
        <f>IF(Settings!$D$7=true, 1-G426,1)</f>
        <v>0.97</v>
      </c>
      <c r="I426" s="124" t="s">
        <v>76</v>
      </c>
      <c r="J426" s="97" t="s">
        <v>75</v>
      </c>
      <c r="K426" s="119"/>
      <c r="L426" s="99">
        <f t="shared" si="1"/>
        <v>0.00799</v>
      </c>
      <c r="M426" s="100">
        <f t="shared" si="2"/>
        <v>0.0082297</v>
      </c>
      <c r="N426" s="90"/>
    </row>
    <row r="427">
      <c r="A427" s="125"/>
      <c r="B427" s="125"/>
      <c r="C427" s="115" t="s">
        <v>514</v>
      </c>
      <c r="D427" s="126">
        <v>500.0</v>
      </c>
      <c r="E427" s="117" t="s">
        <v>60</v>
      </c>
      <c r="F427" s="127">
        <v>15.3</v>
      </c>
      <c r="G427" s="84">
        <v>0.08</v>
      </c>
      <c r="H427" s="96">
        <f>IF(Settings!$D$7=true, 1-G427,1)</f>
        <v>0.92</v>
      </c>
      <c r="I427" s="128" t="s">
        <v>55</v>
      </c>
      <c r="J427" s="97" t="s">
        <v>62</v>
      </c>
      <c r="K427" s="119"/>
      <c r="L427" s="99">
        <f t="shared" si="1"/>
        <v>0.0306</v>
      </c>
      <c r="M427" s="100">
        <f t="shared" si="2"/>
        <v>0.033048</v>
      </c>
      <c r="N427" s="90"/>
    </row>
    <row r="428">
      <c r="A428" s="125"/>
      <c r="B428" s="125"/>
      <c r="C428" s="115" t="s">
        <v>515</v>
      </c>
      <c r="D428" s="126">
        <v>1000.0</v>
      </c>
      <c r="E428" s="117" t="s">
        <v>60</v>
      </c>
      <c r="F428" s="127">
        <v>13.9</v>
      </c>
      <c r="G428" s="84">
        <v>0.07</v>
      </c>
      <c r="H428" s="96">
        <f>IF(Settings!$D$7=true, 1-G428,1)</f>
        <v>0.93</v>
      </c>
      <c r="I428" s="128" t="s">
        <v>55</v>
      </c>
      <c r="J428" s="97" t="s">
        <v>62</v>
      </c>
      <c r="K428" s="119"/>
      <c r="L428" s="99">
        <f t="shared" si="1"/>
        <v>0.0139</v>
      </c>
      <c r="M428" s="100">
        <f t="shared" si="2"/>
        <v>0.014873</v>
      </c>
      <c r="N428" s="90"/>
    </row>
    <row r="429">
      <c r="A429" s="123"/>
      <c r="B429" s="123"/>
      <c r="C429" s="115" t="s">
        <v>516</v>
      </c>
      <c r="D429" s="126">
        <v>20.0</v>
      </c>
      <c r="E429" s="117" t="s">
        <v>60</v>
      </c>
      <c r="F429" s="127">
        <v>6.0</v>
      </c>
      <c r="G429" s="84">
        <v>0.15</v>
      </c>
      <c r="H429" s="96">
        <f>IF(Settings!$D$7=true, 1-G429,1)</f>
        <v>0.85</v>
      </c>
      <c r="I429" s="124" t="s">
        <v>58</v>
      </c>
      <c r="J429" s="97" t="s">
        <v>65</v>
      </c>
      <c r="K429" s="119"/>
      <c r="L429" s="99">
        <f t="shared" si="1"/>
        <v>0.3</v>
      </c>
      <c r="M429" s="100">
        <f t="shared" si="2"/>
        <v>0.345</v>
      </c>
      <c r="N429" s="90"/>
    </row>
    <row r="430">
      <c r="A430" s="123"/>
      <c r="B430" s="123"/>
      <c r="C430" s="115" t="s">
        <v>517</v>
      </c>
      <c r="D430" s="126">
        <v>200.0</v>
      </c>
      <c r="E430" s="117" t="s">
        <v>60</v>
      </c>
      <c r="F430" s="127">
        <v>7.4</v>
      </c>
      <c r="G430" s="84">
        <v>0.15</v>
      </c>
      <c r="H430" s="96">
        <f>IF(Settings!$D$7=true, 1-G430,1)</f>
        <v>0.85</v>
      </c>
      <c r="I430" s="124" t="s">
        <v>58</v>
      </c>
      <c r="J430" s="97" t="s">
        <v>65</v>
      </c>
      <c r="K430" s="119"/>
      <c r="L430" s="99">
        <f t="shared" si="1"/>
        <v>0.037</v>
      </c>
      <c r="M430" s="100">
        <f t="shared" si="2"/>
        <v>0.04255</v>
      </c>
      <c r="N430" s="90"/>
    </row>
    <row r="431">
      <c r="A431" s="123"/>
      <c r="B431" s="123"/>
      <c r="C431" s="115" t="s">
        <v>518</v>
      </c>
      <c r="D431" s="126">
        <v>200.0</v>
      </c>
      <c r="E431" s="117" t="s">
        <v>60</v>
      </c>
      <c r="F431" s="127">
        <v>6.8</v>
      </c>
      <c r="G431" s="84">
        <v>0.15</v>
      </c>
      <c r="H431" s="96">
        <f>IF(Settings!$D$7=true, 1-G431,1)</f>
        <v>0.85</v>
      </c>
      <c r="I431" s="124" t="s">
        <v>58</v>
      </c>
      <c r="J431" s="97" t="s">
        <v>65</v>
      </c>
      <c r="K431" s="119"/>
      <c r="L431" s="99">
        <f t="shared" si="1"/>
        <v>0.034</v>
      </c>
      <c r="M431" s="100">
        <f t="shared" si="2"/>
        <v>0.0391</v>
      </c>
      <c r="N431" s="90"/>
    </row>
    <row r="432">
      <c r="A432" s="123"/>
      <c r="B432" s="123"/>
      <c r="C432" s="115" t="s">
        <v>519</v>
      </c>
      <c r="D432" s="126">
        <v>4.0</v>
      </c>
      <c r="E432" s="117" t="s">
        <v>57</v>
      </c>
      <c r="F432" s="127">
        <v>37.86</v>
      </c>
      <c r="G432" s="84">
        <v>0.32</v>
      </c>
      <c r="H432" s="96">
        <f>IF(Settings!$D$7=true, 1-G432,1)</f>
        <v>0.68</v>
      </c>
      <c r="I432" s="124" t="s">
        <v>61</v>
      </c>
      <c r="J432" s="97" t="s">
        <v>71</v>
      </c>
      <c r="K432" s="119"/>
      <c r="L432" s="99">
        <f t="shared" si="1"/>
        <v>9.465</v>
      </c>
      <c r="M432" s="100">
        <f t="shared" si="2"/>
        <v>12.4938</v>
      </c>
      <c r="N432" s="90"/>
    </row>
    <row r="433">
      <c r="A433" s="123"/>
      <c r="B433" s="123"/>
      <c r="C433" s="115" t="s">
        <v>520</v>
      </c>
      <c r="D433" s="126">
        <v>1000.0</v>
      </c>
      <c r="E433" s="117" t="s">
        <v>60</v>
      </c>
      <c r="F433" s="127">
        <v>15.75</v>
      </c>
      <c r="G433" s="84">
        <v>0.08</v>
      </c>
      <c r="H433" s="96">
        <f>IF(Settings!$D$7=true, 1-G433,1)</f>
        <v>0.92</v>
      </c>
      <c r="I433" s="124" t="s">
        <v>58</v>
      </c>
      <c r="J433" s="97" t="s">
        <v>65</v>
      </c>
      <c r="K433" s="119"/>
      <c r="L433" s="99">
        <f t="shared" si="1"/>
        <v>0.01575</v>
      </c>
      <c r="M433" s="100">
        <f t="shared" si="2"/>
        <v>0.01701</v>
      </c>
      <c r="N433" s="90"/>
    </row>
    <row r="434">
      <c r="A434" s="123"/>
      <c r="B434" s="123"/>
      <c r="C434" s="115" t="s">
        <v>521</v>
      </c>
      <c r="D434" s="126">
        <v>1000.0</v>
      </c>
      <c r="E434" s="117" t="s">
        <v>69</v>
      </c>
      <c r="F434" s="127">
        <v>11.54</v>
      </c>
      <c r="G434" s="84">
        <v>0.24</v>
      </c>
      <c r="H434" s="96">
        <f>IF(Settings!$D$7=true, 1-G434,1)</f>
        <v>0.76</v>
      </c>
      <c r="I434" s="124" t="s">
        <v>55</v>
      </c>
      <c r="J434" s="97" t="s">
        <v>62</v>
      </c>
      <c r="K434" s="119"/>
      <c r="L434" s="99">
        <f t="shared" si="1"/>
        <v>0.01154</v>
      </c>
      <c r="M434" s="100">
        <f t="shared" si="2"/>
        <v>0.0143096</v>
      </c>
      <c r="N434" s="90"/>
    </row>
    <row r="435">
      <c r="A435" s="123"/>
      <c r="B435" s="123"/>
      <c r="C435" s="115" t="s">
        <v>522</v>
      </c>
      <c r="D435" s="126">
        <v>1.0</v>
      </c>
      <c r="E435" s="117" t="s">
        <v>57</v>
      </c>
      <c r="F435" s="127">
        <v>2.4</v>
      </c>
      <c r="G435" s="84">
        <v>0.26</v>
      </c>
      <c r="H435" s="96">
        <f>IF(Settings!$D$7=true, 1-G435,1)</f>
        <v>0.74</v>
      </c>
      <c r="I435" s="124" t="s">
        <v>55</v>
      </c>
      <c r="J435" s="97" t="s">
        <v>56</v>
      </c>
      <c r="K435" s="119"/>
      <c r="L435" s="99">
        <f t="shared" si="1"/>
        <v>2.4</v>
      </c>
      <c r="M435" s="100">
        <f t="shared" si="2"/>
        <v>3.024</v>
      </c>
      <c r="N435" s="90"/>
    </row>
    <row r="436">
      <c r="A436" s="123"/>
      <c r="B436" s="123"/>
      <c r="C436" s="115" t="s">
        <v>523</v>
      </c>
      <c r="D436" s="126">
        <v>10000.0</v>
      </c>
      <c r="E436" s="117" t="s">
        <v>60</v>
      </c>
      <c r="F436" s="127">
        <v>14.57</v>
      </c>
      <c r="G436" s="84">
        <v>0.17</v>
      </c>
      <c r="H436" s="96">
        <f>IF(Settings!$D$7=true, 1-G436,1)</f>
        <v>0.83</v>
      </c>
      <c r="I436" s="124" t="s">
        <v>55</v>
      </c>
      <c r="J436" s="97" t="s">
        <v>62</v>
      </c>
      <c r="K436" s="119"/>
      <c r="L436" s="99">
        <f t="shared" si="1"/>
        <v>0.001457</v>
      </c>
      <c r="M436" s="100">
        <f t="shared" si="2"/>
        <v>0.00170469</v>
      </c>
      <c r="N436" s="90"/>
    </row>
    <row r="437">
      <c r="A437" s="123"/>
      <c r="B437" s="123"/>
      <c r="C437" s="115" t="s">
        <v>524</v>
      </c>
      <c r="D437" s="126">
        <v>1000.0</v>
      </c>
      <c r="E437" s="117" t="s">
        <v>60</v>
      </c>
      <c r="F437" s="127">
        <v>4.02</v>
      </c>
      <c r="G437" s="84">
        <v>0.38</v>
      </c>
      <c r="H437" s="96">
        <f>IF(Settings!$D$7=true, 1-G437,1)</f>
        <v>0.62</v>
      </c>
      <c r="I437" s="124" t="s">
        <v>55</v>
      </c>
      <c r="J437" s="97" t="s">
        <v>62</v>
      </c>
      <c r="K437" s="119"/>
      <c r="L437" s="99">
        <f t="shared" si="1"/>
        <v>0.00402</v>
      </c>
      <c r="M437" s="100">
        <f t="shared" si="2"/>
        <v>0.0055476</v>
      </c>
      <c r="N437" s="90"/>
    </row>
    <row r="438">
      <c r="A438" s="123"/>
      <c r="B438" s="123"/>
      <c r="C438" s="115" t="s">
        <v>525</v>
      </c>
      <c r="D438" s="126">
        <v>20.0</v>
      </c>
      <c r="E438" s="117" t="s">
        <v>57</v>
      </c>
      <c r="F438" s="127">
        <v>1.11</v>
      </c>
      <c r="G438" s="84">
        <v>0.35</v>
      </c>
      <c r="H438" s="96">
        <f>IF(Settings!$D$7=true, 1-G438,1)</f>
        <v>0.65</v>
      </c>
      <c r="I438" s="124" t="s">
        <v>55</v>
      </c>
      <c r="J438" s="97" t="s">
        <v>62</v>
      </c>
      <c r="K438" s="119"/>
      <c r="L438" s="99">
        <f t="shared" si="1"/>
        <v>0.0555</v>
      </c>
      <c r="M438" s="100">
        <f t="shared" si="2"/>
        <v>0.074925</v>
      </c>
      <c r="N438" s="90"/>
    </row>
    <row r="439">
      <c r="A439" s="123"/>
      <c r="B439" s="123"/>
      <c r="C439" s="115" t="s">
        <v>526</v>
      </c>
      <c r="D439" s="126">
        <v>1.0</v>
      </c>
      <c r="E439" s="117" t="s">
        <v>57</v>
      </c>
      <c r="F439" s="127">
        <v>3.96</v>
      </c>
      <c r="G439" s="84">
        <v>0.05</v>
      </c>
      <c r="H439" s="96">
        <f>IF(Settings!$D$7=true, 1-G439,1)</f>
        <v>0.95</v>
      </c>
      <c r="I439" s="124" t="s">
        <v>55</v>
      </c>
      <c r="J439" s="97" t="s">
        <v>59</v>
      </c>
      <c r="K439" s="119"/>
      <c r="L439" s="99">
        <f t="shared" si="1"/>
        <v>3.96</v>
      </c>
      <c r="M439" s="100">
        <f t="shared" si="2"/>
        <v>4.158</v>
      </c>
      <c r="N439" s="90"/>
    </row>
    <row r="440">
      <c r="A440" s="123"/>
      <c r="B440" s="123"/>
      <c r="C440" s="115" t="s">
        <v>527</v>
      </c>
      <c r="D440" s="126">
        <v>500.0</v>
      </c>
      <c r="E440" s="117" t="s">
        <v>60</v>
      </c>
      <c r="F440" s="127">
        <v>8.24</v>
      </c>
      <c r="G440" s="84">
        <v>0.26</v>
      </c>
      <c r="H440" s="96">
        <f>IF(Settings!$D$7=true, 1-G440,1)</f>
        <v>0.74</v>
      </c>
      <c r="I440" s="124" t="s">
        <v>67</v>
      </c>
      <c r="J440" s="97" t="s">
        <v>59</v>
      </c>
      <c r="K440" s="119"/>
      <c r="L440" s="99">
        <f t="shared" si="1"/>
        <v>0.01648</v>
      </c>
      <c r="M440" s="100">
        <f t="shared" si="2"/>
        <v>0.0207648</v>
      </c>
      <c r="N440" s="90"/>
    </row>
    <row r="441">
      <c r="A441" s="123"/>
      <c r="B441" s="123"/>
      <c r="C441" s="115" t="s">
        <v>528</v>
      </c>
      <c r="D441" s="126">
        <v>2.0</v>
      </c>
      <c r="E441" s="117" t="s">
        <v>57</v>
      </c>
      <c r="F441" s="127">
        <v>30.67</v>
      </c>
      <c r="G441" s="84">
        <v>0.39</v>
      </c>
      <c r="H441" s="96">
        <f>IF(Settings!$D$7=true, 1-G441,1)</f>
        <v>0.61</v>
      </c>
      <c r="I441" s="124" t="s">
        <v>61</v>
      </c>
      <c r="J441" s="97" t="s">
        <v>71</v>
      </c>
      <c r="K441" s="119"/>
      <c r="L441" s="99">
        <f t="shared" si="1"/>
        <v>15.335</v>
      </c>
      <c r="M441" s="100">
        <f t="shared" si="2"/>
        <v>21.31565</v>
      </c>
      <c r="N441" s="90"/>
    </row>
    <row r="442">
      <c r="A442" s="123"/>
      <c r="B442" s="123"/>
      <c r="C442" s="115" t="s">
        <v>124</v>
      </c>
      <c r="D442" s="126">
        <v>1000.0</v>
      </c>
      <c r="E442" s="117" t="s">
        <v>60</v>
      </c>
      <c r="F442" s="127">
        <v>19.48</v>
      </c>
      <c r="G442" s="84">
        <v>0.08</v>
      </c>
      <c r="H442" s="96">
        <f>IF(Settings!$D$7=true, 1-G442,1)</f>
        <v>0.92</v>
      </c>
      <c r="I442" s="124" t="s">
        <v>55</v>
      </c>
      <c r="J442" s="97" t="s">
        <v>59</v>
      </c>
      <c r="K442" s="119"/>
      <c r="L442" s="99">
        <f t="shared" si="1"/>
        <v>0.01948</v>
      </c>
      <c r="M442" s="100">
        <f t="shared" si="2"/>
        <v>0.0210384</v>
      </c>
      <c r="N442" s="90"/>
    </row>
    <row r="443">
      <c r="A443" s="123"/>
      <c r="B443" s="123"/>
      <c r="C443" s="115" t="s">
        <v>529</v>
      </c>
      <c r="D443" s="126">
        <v>1000.0</v>
      </c>
      <c r="E443" s="117" t="s">
        <v>60</v>
      </c>
      <c r="F443" s="127">
        <v>15.5</v>
      </c>
      <c r="G443" s="84">
        <v>0.08</v>
      </c>
      <c r="H443" s="96">
        <f>IF(Settings!$D$7=true, 1-G443,1)</f>
        <v>0.92</v>
      </c>
      <c r="I443" s="124" t="s">
        <v>58</v>
      </c>
      <c r="J443" s="97" t="s">
        <v>65</v>
      </c>
      <c r="K443" s="119"/>
      <c r="L443" s="99">
        <f t="shared" si="1"/>
        <v>0.0155</v>
      </c>
      <c r="M443" s="100">
        <f t="shared" si="2"/>
        <v>0.01674</v>
      </c>
      <c r="N443" s="90"/>
    </row>
    <row r="444">
      <c r="A444" s="123"/>
      <c r="B444" s="123"/>
      <c r="C444" s="115" t="s">
        <v>530</v>
      </c>
      <c r="D444" s="126">
        <v>1000.0</v>
      </c>
      <c r="E444" s="117" t="s">
        <v>60</v>
      </c>
      <c r="F444" s="127">
        <v>4.53</v>
      </c>
      <c r="G444" s="84">
        <v>0.06</v>
      </c>
      <c r="H444" s="96">
        <f>IF(Settings!$D$7=true, 1-G444,1)</f>
        <v>0.94</v>
      </c>
      <c r="I444" s="124" t="s">
        <v>55</v>
      </c>
      <c r="J444" s="97" t="s">
        <v>62</v>
      </c>
      <c r="K444" s="119"/>
      <c r="L444" s="99">
        <f t="shared" si="1"/>
        <v>0.00453</v>
      </c>
      <c r="M444" s="100">
        <f t="shared" si="2"/>
        <v>0.0048018</v>
      </c>
      <c r="N444" s="90"/>
    </row>
    <row r="445">
      <c r="A445" s="123"/>
      <c r="B445" s="123"/>
      <c r="C445" s="115" t="s">
        <v>531</v>
      </c>
      <c r="D445" s="126">
        <v>375.0</v>
      </c>
      <c r="E445" s="117" t="s">
        <v>69</v>
      </c>
      <c r="F445" s="127">
        <v>3.31</v>
      </c>
      <c r="G445" s="84">
        <v>0.05</v>
      </c>
      <c r="H445" s="96">
        <f>IF(Settings!$D$7=true, 1-G445,1)</f>
        <v>0.95</v>
      </c>
      <c r="I445" s="124" t="s">
        <v>55</v>
      </c>
      <c r="J445" s="97" t="s">
        <v>62</v>
      </c>
      <c r="K445" s="119"/>
      <c r="L445" s="99">
        <f t="shared" si="1"/>
        <v>0.008826666667</v>
      </c>
      <c r="M445" s="100">
        <f t="shared" si="2"/>
        <v>0.009268</v>
      </c>
      <c r="N445" s="90"/>
    </row>
    <row r="446">
      <c r="A446" s="123"/>
      <c r="B446" s="123"/>
      <c r="C446" s="115" t="s">
        <v>532</v>
      </c>
      <c r="D446" s="126">
        <v>5000.0</v>
      </c>
      <c r="E446" s="117" t="s">
        <v>69</v>
      </c>
      <c r="F446" s="127">
        <v>35.46</v>
      </c>
      <c r="G446" s="84">
        <v>0.4</v>
      </c>
      <c r="H446" s="96">
        <f>IF(Settings!$D$7=true, 1-G446,1)</f>
        <v>0.6</v>
      </c>
      <c r="I446" s="124" t="s">
        <v>67</v>
      </c>
      <c r="J446" s="97" t="s">
        <v>59</v>
      </c>
      <c r="K446" s="119"/>
      <c r="L446" s="99">
        <f t="shared" si="1"/>
        <v>0.007092</v>
      </c>
      <c r="M446" s="100">
        <f t="shared" si="2"/>
        <v>0.0099288</v>
      </c>
      <c r="N446" s="90"/>
    </row>
    <row r="447">
      <c r="A447" s="123"/>
      <c r="B447" s="123"/>
      <c r="C447" s="115" t="s">
        <v>533</v>
      </c>
      <c r="D447" s="126">
        <v>550.0</v>
      </c>
      <c r="E447" s="117" t="s">
        <v>69</v>
      </c>
      <c r="F447" s="127">
        <v>2.29</v>
      </c>
      <c r="G447" s="84">
        <v>0.17</v>
      </c>
      <c r="H447" s="96">
        <f>IF(Settings!$D$7=true, 1-G447,1)</f>
        <v>0.83</v>
      </c>
      <c r="I447" s="124" t="s">
        <v>67</v>
      </c>
      <c r="J447" s="97" t="s">
        <v>59</v>
      </c>
      <c r="K447" s="119"/>
      <c r="L447" s="99">
        <f t="shared" si="1"/>
        <v>0.004163636364</v>
      </c>
      <c r="M447" s="100">
        <f t="shared" si="2"/>
        <v>0.004871454545</v>
      </c>
      <c r="N447" s="90"/>
    </row>
    <row r="448">
      <c r="A448" s="123"/>
      <c r="B448" s="123"/>
      <c r="C448" s="115" t="s">
        <v>534</v>
      </c>
      <c r="D448" s="126">
        <v>1000.0</v>
      </c>
      <c r="E448" s="117" t="s">
        <v>60</v>
      </c>
      <c r="F448" s="127">
        <v>4.51</v>
      </c>
      <c r="G448" s="84">
        <v>0.18</v>
      </c>
      <c r="H448" s="96">
        <f>IF(Settings!$D$7=true, 1-G448,1)</f>
        <v>0.82</v>
      </c>
      <c r="I448" s="124" t="s">
        <v>55</v>
      </c>
      <c r="J448" s="97" t="s">
        <v>62</v>
      </c>
      <c r="K448" s="119"/>
      <c r="L448" s="99">
        <f t="shared" si="1"/>
        <v>0.00451</v>
      </c>
      <c r="M448" s="100">
        <f t="shared" si="2"/>
        <v>0.0053218</v>
      </c>
      <c r="N448" s="90"/>
    </row>
    <row r="449">
      <c r="A449" s="123"/>
      <c r="B449" s="123"/>
      <c r="C449" s="115" t="s">
        <v>535</v>
      </c>
      <c r="D449" s="126">
        <v>600.0</v>
      </c>
      <c r="E449" s="117" t="s">
        <v>69</v>
      </c>
      <c r="F449" s="127">
        <v>4.72</v>
      </c>
      <c r="G449" s="84">
        <v>0.23</v>
      </c>
      <c r="H449" s="96">
        <f>IF(Settings!$D$7=true, 1-G449,1)</f>
        <v>0.77</v>
      </c>
      <c r="I449" s="124" t="s">
        <v>67</v>
      </c>
      <c r="J449" s="97" t="s">
        <v>62</v>
      </c>
      <c r="K449" s="119"/>
      <c r="L449" s="99">
        <f t="shared" si="1"/>
        <v>0.007866666667</v>
      </c>
      <c r="M449" s="100">
        <f t="shared" si="2"/>
        <v>0.009676</v>
      </c>
      <c r="N449" s="90"/>
    </row>
    <row r="450">
      <c r="A450" s="123"/>
      <c r="B450" s="123"/>
      <c r="C450" s="115" t="s">
        <v>536</v>
      </c>
      <c r="D450" s="126">
        <v>1000.0</v>
      </c>
      <c r="E450" s="117" t="s">
        <v>60</v>
      </c>
      <c r="F450" s="127">
        <v>30.95</v>
      </c>
      <c r="G450" s="84">
        <v>0.11</v>
      </c>
      <c r="H450" s="96">
        <f>IF(Settings!$D$7=true, 1-G450,1)</f>
        <v>0.89</v>
      </c>
      <c r="I450" s="124" t="s">
        <v>55</v>
      </c>
      <c r="J450" s="97" t="s">
        <v>62</v>
      </c>
      <c r="K450" s="119"/>
      <c r="L450" s="99">
        <f t="shared" si="1"/>
        <v>0.03095</v>
      </c>
      <c r="M450" s="100">
        <f t="shared" si="2"/>
        <v>0.0343545</v>
      </c>
      <c r="N450" s="90"/>
    </row>
    <row r="451">
      <c r="A451" s="123"/>
      <c r="B451" s="123"/>
      <c r="C451" s="115" t="s">
        <v>537</v>
      </c>
      <c r="D451" s="126">
        <v>5000.0</v>
      </c>
      <c r="E451" s="117" t="s">
        <v>60</v>
      </c>
      <c r="F451" s="127">
        <v>178.57</v>
      </c>
      <c r="G451" s="84">
        <v>0.16</v>
      </c>
      <c r="H451" s="96">
        <f>IF(Settings!$D$7=true, 1-G451,1)</f>
        <v>0.84</v>
      </c>
      <c r="I451" s="124" t="s">
        <v>55</v>
      </c>
      <c r="J451" s="97" t="s">
        <v>56</v>
      </c>
      <c r="K451" s="119"/>
      <c r="L451" s="99">
        <f t="shared" si="1"/>
        <v>0.035714</v>
      </c>
      <c r="M451" s="100">
        <f t="shared" si="2"/>
        <v>0.04142824</v>
      </c>
      <c r="N451" s="90"/>
    </row>
    <row r="452">
      <c r="A452" s="123"/>
      <c r="B452" s="123"/>
      <c r="C452" s="115" t="s">
        <v>538</v>
      </c>
      <c r="D452" s="126">
        <v>1.0</v>
      </c>
      <c r="E452" s="117" t="s">
        <v>57</v>
      </c>
      <c r="F452" s="127">
        <v>6.0</v>
      </c>
      <c r="G452" s="84">
        <v>0.39</v>
      </c>
      <c r="H452" s="96">
        <f>IF(Settings!$D$7=true, 1-G452,1)</f>
        <v>0.61</v>
      </c>
      <c r="I452" s="124" t="s">
        <v>58</v>
      </c>
      <c r="J452" s="97" t="s">
        <v>65</v>
      </c>
      <c r="K452" s="119"/>
      <c r="L452" s="99">
        <f t="shared" si="1"/>
        <v>6</v>
      </c>
      <c r="M452" s="100">
        <f t="shared" si="2"/>
        <v>8.34</v>
      </c>
      <c r="N452" s="90"/>
    </row>
    <row r="453">
      <c r="A453" s="123"/>
      <c r="B453" s="123"/>
      <c r="C453" s="115" t="s">
        <v>539</v>
      </c>
      <c r="D453" s="126">
        <v>1.0</v>
      </c>
      <c r="E453" s="117" t="s">
        <v>66</v>
      </c>
      <c r="F453" s="127">
        <v>4.4</v>
      </c>
      <c r="G453" s="84">
        <v>0.18</v>
      </c>
      <c r="H453" s="96">
        <f>IF(Settings!$D$7=true, 1-G453,1)</f>
        <v>0.82</v>
      </c>
      <c r="I453" s="124" t="s">
        <v>58</v>
      </c>
      <c r="J453" s="97" t="s">
        <v>65</v>
      </c>
      <c r="K453" s="119"/>
      <c r="L453" s="99">
        <f t="shared" si="1"/>
        <v>4.4</v>
      </c>
      <c r="M453" s="100">
        <f t="shared" si="2"/>
        <v>5.192</v>
      </c>
      <c r="N453" s="90"/>
    </row>
    <row r="454">
      <c r="A454" s="123"/>
      <c r="B454" s="123"/>
      <c r="C454" s="115" t="s">
        <v>540</v>
      </c>
      <c r="D454" s="126">
        <v>1.0</v>
      </c>
      <c r="E454" s="117" t="s">
        <v>57</v>
      </c>
      <c r="F454" s="127">
        <v>4.7</v>
      </c>
      <c r="G454" s="84">
        <v>0.31</v>
      </c>
      <c r="H454" s="96">
        <f>IF(Settings!$D$7=true, 1-G454,1)</f>
        <v>0.69</v>
      </c>
      <c r="I454" s="124" t="s">
        <v>58</v>
      </c>
      <c r="J454" s="97" t="s">
        <v>65</v>
      </c>
      <c r="K454" s="119"/>
      <c r="L454" s="99">
        <f t="shared" si="1"/>
        <v>4.7</v>
      </c>
      <c r="M454" s="100">
        <f t="shared" si="2"/>
        <v>6.157</v>
      </c>
      <c r="N454" s="90"/>
    </row>
    <row r="455">
      <c r="A455" s="123"/>
      <c r="B455" s="123"/>
      <c r="C455" s="115" t="s">
        <v>541</v>
      </c>
      <c r="D455" s="126">
        <v>8.0</v>
      </c>
      <c r="E455" s="117" t="s">
        <v>57</v>
      </c>
      <c r="F455" s="127">
        <v>36.0</v>
      </c>
      <c r="G455" s="84">
        <v>0.21</v>
      </c>
      <c r="H455" s="96">
        <f>IF(Settings!$D$7=true, 1-G455,1)</f>
        <v>0.79</v>
      </c>
      <c r="I455" s="124" t="s">
        <v>58</v>
      </c>
      <c r="J455" s="97" t="s">
        <v>65</v>
      </c>
      <c r="K455" s="119"/>
      <c r="L455" s="99">
        <f t="shared" si="1"/>
        <v>4.5</v>
      </c>
      <c r="M455" s="100">
        <f t="shared" si="2"/>
        <v>5.445</v>
      </c>
      <c r="N455" s="90"/>
    </row>
    <row r="456">
      <c r="A456" s="123"/>
      <c r="B456" s="123"/>
      <c r="C456" s="115" t="s">
        <v>542</v>
      </c>
      <c r="D456" s="126">
        <v>2500.0</v>
      </c>
      <c r="E456" s="117" t="s">
        <v>60</v>
      </c>
      <c r="F456" s="127">
        <v>8.31</v>
      </c>
      <c r="G456" s="84">
        <v>0.4</v>
      </c>
      <c r="H456" s="96">
        <f>IF(Settings!$D$7=true, 1-G456,1)</f>
        <v>0.6</v>
      </c>
      <c r="I456" s="124" t="s">
        <v>55</v>
      </c>
      <c r="J456" s="97" t="s">
        <v>62</v>
      </c>
      <c r="K456" s="119"/>
      <c r="L456" s="99">
        <f t="shared" si="1"/>
        <v>0.003324</v>
      </c>
      <c r="M456" s="100">
        <f t="shared" si="2"/>
        <v>0.0046536</v>
      </c>
      <c r="N456" s="90"/>
    </row>
    <row r="457">
      <c r="A457" s="123"/>
      <c r="B457" s="123"/>
      <c r="C457" s="115" t="s">
        <v>543</v>
      </c>
      <c r="D457" s="126">
        <v>2000.0</v>
      </c>
      <c r="E457" s="117" t="s">
        <v>60</v>
      </c>
      <c r="F457" s="127">
        <v>41.88</v>
      </c>
      <c r="G457" s="84">
        <v>0.4</v>
      </c>
      <c r="H457" s="96">
        <f>IF(Settings!$D$7=true, 1-G457,1)</f>
        <v>0.6</v>
      </c>
      <c r="I457" s="124" t="s">
        <v>55</v>
      </c>
      <c r="J457" s="97" t="s">
        <v>59</v>
      </c>
      <c r="K457" s="119"/>
      <c r="L457" s="99">
        <f t="shared" si="1"/>
        <v>0.02094</v>
      </c>
      <c r="M457" s="100">
        <f t="shared" si="2"/>
        <v>0.029316</v>
      </c>
      <c r="N457" s="90"/>
    </row>
    <row r="458">
      <c r="A458" s="123"/>
      <c r="B458" s="123"/>
      <c r="C458" s="115" t="s">
        <v>544</v>
      </c>
      <c r="D458" s="126">
        <v>1.0</v>
      </c>
      <c r="E458" s="131" t="s">
        <v>63</v>
      </c>
      <c r="F458" s="127">
        <v>12.25</v>
      </c>
      <c r="G458" s="84">
        <v>0.32</v>
      </c>
      <c r="H458" s="96">
        <f>IF(Settings!$D$7=true, 1-G458,1)</f>
        <v>0.68</v>
      </c>
      <c r="I458" s="124" t="s">
        <v>58</v>
      </c>
      <c r="J458" s="97" t="s">
        <v>65</v>
      </c>
      <c r="K458" s="119"/>
      <c r="L458" s="99">
        <f t="shared" si="1"/>
        <v>12.25</v>
      </c>
      <c r="M458" s="100">
        <f t="shared" si="2"/>
        <v>16.17</v>
      </c>
      <c r="N458" s="90"/>
    </row>
    <row r="459">
      <c r="A459" s="123"/>
      <c r="B459" s="123"/>
      <c r="C459" s="115" t="s">
        <v>545</v>
      </c>
      <c r="D459" s="126">
        <v>500.0</v>
      </c>
      <c r="E459" s="117" t="s">
        <v>60</v>
      </c>
      <c r="F459" s="127">
        <v>2.86</v>
      </c>
      <c r="G459" s="84">
        <v>0.34</v>
      </c>
      <c r="H459" s="96">
        <f>IF(Settings!$D$7=true, 1-G459,1)</f>
        <v>0.66</v>
      </c>
      <c r="I459" s="124" t="s">
        <v>55</v>
      </c>
      <c r="J459" s="97" t="s">
        <v>62</v>
      </c>
      <c r="K459" s="119"/>
      <c r="L459" s="99">
        <f t="shared" si="1"/>
        <v>0.00572</v>
      </c>
      <c r="M459" s="100">
        <f t="shared" si="2"/>
        <v>0.0076648</v>
      </c>
      <c r="N459" s="90"/>
    </row>
    <row r="460">
      <c r="A460" s="123"/>
      <c r="B460" s="123"/>
      <c r="C460" s="115" t="s">
        <v>546</v>
      </c>
      <c r="D460" s="126">
        <v>2000.0</v>
      </c>
      <c r="E460" s="117" t="s">
        <v>60</v>
      </c>
      <c r="F460" s="127">
        <v>24.56</v>
      </c>
      <c r="G460" s="84">
        <v>0.25</v>
      </c>
      <c r="H460" s="96">
        <f>IF(Settings!$D$7=true, 1-G460,1)</f>
        <v>0.75</v>
      </c>
      <c r="I460" s="124" t="s">
        <v>55</v>
      </c>
      <c r="J460" s="97" t="s">
        <v>62</v>
      </c>
      <c r="K460" s="119"/>
      <c r="L460" s="99">
        <f t="shared" si="1"/>
        <v>0.01228</v>
      </c>
      <c r="M460" s="100">
        <f t="shared" si="2"/>
        <v>0.01535</v>
      </c>
      <c r="N460" s="90"/>
    </row>
    <row r="461">
      <c r="A461" s="123"/>
      <c r="B461" s="123"/>
      <c r="C461" s="115" t="s">
        <v>547</v>
      </c>
      <c r="D461" s="126">
        <v>4200.0</v>
      </c>
      <c r="E461" s="117" t="s">
        <v>60</v>
      </c>
      <c r="F461" s="127">
        <v>23.42</v>
      </c>
      <c r="G461" s="84">
        <v>0.01</v>
      </c>
      <c r="H461" s="96">
        <f>IF(Settings!$D$7=true, 1-G461,1)</f>
        <v>0.99</v>
      </c>
      <c r="I461" s="124" t="s">
        <v>55</v>
      </c>
      <c r="J461" s="97" t="s">
        <v>62</v>
      </c>
      <c r="K461" s="119"/>
      <c r="L461" s="99">
        <f t="shared" si="1"/>
        <v>0.005576190476</v>
      </c>
      <c r="M461" s="100">
        <f t="shared" si="2"/>
        <v>0.005631952381</v>
      </c>
      <c r="N461" s="90"/>
    </row>
    <row r="462">
      <c r="A462" s="123"/>
      <c r="B462" s="123"/>
      <c r="C462" s="115" t="s">
        <v>548</v>
      </c>
      <c r="D462" s="126">
        <v>1000.0</v>
      </c>
      <c r="E462" s="117" t="s">
        <v>69</v>
      </c>
      <c r="F462" s="127">
        <v>57.55</v>
      </c>
      <c r="G462" s="84">
        <v>0.06</v>
      </c>
      <c r="H462" s="96">
        <f>IF(Settings!$D$7=true, 1-G462,1)</f>
        <v>0.94</v>
      </c>
      <c r="I462" s="124" t="s">
        <v>72</v>
      </c>
      <c r="J462" s="97" t="s">
        <v>62</v>
      </c>
      <c r="K462" s="119"/>
      <c r="L462" s="99">
        <f t="shared" si="1"/>
        <v>0.05755</v>
      </c>
      <c r="M462" s="100">
        <f t="shared" si="2"/>
        <v>0.061003</v>
      </c>
      <c r="N462" s="90"/>
    </row>
    <row r="463">
      <c r="A463" s="123"/>
      <c r="B463" s="123"/>
      <c r="C463" s="115" t="s">
        <v>549</v>
      </c>
      <c r="D463" s="126">
        <v>1000.0</v>
      </c>
      <c r="E463" s="117" t="s">
        <v>69</v>
      </c>
      <c r="F463" s="127">
        <v>5.0</v>
      </c>
      <c r="G463" s="84">
        <v>0.34</v>
      </c>
      <c r="H463" s="96">
        <f>IF(Settings!$D$7=true, 1-G463,1)</f>
        <v>0.66</v>
      </c>
      <c r="I463" s="124" t="s">
        <v>72</v>
      </c>
      <c r="J463" s="97" t="s">
        <v>59</v>
      </c>
      <c r="K463" s="119"/>
      <c r="L463" s="99">
        <f t="shared" si="1"/>
        <v>0.005</v>
      </c>
      <c r="M463" s="100">
        <f t="shared" si="2"/>
        <v>0.0067</v>
      </c>
      <c r="N463" s="90"/>
    </row>
    <row r="464">
      <c r="A464" s="123"/>
      <c r="B464" s="123"/>
      <c r="C464" s="115" t="s">
        <v>550</v>
      </c>
      <c r="D464" s="126">
        <v>815.0</v>
      </c>
      <c r="E464" s="117" t="s">
        <v>69</v>
      </c>
      <c r="F464" s="127">
        <v>4.88</v>
      </c>
      <c r="G464" s="84">
        <v>0.39</v>
      </c>
      <c r="H464" s="96">
        <f>IF(Settings!$D$7=true, 1-G464,1)</f>
        <v>0.61</v>
      </c>
      <c r="I464" s="124" t="s">
        <v>67</v>
      </c>
      <c r="J464" s="97" t="s">
        <v>59</v>
      </c>
      <c r="K464" s="119"/>
      <c r="L464" s="99">
        <f t="shared" si="1"/>
        <v>0.005987730061</v>
      </c>
      <c r="M464" s="100">
        <f t="shared" si="2"/>
        <v>0.008322944785</v>
      </c>
      <c r="N464" s="90"/>
    </row>
    <row r="465">
      <c r="A465" s="123"/>
      <c r="B465" s="123"/>
      <c r="C465" s="115" t="s">
        <v>551</v>
      </c>
      <c r="D465" s="126">
        <v>1000.0</v>
      </c>
      <c r="E465" s="117" t="s">
        <v>60</v>
      </c>
      <c r="F465" s="127">
        <v>12.15</v>
      </c>
      <c r="G465" s="84">
        <v>0.02</v>
      </c>
      <c r="H465" s="96">
        <f>IF(Settings!$D$7=true, 1-G465,1)</f>
        <v>0.98</v>
      </c>
      <c r="I465" s="124" t="s">
        <v>55</v>
      </c>
      <c r="J465" s="97" t="s">
        <v>62</v>
      </c>
      <c r="K465" s="119"/>
      <c r="L465" s="99">
        <f t="shared" si="1"/>
        <v>0.01215</v>
      </c>
      <c r="M465" s="100">
        <f t="shared" si="2"/>
        <v>0.012393</v>
      </c>
      <c r="N465" s="90"/>
    </row>
    <row r="466">
      <c r="A466" s="123"/>
      <c r="B466" s="123"/>
      <c r="C466" s="115" t="s">
        <v>552</v>
      </c>
      <c r="D466" s="126">
        <v>1000.0</v>
      </c>
      <c r="E466" s="117" t="s">
        <v>60</v>
      </c>
      <c r="F466" s="127">
        <v>9.02</v>
      </c>
      <c r="G466" s="84">
        <v>0.01</v>
      </c>
      <c r="H466" s="96">
        <f>IF(Settings!$D$7=true, 1-G466,1)</f>
        <v>0.99</v>
      </c>
      <c r="I466" s="124" t="s">
        <v>55</v>
      </c>
      <c r="J466" s="97" t="s">
        <v>59</v>
      </c>
      <c r="K466" s="119"/>
      <c r="L466" s="99">
        <f t="shared" si="1"/>
        <v>0.00902</v>
      </c>
      <c r="M466" s="100">
        <f t="shared" si="2"/>
        <v>0.0091102</v>
      </c>
      <c r="N466" s="90"/>
    </row>
    <row r="467">
      <c r="A467" s="123"/>
      <c r="B467" s="123"/>
      <c r="C467" s="115" t="s">
        <v>553</v>
      </c>
      <c r="D467" s="126">
        <v>552.0</v>
      </c>
      <c r="E467" s="117" t="s">
        <v>60</v>
      </c>
      <c r="F467" s="127">
        <v>2.49</v>
      </c>
      <c r="G467" s="84">
        <v>0.17</v>
      </c>
      <c r="H467" s="96">
        <f>IF(Settings!$D$7=true, 1-G467,1)</f>
        <v>0.83</v>
      </c>
      <c r="I467" s="124" t="s">
        <v>55</v>
      </c>
      <c r="J467" s="97" t="s">
        <v>62</v>
      </c>
      <c r="K467" s="119"/>
      <c r="L467" s="99">
        <f t="shared" si="1"/>
        <v>0.004510869565</v>
      </c>
      <c r="M467" s="100">
        <f t="shared" si="2"/>
        <v>0.005277717391</v>
      </c>
      <c r="N467" s="90"/>
    </row>
    <row r="468">
      <c r="A468" s="123"/>
      <c r="B468" s="123"/>
      <c r="C468" s="115" t="s">
        <v>554</v>
      </c>
      <c r="D468" s="126">
        <v>1000.0</v>
      </c>
      <c r="E468" s="117" t="s">
        <v>60</v>
      </c>
      <c r="F468" s="127">
        <v>19.45</v>
      </c>
      <c r="G468" s="84">
        <v>0.04</v>
      </c>
      <c r="H468" s="96">
        <f>IF(Settings!$D$7=true, 1-G468,1)</f>
        <v>0.96</v>
      </c>
      <c r="I468" s="124" t="s">
        <v>55</v>
      </c>
      <c r="J468" s="97" t="s">
        <v>62</v>
      </c>
      <c r="K468" s="119"/>
      <c r="L468" s="99">
        <f t="shared" si="1"/>
        <v>0.01945</v>
      </c>
      <c r="M468" s="100">
        <f t="shared" si="2"/>
        <v>0.020228</v>
      </c>
      <c r="N468" s="90"/>
    </row>
    <row r="469">
      <c r="A469" s="123"/>
      <c r="B469" s="123"/>
      <c r="C469" s="115" t="s">
        <v>555</v>
      </c>
      <c r="D469" s="126">
        <v>1000.0</v>
      </c>
      <c r="E469" s="117" t="s">
        <v>60</v>
      </c>
      <c r="F469" s="127">
        <v>24.13</v>
      </c>
      <c r="G469" s="84">
        <v>0.15</v>
      </c>
      <c r="H469" s="96">
        <f>IF(Settings!$D$7=true, 1-G469,1)</f>
        <v>0.85</v>
      </c>
      <c r="I469" s="124" t="s">
        <v>55</v>
      </c>
      <c r="J469" s="97" t="s">
        <v>62</v>
      </c>
      <c r="K469" s="119"/>
      <c r="L469" s="99">
        <f t="shared" si="1"/>
        <v>0.02413</v>
      </c>
      <c r="M469" s="100">
        <f t="shared" si="2"/>
        <v>0.0277495</v>
      </c>
      <c r="N469" s="90"/>
    </row>
    <row r="470">
      <c r="A470" s="123"/>
      <c r="B470" s="123"/>
      <c r="C470" s="115" t="s">
        <v>556</v>
      </c>
      <c r="D470" s="126">
        <v>4.0</v>
      </c>
      <c r="E470" s="117" t="s">
        <v>57</v>
      </c>
      <c r="F470" s="127">
        <v>10.43</v>
      </c>
      <c r="G470" s="84">
        <v>0.03</v>
      </c>
      <c r="H470" s="96">
        <f>IF(Settings!$D$7=true, 1-G470,1)</f>
        <v>0.97</v>
      </c>
      <c r="I470" s="124" t="s">
        <v>55</v>
      </c>
      <c r="J470" s="97" t="s">
        <v>56</v>
      </c>
      <c r="K470" s="119"/>
      <c r="L470" s="99">
        <f t="shared" si="1"/>
        <v>2.6075</v>
      </c>
      <c r="M470" s="100">
        <f t="shared" si="2"/>
        <v>2.685725</v>
      </c>
      <c r="N470" s="90"/>
    </row>
    <row r="471">
      <c r="A471" s="123"/>
      <c r="B471" s="123"/>
      <c r="C471" s="115" t="s">
        <v>557</v>
      </c>
      <c r="D471" s="126">
        <v>2800.0</v>
      </c>
      <c r="E471" s="117" t="s">
        <v>60</v>
      </c>
      <c r="F471" s="127">
        <v>18.2</v>
      </c>
      <c r="G471" s="84">
        <v>0.25</v>
      </c>
      <c r="H471" s="96">
        <f>IF(Settings!$D$7=true, 1-G471,1)</f>
        <v>0.75</v>
      </c>
      <c r="I471" s="124" t="s">
        <v>55</v>
      </c>
      <c r="J471" s="97" t="s">
        <v>62</v>
      </c>
      <c r="K471" s="119"/>
      <c r="L471" s="99">
        <f t="shared" si="1"/>
        <v>0.0065</v>
      </c>
      <c r="M471" s="100">
        <f t="shared" si="2"/>
        <v>0.008125</v>
      </c>
      <c r="N471" s="90"/>
    </row>
    <row r="472">
      <c r="A472" s="123"/>
      <c r="B472" s="123"/>
      <c r="C472" s="115" t="s">
        <v>558</v>
      </c>
      <c r="D472" s="126">
        <v>15000.0</v>
      </c>
      <c r="E472" s="117" t="s">
        <v>60</v>
      </c>
      <c r="F472" s="127">
        <v>39.46</v>
      </c>
      <c r="G472" s="84">
        <v>0.25</v>
      </c>
      <c r="H472" s="96">
        <f>IF(Settings!$D$7=true, 1-G472,1)</f>
        <v>0.75</v>
      </c>
      <c r="I472" s="124" t="s">
        <v>55</v>
      </c>
      <c r="J472" s="97" t="s">
        <v>62</v>
      </c>
      <c r="K472" s="119"/>
      <c r="L472" s="99">
        <f t="shared" si="1"/>
        <v>0.002630666667</v>
      </c>
      <c r="M472" s="100">
        <f t="shared" si="2"/>
        <v>0.003288333333</v>
      </c>
      <c r="N472" s="90"/>
    </row>
    <row r="473">
      <c r="A473" s="123"/>
      <c r="B473" s="123"/>
      <c r="C473" s="115" t="s">
        <v>559</v>
      </c>
      <c r="D473" s="126">
        <v>2000.0</v>
      </c>
      <c r="E473" s="117" t="s">
        <v>60</v>
      </c>
      <c r="F473" s="127">
        <v>10.65</v>
      </c>
      <c r="G473" s="84">
        <v>0.17</v>
      </c>
      <c r="H473" s="96">
        <f>IF(Settings!$D$7=true, 1-G473,1)</f>
        <v>0.83</v>
      </c>
      <c r="I473" s="124" t="s">
        <v>55</v>
      </c>
      <c r="J473" s="97" t="s">
        <v>56</v>
      </c>
      <c r="K473" s="119"/>
      <c r="L473" s="99">
        <f t="shared" si="1"/>
        <v>0.005325</v>
      </c>
      <c r="M473" s="100">
        <f t="shared" si="2"/>
        <v>0.00623025</v>
      </c>
      <c r="N473" s="90"/>
    </row>
    <row r="474">
      <c r="A474" s="123"/>
      <c r="B474" s="123"/>
      <c r="C474" s="115" t="s">
        <v>560</v>
      </c>
      <c r="D474" s="126">
        <v>5000.0</v>
      </c>
      <c r="E474" s="117" t="s">
        <v>60</v>
      </c>
      <c r="F474" s="127">
        <v>87.64</v>
      </c>
      <c r="G474" s="84">
        <v>0.34</v>
      </c>
      <c r="H474" s="96">
        <f>IF(Settings!$D$7=true, 1-G474,1)</f>
        <v>0.66</v>
      </c>
      <c r="I474" s="124" t="s">
        <v>55</v>
      </c>
      <c r="J474" s="97" t="s">
        <v>77</v>
      </c>
      <c r="K474" s="119"/>
      <c r="L474" s="99">
        <f t="shared" si="1"/>
        <v>0.017528</v>
      </c>
      <c r="M474" s="100">
        <f t="shared" si="2"/>
        <v>0.02348752</v>
      </c>
      <c r="N474" s="90"/>
    </row>
    <row r="475">
      <c r="A475" s="123"/>
      <c r="B475" s="123"/>
      <c r="C475" s="115" t="s">
        <v>561</v>
      </c>
      <c r="D475" s="126">
        <v>375.0</v>
      </c>
      <c r="E475" s="117" t="s">
        <v>60</v>
      </c>
      <c r="F475" s="127">
        <v>2.31</v>
      </c>
      <c r="G475" s="84">
        <v>0.2</v>
      </c>
      <c r="H475" s="96">
        <f>IF(Settings!$D$7=true, 1-G475,1)</f>
        <v>0.8</v>
      </c>
      <c r="I475" s="124" t="s">
        <v>55</v>
      </c>
      <c r="J475" s="97" t="s">
        <v>62</v>
      </c>
      <c r="K475" s="119"/>
      <c r="L475" s="99">
        <f t="shared" si="1"/>
        <v>0.00616</v>
      </c>
      <c r="M475" s="100">
        <f t="shared" si="2"/>
        <v>0.007392</v>
      </c>
      <c r="N475" s="90"/>
    </row>
    <row r="476">
      <c r="A476" s="125"/>
      <c r="B476" s="125"/>
      <c r="C476" s="115" t="s">
        <v>562</v>
      </c>
      <c r="D476" s="126">
        <v>1.0</v>
      </c>
      <c r="E476" s="117" t="s">
        <v>57</v>
      </c>
      <c r="F476" s="127">
        <v>8.3</v>
      </c>
      <c r="G476" s="84">
        <v>0.27</v>
      </c>
      <c r="H476" s="96">
        <f>IF(Settings!$D$7=true, 1-G476,1)</f>
        <v>0.73</v>
      </c>
      <c r="I476" s="124" t="s">
        <v>64</v>
      </c>
      <c r="J476" s="97" t="s">
        <v>75</v>
      </c>
      <c r="K476" s="119"/>
      <c r="L476" s="99">
        <f t="shared" si="1"/>
        <v>8.3</v>
      </c>
      <c r="M476" s="100">
        <f t="shared" si="2"/>
        <v>10.541</v>
      </c>
      <c r="N476" s="90"/>
    </row>
    <row r="477">
      <c r="A477" s="123"/>
      <c r="B477" s="123"/>
      <c r="C477" s="115" t="s">
        <v>563</v>
      </c>
      <c r="D477" s="126">
        <v>1000.0</v>
      </c>
      <c r="E477" s="117" t="s">
        <v>60</v>
      </c>
      <c r="F477" s="127">
        <v>3.0</v>
      </c>
      <c r="G477" s="84">
        <v>0.31</v>
      </c>
      <c r="H477" s="96">
        <f>IF(Settings!$D$7=true, 1-G477,1)</f>
        <v>0.69</v>
      </c>
      <c r="I477" s="124" t="s">
        <v>55</v>
      </c>
      <c r="J477" s="97" t="s">
        <v>62</v>
      </c>
      <c r="K477" s="119"/>
      <c r="L477" s="99">
        <f t="shared" si="1"/>
        <v>0.003</v>
      </c>
      <c r="M477" s="100">
        <f t="shared" si="2"/>
        <v>0.00393</v>
      </c>
      <c r="N477" s="90"/>
    </row>
    <row r="478">
      <c r="A478" s="123"/>
      <c r="B478" s="123"/>
      <c r="C478" s="115" t="s">
        <v>564</v>
      </c>
      <c r="D478" s="126">
        <v>1.0</v>
      </c>
      <c r="E478" s="117" t="s">
        <v>57</v>
      </c>
      <c r="F478" s="127">
        <v>6.2</v>
      </c>
      <c r="G478" s="84">
        <v>0.39</v>
      </c>
      <c r="H478" s="96">
        <f>IF(Settings!$D$7=true, 1-G478,1)</f>
        <v>0.61</v>
      </c>
      <c r="I478" s="124" t="s">
        <v>58</v>
      </c>
      <c r="J478" s="97" t="s">
        <v>65</v>
      </c>
      <c r="K478" s="119"/>
      <c r="L478" s="99">
        <f t="shared" si="1"/>
        <v>6.2</v>
      </c>
      <c r="M478" s="100">
        <f t="shared" si="2"/>
        <v>8.618</v>
      </c>
      <c r="N478" s="90"/>
    </row>
    <row r="479">
      <c r="A479" s="123"/>
      <c r="B479" s="123"/>
      <c r="C479" s="115" t="s">
        <v>565</v>
      </c>
      <c r="D479" s="126">
        <v>50.0</v>
      </c>
      <c r="E479" s="117" t="s">
        <v>60</v>
      </c>
      <c r="F479" s="127">
        <v>5.2</v>
      </c>
      <c r="G479" s="84">
        <v>0.03</v>
      </c>
      <c r="H479" s="96">
        <f>IF(Settings!$D$7=true, 1-G479,1)</f>
        <v>0.97</v>
      </c>
      <c r="I479" s="124" t="s">
        <v>74</v>
      </c>
      <c r="J479" s="97" t="s">
        <v>62</v>
      </c>
      <c r="K479" s="119"/>
      <c r="L479" s="99">
        <f t="shared" si="1"/>
        <v>0.104</v>
      </c>
      <c r="M479" s="100">
        <f t="shared" si="2"/>
        <v>0.10712</v>
      </c>
      <c r="N479" s="90"/>
    </row>
    <row r="480">
      <c r="A480" s="123"/>
      <c r="B480" s="123"/>
      <c r="C480" s="115" t="s">
        <v>566</v>
      </c>
      <c r="D480" s="126">
        <v>4.0</v>
      </c>
      <c r="E480" s="117" t="s">
        <v>57</v>
      </c>
      <c r="F480" s="127">
        <v>5.5</v>
      </c>
      <c r="G480" s="84">
        <v>0.32</v>
      </c>
      <c r="H480" s="96">
        <f>IF(Settings!$D$7=true, 1-G480,1)</f>
        <v>0.68</v>
      </c>
      <c r="I480" s="124" t="s">
        <v>67</v>
      </c>
      <c r="J480" s="97" t="s">
        <v>59</v>
      </c>
      <c r="K480" s="119"/>
      <c r="L480" s="99">
        <f t="shared" si="1"/>
        <v>1.375</v>
      </c>
      <c r="M480" s="100">
        <f t="shared" si="2"/>
        <v>1.815</v>
      </c>
      <c r="N480" s="90"/>
    </row>
    <row r="481">
      <c r="A481" s="123"/>
      <c r="B481" s="123"/>
      <c r="C481" s="115" t="s">
        <v>567</v>
      </c>
      <c r="D481" s="126">
        <v>2000.0</v>
      </c>
      <c r="E481" s="117" t="s">
        <v>60</v>
      </c>
      <c r="F481" s="127">
        <v>11.73</v>
      </c>
      <c r="G481" s="84">
        <v>0.36</v>
      </c>
      <c r="H481" s="96">
        <f>IF(Settings!$D$7=true, 1-G481,1)</f>
        <v>0.64</v>
      </c>
      <c r="I481" s="124" t="s">
        <v>67</v>
      </c>
      <c r="J481" s="97" t="s">
        <v>59</v>
      </c>
      <c r="K481" s="119"/>
      <c r="L481" s="99">
        <f t="shared" si="1"/>
        <v>0.005865</v>
      </c>
      <c r="M481" s="100">
        <f t="shared" si="2"/>
        <v>0.0079764</v>
      </c>
      <c r="N481" s="90"/>
    </row>
    <row r="482">
      <c r="A482" s="123"/>
      <c r="B482" s="123"/>
      <c r="C482" s="115" t="s">
        <v>568</v>
      </c>
      <c r="D482" s="126">
        <v>4.0</v>
      </c>
      <c r="E482" s="117" t="s">
        <v>57</v>
      </c>
      <c r="F482" s="127">
        <v>18.57</v>
      </c>
      <c r="G482" s="84">
        <v>0.07</v>
      </c>
      <c r="H482" s="96">
        <f>IF(Settings!$D$7=true, 1-G482,1)</f>
        <v>0.93</v>
      </c>
      <c r="I482" s="124" t="s">
        <v>61</v>
      </c>
      <c r="J482" s="97" t="s">
        <v>71</v>
      </c>
      <c r="K482" s="119"/>
      <c r="L482" s="99">
        <f t="shared" si="1"/>
        <v>4.6425</v>
      </c>
      <c r="M482" s="100">
        <f t="shared" si="2"/>
        <v>4.967475</v>
      </c>
      <c r="N482" s="90"/>
    </row>
    <row r="483">
      <c r="A483" s="123"/>
      <c r="B483" s="123"/>
      <c r="C483" s="115" t="s">
        <v>569</v>
      </c>
      <c r="D483" s="126">
        <v>4.0</v>
      </c>
      <c r="E483" s="117" t="s">
        <v>57</v>
      </c>
      <c r="F483" s="127">
        <v>19.93</v>
      </c>
      <c r="G483" s="84">
        <v>0.36</v>
      </c>
      <c r="H483" s="96">
        <f>IF(Settings!$D$7=true, 1-G483,1)</f>
        <v>0.64</v>
      </c>
      <c r="I483" s="124" t="s">
        <v>67</v>
      </c>
      <c r="J483" s="97" t="s">
        <v>59</v>
      </c>
      <c r="K483" s="119"/>
      <c r="L483" s="99">
        <f t="shared" si="1"/>
        <v>4.9825</v>
      </c>
      <c r="M483" s="100">
        <f t="shared" si="2"/>
        <v>6.7762</v>
      </c>
      <c r="N483" s="90"/>
    </row>
    <row r="484">
      <c r="A484" s="123"/>
      <c r="B484" s="123"/>
      <c r="C484" s="115" t="s">
        <v>570</v>
      </c>
      <c r="D484" s="126">
        <v>500.0</v>
      </c>
      <c r="E484" s="117" t="s">
        <v>60</v>
      </c>
      <c r="F484" s="127">
        <v>36.47</v>
      </c>
      <c r="G484" s="84">
        <v>0.16</v>
      </c>
      <c r="H484" s="96">
        <f>IF(Settings!$D$7=true, 1-G484,1)</f>
        <v>0.84</v>
      </c>
      <c r="I484" s="124" t="s">
        <v>55</v>
      </c>
      <c r="J484" s="97" t="s">
        <v>56</v>
      </c>
      <c r="K484" s="119"/>
      <c r="L484" s="99">
        <f t="shared" si="1"/>
        <v>0.07294</v>
      </c>
      <c r="M484" s="100">
        <f t="shared" si="2"/>
        <v>0.0846104</v>
      </c>
      <c r="N484" s="90"/>
    </row>
    <row r="485">
      <c r="A485" s="123"/>
      <c r="B485" s="123"/>
      <c r="C485" s="115" t="s">
        <v>571</v>
      </c>
      <c r="D485" s="126">
        <v>5000.0</v>
      </c>
      <c r="E485" s="117" t="s">
        <v>60</v>
      </c>
      <c r="F485" s="127">
        <v>24.91</v>
      </c>
      <c r="G485" s="84">
        <v>0.4</v>
      </c>
      <c r="H485" s="96">
        <f>IF(Settings!$D$7=true, 1-G485,1)</f>
        <v>0.6</v>
      </c>
      <c r="I485" s="124" t="s">
        <v>55</v>
      </c>
      <c r="J485" s="97" t="s">
        <v>56</v>
      </c>
      <c r="K485" s="119"/>
      <c r="L485" s="99">
        <f t="shared" si="1"/>
        <v>0.004982</v>
      </c>
      <c r="M485" s="100">
        <f t="shared" si="2"/>
        <v>0.0069748</v>
      </c>
      <c r="N485" s="90"/>
    </row>
    <row r="486">
      <c r="A486" s="123"/>
      <c r="B486" s="123"/>
      <c r="C486" s="115" t="s">
        <v>572</v>
      </c>
      <c r="D486" s="126">
        <v>5000.0</v>
      </c>
      <c r="E486" s="117" t="s">
        <v>69</v>
      </c>
      <c r="F486" s="127">
        <v>22.92</v>
      </c>
      <c r="G486" s="84">
        <v>0.09</v>
      </c>
      <c r="H486" s="96">
        <f>IF(Settings!$D$7=true, 1-G486,1)</f>
        <v>0.91</v>
      </c>
      <c r="I486" s="124" t="s">
        <v>67</v>
      </c>
      <c r="J486" s="97" t="s">
        <v>59</v>
      </c>
      <c r="K486" s="119"/>
      <c r="L486" s="99">
        <f t="shared" si="1"/>
        <v>0.004584</v>
      </c>
      <c r="M486" s="100">
        <f t="shared" si="2"/>
        <v>0.00499656</v>
      </c>
      <c r="N486" s="90"/>
    </row>
    <row r="487">
      <c r="A487" s="123"/>
      <c r="B487" s="123"/>
      <c r="C487" s="115" t="s">
        <v>573</v>
      </c>
      <c r="D487" s="126">
        <v>20.0</v>
      </c>
      <c r="E487" s="117" t="s">
        <v>60</v>
      </c>
      <c r="F487" s="127">
        <v>3.0</v>
      </c>
      <c r="G487" s="84">
        <v>0.14</v>
      </c>
      <c r="H487" s="96">
        <f>IF(Settings!$D$7=true, 1-G487,1)</f>
        <v>0.86</v>
      </c>
      <c r="I487" s="124" t="s">
        <v>74</v>
      </c>
      <c r="J487" s="97" t="s">
        <v>59</v>
      </c>
      <c r="K487" s="119"/>
      <c r="L487" s="99">
        <f t="shared" si="1"/>
        <v>0.15</v>
      </c>
      <c r="M487" s="100">
        <f t="shared" si="2"/>
        <v>0.171</v>
      </c>
      <c r="N487" s="90"/>
    </row>
    <row r="488">
      <c r="A488" s="123"/>
      <c r="B488" s="123"/>
      <c r="C488" s="115" t="s">
        <v>574</v>
      </c>
      <c r="D488" s="126">
        <v>500.0</v>
      </c>
      <c r="E488" s="117" t="s">
        <v>60</v>
      </c>
      <c r="F488" s="127">
        <v>2.39</v>
      </c>
      <c r="G488" s="84">
        <v>0.12</v>
      </c>
      <c r="H488" s="96">
        <f>IF(Settings!$D$7=true, 1-G488,1)</f>
        <v>0.88</v>
      </c>
      <c r="I488" s="124" t="s">
        <v>55</v>
      </c>
      <c r="J488" s="97" t="s">
        <v>62</v>
      </c>
      <c r="K488" s="119"/>
      <c r="L488" s="99">
        <f t="shared" si="1"/>
        <v>0.00478</v>
      </c>
      <c r="M488" s="100">
        <f t="shared" si="2"/>
        <v>0.0053536</v>
      </c>
      <c r="N488" s="90"/>
    </row>
    <row r="489">
      <c r="A489" s="123"/>
      <c r="B489" s="123"/>
      <c r="C489" s="115" t="s">
        <v>575</v>
      </c>
      <c r="D489" s="126">
        <v>1000.0</v>
      </c>
      <c r="E489" s="117" t="s">
        <v>60</v>
      </c>
      <c r="F489" s="127">
        <v>4.2</v>
      </c>
      <c r="G489" s="84">
        <v>0.33</v>
      </c>
      <c r="H489" s="96">
        <f>IF(Settings!$D$7=true, 1-G489,1)</f>
        <v>0.67</v>
      </c>
      <c r="I489" s="124" t="s">
        <v>58</v>
      </c>
      <c r="J489" s="97" t="s">
        <v>65</v>
      </c>
      <c r="K489" s="119"/>
      <c r="L489" s="99">
        <f t="shared" si="1"/>
        <v>0.0042</v>
      </c>
      <c r="M489" s="100">
        <f t="shared" si="2"/>
        <v>0.005586</v>
      </c>
      <c r="N489" s="90"/>
    </row>
    <row r="490">
      <c r="A490" s="123"/>
      <c r="B490" s="123"/>
      <c r="C490" s="115" t="s">
        <v>576</v>
      </c>
      <c r="D490" s="126">
        <v>1000.0</v>
      </c>
      <c r="E490" s="117" t="s">
        <v>60</v>
      </c>
      <c r="F490" s="127">
        <v>39.63</v>
      </c>
      <c r="G490" s="84">
        <v>0.04</v>
      </c>
      <c r="H490" s="96">
        <f>IF(Settings!$D$7=true, 1-G490,1)</f>
        <v>0.96</v>
      </c>
      <c r="I490" s="124" t="s">
        <v>55</v>
      </c>
      <c r="J490" s="97" t="s">
        <v>62</v>
      </c>
      <c r="K490" s="119"/>
      <c r="L490" s="99">
        <f t="shared" si="1"/>
        <v>0.03963</v>
      </c>
      <c r="M490" s="100">
        <f t="shared" si="2"/>
        <v>0.0412152</v>
      </c>
      <c r="N490" s="90"/>
    </row>
    <row r="491">
      <c r="A491" s="123"/>
      <c r="B491" s="123"/>
      <c r="C491" s="115" t="s">
        <v>577</v>
      </c>
      <c r="D491" s="126">
        <v>1500.0</v>
      </c>
      <c r="E491" s="117" t="s">
        <v>60</v>
      </c>
      <c r="F491" s="127">
        <v>45.0</v>
      </c>
      <c r="G491" s="84">
        <v>0.31</v>
      </c>
      <c r="H491" s="96">
        <f>IF(Settings!$D$7=true, 1-G491,1)</f>
        <v>0.69</v>
      </c>
      <c r="I491" s="124" t="s">
        <v>58</v>
      </c>
      <c r="J491" s="97" t="s">
        <v>65</v>
      </c>
      <c r="K491" s="119"/>
      <c r="L491" s="99">
        <f t="shared" si="1"/>
        <v>0.03</v>
      </c>
      <c r="M491" s="100">
        <f t="shared" si="2"/>
        <v>0.0393</v>
      </c>
      <c r="N491" s="90"/>
    </row>
    <row r="492">
      <c r="A492" s="123"/>
      <c r="B492" s="123"/>
      <c r="C492" s="115" t="s">
        <v>578</v>
      </c>
      <c r="D492" s="126">
        <v>1.0</v>
      </c>
      <c r="E492" s="117" t="s">
        <v>57</v>
      </c>
      <c r="F492" s="127">
        <v>1.48</v>
      </c>
      <c r="G492" s="84">
        <v>0.17</v>
      </c>
      <c r="H492" s="96">
        <f>IF(Settings!$D$7=true, 1-G492,1)</f>
        <v>0.83</v>
      </c>
      <c r="I492" s="124" t="s">
        <v>67</v>
      </c>
      <c r="J492" s="97" t="s">
        <v>59</v>
      </c>
      <c r="K492" s="119"/>
      <c r="L492" s="99">
        <f t="shared" si="1"/>
        <v>1.48</v>
      </c>
      <c r="M492" s="100">
        <f t="shared" si="2"/>
        <v>1.7316</v>
      </c>
      <c r="N492" s="90"/>
    </row>
    <row r="493">
      <c r="A493" s="123"/>
      <c r="B493" s="123"/>
      <c r="C493" s="115" t="s">
        <v>579</v>
      </c>
      <c r="D493" s="126">
        <v>4.0</v>
      </c>
      <c r="E493" s="117" t="s">
        <v>57</v>
      </c>
      <c r="F493" s="127">
        <v>32.45</v>
      </c>
      <c r="G493" s="84">
        <v>0.33</v>
      </c>
      <c r="H493" s="96">
        <f>IF(Settings!$D$7=true, 1-G493,1)</f>
        <v>0.67</v>
      </c>
      <c r="I493" s="124" t="s">
        <v>61</v>
      </c>
      <c r="J493" s="97" t="s">
        <v>71</v>
      </c>
      <c r="K493" s="119"/>
      <c r="L493" s="99">
        <f t="shared" si="1"/>
        <v>8.1125</v>
      </c>
      <c r="M493" s="100">
        <f t="shared" si="2"/>
        <v>10.789625</v>
      </c>
      <c r="N493" s="90"/>
    </row>
    <row r="494">
      <c r="A494" s="123"/>
      <c r="B494" s="123"/>
      <c r="C494" s="132" t="s">
        <v>580</v>
      </c>
      <c r="D494" s="133">
        <v>2400.0</v>
      </c>
      <c r="E494" s="134" t="s">
        <v>60</v>
      </c>
      <c r="F494" s="135">
        <v>35.09</v>
      </c>
      <c r="G494" s="84">
        <v>0.38</v>
      </c>
      <c r="H494" s="96">
        <f>IF(Settings!$D$7=true, 1-G494,1)</f>
        <v>0.62</v>
      </c>
      <c r="I494" s="136" t="s">
        <v>82</v>
      </c>
      <c r="J494" s="137" t="s">
        <v>59</v>
      </c>
      <c r="K494" s="138"/>
      <c r="L494" s="99">
        <f t="shared" si="1"/>
        <v>0.01462083333</v>
      </c>
      <c r="M494" s="100">
        <f t="shared" si="2"/>
        <v>0.02017675</v>
      </c>
      <c r="N494" s="90"/>
    </row>
    <row r="495">
      <c r="A495" s="123"/>
      <c r="B495" s="123"/>
      <c r="C495" s="132" t="s">
        <v>581</v>
      </c>
      <c r="D495" s="133">
        <v>48.0</v>
      </c>
      <c r="E495" s="134" t="s">
        <v>57</v>
      </c>
      <c r="F495" s="135">
        <v>60.5</v>
      </c>
      <c r="G495" s="84">
        <v>0.31</v>
      </c>
      <c r="H495" s="96">
        <f>IF(Settings!$D$7=true, 1-G495,1)</f>
        <v>0.69</v>
      </c>
      <c r="I495" s="136" t="s">
        <v>82</v>
      </c>
      <c r="J495" s="137" t="s">
        <v>56</v>
      </c>
      <c r="K495" s="138"/>
      <c r="L495" s="99">
        <f t="shared" si="1"/>
        <v>1.260416667</v>
      </c>
      <c r="M495" s="100">
        <f t="shared" si="2"/>
        <v>1.651145833</v>
      </c>
      <c r="N495" s="90"/>
    </row>
    <row r="496">
      <c r="A496" s="123"/>
      <c r="B496" s="123"/>
      <c r="C496" s="139" t="s">
        <v>582</v>
      </c>
      <c r="D496" s="140">
        <v>250.0</v>
      </c>
      <c r="E496" s="141" t="s">
        <v>60</v>
      </c>
      <c r="F496" s="142">
        <v>15.0</v>
      </c>
      <c r="G496" s="143">
        <v>0.0</v>
      </c>
      <c r="H496" s="144">
        <f>IF(Settings!$D$7=true, 1-G496,1)</f>
        <v>1</v>
      </c>
      <c r="I496" s="145" t="s">
        <v>74</v>
      </c>
      <c r="J496" s="146" t="s">
        <v>62</v>
      </c>
      <c r="K496" s="147"/>
      <c r="L496" s="148">
        <f t="shared" si="1"/>
        <v>0.06</v>
      </c>
      <c r="M496" s="149">
        <f t="shared" si="2"/>
        <v>0.06</v>
      </c>
      <c r="N496" s="90"/>
    </row>
    <row r="497">
      <c r="A497" s="67"/>
      <c r="B497" s="67"/>
      <c r="C497" s="67"/>
      <c r="D497" s="67"/>
      <c r="E497" s="150"/>
      <c r="F497" s="151"/>
      <c r="G497" s="152"/>
      <c r="H497" s="152"/>
      <c r="I497" s="67"/>
      <c r="J497" s="67"/>
      <c r="K497" s="67"/>
      <c r="L497" s="152"/>
      <c r="M497" s="152"/>
      <c r="N497" s="67"/>
    </row>
    <row r="498">
      <c r="A498" s="67"/>
      <c r="B498" s="67"/>
      <c r="C498" s="67"/>
      <c r="D498" s="67"/>
      <c r="E498" s="150"/>
      <c r="F498" s="151"/>
      <c r="G498" s="152"/>
      <c r="H498" s="152"/>
      <c r="I498" s="67"/>
      <c r="J498" s="67"/>
      <c r="K498" s="67"/>
      <c r="L498" s="152"/>
      <c r="M498" s="152"/>
      <c r="N498" s="67"/>
    </row>
    <row r="499">
      <c r="A499" s="67"/>
      <c r="B499" s="67"/>
      <c r="C499" s="67"/>
      <c r="D499" s="67"/>
      <c r="E499" s="150"/>
      <c r="F499" s="151"/>
      <c r="G499" s="152"/>
      <c r="H499" s="152"/>
      <c r="I499" s="67"/>
      <c r="J499" s="67"/>
      <c r="K499" s="67"/>
      <c r="L499" s="152"/>
      <c r="M499" s="152"/>
      <c r="N499" s="67"/>
    </row>
    <row r="500">
      <c r="A500" s="67"/>
      <c r="B500" s="67"/>
      <c r="C500" s="67"/>
      <c r="D500" s="67"/>
      <c r="E500" s="150"/>
      <c r="F500" s="151"/>
      <c r="G500" s="152"/>
      <c r="H500" s="152"/>
      <c r="I500" s="67"/>
      <c r="J500" s="67"/>
      <c r="K500" s="67"/>
      <c r="L500" s="152"/>
      <c r="M500" s="152"/>
      <c r="N500" s="67"/>
    </row>
  </sheetData>
  <dataValidations>
    <dataValidation type="list" allowBlank="1" showErrorMessage="1" sqref="I5:I496">
      <formula1>Settings!$B$15:$B$33</formula1>
    </dataValidation>
    <dataValidation type="list" allowBlank="1" showErrorMessage="1" sqref="E5:E496">
      <formula1>Settings!$D$15:$D$33</formula1>
    </dataValidation>
    <dataValidation type="list" allowBlank="1" showErrorMessage="1" sqref="J5:J496">
      <formula1>Settings!$C$15:$C$33</formula1>
    </dataValidation>
  </dataValidations>
  <printOptions/>
  <pageMargins bottom="0.2755905511811024" footer="0.0" header="0.0" left="0.31496062992125984" right="0.31496062992125984" top="0.4724409448818898"/>
  <pageSetup fitToHeight="0" paperSize="9" orientation="portrait"/>
  <drawing r:id="rId1"/>
  <tableParts count="4">
    <tablePart r:id="rId6"/>
    <tablePart r:id="rId7"/>
    <tablePart r:id="rId8"/>
    <tablePart r:id="rId9"/>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outlinePr summaryBelow="0"/>
    <pageSetUpPr/>
  </sheetPr>
  <sheetViews>
    <sheetView showGridLines="0" workbookViewId="0"/>
  </sheetViews>
  <sheetFormatPr customHeight="1" defaultColWidth="12.63" defaultRowHeight="15.0" outlineLevelRow="1"/>
  <cols>
    <col customWidth="1" min="1" max="1" width="9.25"/>
    <col customWidth="1" min="2" max="2" width="2.75"/>
    <col customWidth="1" min="3" max="3" width="21.0"/>
    <col customWidth="1" min="4" max="4" width="12.63"/>
    <col customWidth="1" min="5" max="5" width="8.25"/>
    <col customWidth="1" min="6" max="6" width="9.38"/>
    <col customWidth="1" min="7" max="7" width="11.63"/>
    <col customWidth="1" min="8" max="8" width="25.75"/>
    <col customWidth="1" min="9" max="9" width="10.0"/>
    <col customWidth="1" min="10" max="10" width="10.38"/>
    <col customWidth="1" min="11" max="11" width="10.13"/>
    <col customWidth="1" min="12" max="12" width="9.0"/>
    <col customWidth="1" min="13" max="13" width="8.13"/>
    <col customWidth="1" min="14" max="14" width="9.38"/>
  </cols>
  <sheetData>
    <row r="1" ht="34.5" customHeight="1">
      <c r="A1" s="153"/>
      <c r="B1" s="153"/>
      <c r="C1" s="153"/>
      <c r="D1" s="154"/>
      <c r="E1" s="154"/>
      <c r="F1" s="1"/>
      <c r="G1" s="1"/>
      <c r="H1" s="155"/>
      <c r="I1" s="156"/>
      <c r="J1" s="157"/>
      <c r="K1" s="158"/>
      <c r="L1" s="158"/>
      <c r="M1" s="158"/>
      <c r="N1" s="159"/>
    </row>
    <row r="2" ht="34.5" customHeight="1">
      <c r="A2" s="153"/>
      <c r="B2" s="160" t="s">
        <v>583</v>
      </c>
      <c r="C2" s="161"/>
      <c r="D2" s="162" t="s">
        <v>584</v>
      </c>
      <c r="E2" s="161"/>
      <c r="F2" s="161"/>
      <c r="G2" s="163"/>
      <c r="H2" s="164" t="str">
        <f>Settings!$D$4</f>
        <v>PrepFlow</v>
      </c>
      <c r="I2" s="165" t="s">
        <v>585</v>
      </c>
      <c r="J2" s="166" t="s">
        <v>586</v>
      </c>
      <c r="K2" s="167" t="s">
        <v>587</v>
      </c>
      <c r="L2" s="167" t="s">
        <v>588</v>
      </c>
      <c r="M2" s="168" t="s">
        <v>589</v>
      </c>
      <c r="N2" s="159"/>
    </row>
    <row r="3">
      <c r="A3" s="169"/>
      <c r="B3" s="170" t="s">
        <v>590</v>
      </c>
      <c r="C3" s="171"/>
      <c r="D3" s="172" t="s">
        <v>591</v>
      </c>
      <c r="E3" s="173" t="s">
        <v>592</v>
      </c>
      <c r="F3" s="173" t="s">
        <v>593</v>
      </c>
      <c r="G3" s="174" t="s">
        <v>594</v>
      </c>
      <c r="H3" s="175" t="str">
        <f>D2</f>
        <v>Double Cheese Burger</v>
      </c>
      <c r="I3" s="176">
        <f>iferror(IF(G20="",G21,G20),"Something went wrong")</f>
        <v>41</v>
      </c>
      <c r="J3" s="177">
        <f>iferror($F22,"")</f>
        <v>10.39109018</v>
      </c>
      <c r="K3" s="178">
        <f>$G22</f>
        <v>0.2787853464</v>
      </c>
      <c r="L3" s="176">
        <f>iferror($F23,"")</f>
        <v>26.88163709</v>
      </c>
      <c r="M3" s="179">
        <f>$G23</f>
        <v>0.7212146536</v>
      </c>
      <c r="N3" s="180"/>
    </row>
    <row r="4" ht="25.5" customHeight="1" outlineLevel="1">
      <c r="A4" s="181"/>
      <c r="B4" s="182">
        <v>1.0</v>
      </c>
      <c r="C4" s="183" t="s">
        <v>95</v>
      </c>
      <c r="D4" s="184">
        <v>2.0</v>
      </c>
      <c r="E4" s="185" t="str">
        <f t="array" ref="E4">IFERROR(XLOOKUP(C4,'Stock List'!$C$5:$C$496,'Stock List'!$E$5:$E$496),"")</f>
        <v>PC</v>
      </c>
      <c r="F4" s="186">
        <f t="array" ref="F4">IFERROR(XLOOKUP(C4,'Stock List'!$C$5:$C$496,'Stock List'!$M$5:$M$496),"")</f>
        <v>2.716675556</v>
      </c>
      <c r="G4" s="187">
        <f t="shared" ref="G4:G16" si="1">if(D4*F4=0,"",D4*F4)</f>
        <v>5.433351111</v>
      </c>
      <c r="H4" s="188" t="s">
        <v>595</v>
      </c>
      <c r="I4" s="189"/>
      <c r="J4" s="189"/>
      <c r="K4" s="189"/>
      <c r="L4" s="189"/>
      <c r="M4" s="190"/>
      <c r="N4" s="191"/>
    </row>
    <row r="5" outlineLevel="1">
      <c r="A5" s="192"/>
      <c r="B5" s="193">
        <v>2.0</v>
      </c>
      <c r="C5" s="194" t="s">
        <v>342</v>
      </c>
      <c r="D5" s="195">
        <v>2.0</v>
      </c>
      <c r="E5" s="196" t="str">
        <f t="array" ref="E5">IFERROR(XLOOKUP(C5,'Stock List'!$C$5:$C$496,'Stock List'!$E$5:$E$496),"")</f>
        <v>PC</v>
      </c>
      <c r="F5" s="197">
        <f t="array" ref="F5">IFERROR(XLOOKUP(C5,'Stock List'!$C$5:$C$496,'Stock List'!$M$5:$M$496),"")</f>
        <v>0.51635</v>
      </c>
      <c r="G5" s="198">
        <f t="shared" si="1"/>
        <v>1.0327</v>
      </c>
      <c r="H5" s="199" t="str">
        <f>IFERROR(__xludf.DUMMYFUNCTION("AI(""Create quick and precise step-by-step cooking instructions for "" &amp; D2 &amp; "" using the following ingredients: "" &amp; C4 &amp; "", "" &amp; C5 &amp; "", "" &amp; C6 &amp; "", "" &amp; C7 &amp; "", "" &amp; C8 &amp; "", "" &amp; C9 &amp; "", "" &amp; C10 &amp; "", "" &amp; C11 &amp; "", "" &amp; C12 &amp; "", "" &amp; C13 &amp; "&amp;""", "" &amp; C14 &amp; "", "" &amp; C15 &amp; "", "" &amp; C16, D2:F16)"),"1.  Cook the burger patties and bacon.
2.  Toast the brioche bun.
3.  Assemble the burger with two patties, sliced cheese, bacon, pickles, aioli, and tomato sauce.
4.  Cook chips according to package instructions.")</f>
        <v>1.  Cook the burger patties and bacon.
2.  Toast the brioche bun.
3.  Assemble the burger with two patties, sliced cheese, bacon, pickles, aioli, and tomato sauce.
4.  Cook chips according to package instructions.</v>
      </c>
      <c r="I5" s="200"/>
      <c r="J5" s="200"/>
      <c r="K5" s="200"/>
      <c r="L5" s="200"/>
      <c r="M5" s="201"/>
      <c r="N5" s="202"/>
    </row>
    <row r="6" outlineLevel="1">
      <c r="A6" s="192"/>
      <c r="B6" s="182">
        <v>3.0</v>
      </c>
      <c r="C6" s="203" t="s">
        <v>316</v>
      </c>
      <c r="D6" s="204">
        <v>60.0</v>
      </c>
      <c r="E6" s="196" t="str">
        <f t="array" ref="E6">IFERROR(XLOOKUP(C6,'Stock List'!$C$5:$C$496,'Stock List'!$E$5:$E$496),"")</f>
        <v>GM</v>
      </c>
      <c r="F6" s="197">
        <f t="array" ref="F6">IFERROR(XLOOKUP(C6,'Stock List'!$C$5:$C$496,'Stock List'!$M$5:$M$496),"")</f>
        <v>0.01796328</v>
      </c>
      <c r="G6" s="198">
        <f t="shared" si="1"/>
        <v>1.0777968</v>
      </c>
      <c r="H6" s="205"/>
      <c r="M6" s="206"/>
      <c r="N6" s="202"/>
    </row>
    <row r="7" outlineLevel="1">
      <c r="A7" s="192"/>
      <c r="B7" s="193">
        <v>4.0</v>
      </c>
      <c r="C7" s="194" t="s">
        <v>128</v>
      </c>
      <c r="D7" s="195">
        <v>1.0</v>
      </c>
      <c r="E7" s="196" t="str">
        <f t="array" ref="E7">IFERROR(XLOOKUP(C7,'Stock List'!$C$5:$C$496,'Stock List'!$E$5:$E$496),"")</f>
        <v>PC</v>
      </c>
      <c r="F7" s="197">
        <f t="array" ref="F7">IFERROR(XLOOKUP(C7,'Stock List'!$C$5:$C$496,'Stock List'!$M$5:$M$496),"")</f>
        <v>1.519366071</v>
      </c>
      <c r="G7" s="198">
        <f t="shared" si="1"/>
        <v>1.519366071</v>
      </c>
      <c r="H7" s="205"/>
      <c r="M7" s="206"/>
      <c r="N7" s="202"/>
    </row>
    <row r="8" outlineLevel="1">
      <c r="A8" s="192"/>
      <c r="B8" s="182">
        <v>5.0</v>
      </c>
      <c r="C8" s="203" t="s">
        <v>167</v>
      </c>
      <c r="D8" s="204">
        <v>120.0</v>
      </c>
      <c r="E8" s="196" t="str">
        <f t="array" ref="E8">IFERROR(XLOOKUP(C8,'Stock List'!$C$5:$C$496,'Stock List'!$E$5:$E$496),"")</f>
        <v>GM</v>
      </c>
      <c r="F8" s="197">
        <f t="array" ref="F8">IFERROR(XLOOKUP(C8,'Stock List'!$C$5:$C$496,'Stock List'!$M$5:$M$496),"")</f>
        <v>0.00695045</v>
      </c>
      <c r="G8" s="198">
        <f t="shared" si="1"/>
        <v>0.834054</v>
      </c>
      <c r="H8" s="205"/>
      <c r="M8" s="206"/>
      <c r="N8" s="202"/>
    </row>
    <row r="9" outlineLevel="1">
      <c r="A9" s="192"/>
      <c r="B9" s="193">
        <v>6.0</v>
      </c>
      <c r="C9" s="194" t="s">
        <v>96</v>
      </c>
      <c r="D9" s="195">
        <v>30.0</v>
      </c>
      <c r="E9" s="196" t="str">
        <f t="array" ref="E9">IFERROR(XLOOKUP(C9,'Stock List'!$C$5:$C$496,'Stock List'!$E$5:$E$496),"")</f>
        <v>ML</v>
      </c>
      <c r="F9" s="197">
        <f t="array" ref="F9">IFERROR(XLOOKUP(C9,'Stock List'!$C$5:$C$496,'Stock List'!$M$5:$M$496),"")</f>
        <v>0.00945764</v>
      </c>
      <c r="G9" s="198">
        <f t="shared" si="1"/>
        <v>0.2837292</v>
      </c>
      <c r="H9" s="205"/>
      <c r="M9" s="206"/>
      <c r="N9" s="202"/>
    </row>
    <row r="10" outlineLevel="1">
      <c r="A10" s="192"/>
      <c r="B10" s="182">
        <v>7.0</v>
      </c>
      <c r="C10" s="203" t="s">
        <v>376</v>
      </c>
      <c r="D10" s="204">
        <v>30.0</v>
      </c>
      <c r="E10" s="196" t="str">
        <f t="array" ref="E10">IFERROR(XLOOKUP(C10,'Stock List'!$C$5:$C$496,'Stock List'!$E$5:$E$496),"")</f>
        <v>ML</v>
      </c>
      <c r="F10" s="197">
        <f t="array" ref="F10">IFERROR(XLOOKUP(C10,'Stock List'!$C$5:$C$496,'Stock List'!$M$5:$M$496),"")</f>
        <v>0.0042427</v>
      </c>
      <c r="G10" s="198">
        <f t="shared" si="1"/>
        <v>0.127281</v>
      </c>
      <c r="H10" s="205"/>
      <c r="M10" s="206"/>
      <c r="N10" s="202"/>
    </row>
    <row r="11" outlineLevel="1">
      <c r="A11" s="192"/>
      <c r="B11" s="193">
        <v>8.0</v>
      </c>
      <c r="C11" s="194" t="s">
        <v>283</v>
      </c>
      <c r="D11" s="195">
        <v>15.0</v>
      </c>
      <c r="E11" s="196" t="str">
        <f t="array" ref="E11">IFERROR(XLOOKUP(C11,'Stock List'!$C$5:$C$496,'Stock List'!$E$5:$E$496),"")</f>
        <v>GM</v>
      </c>
      <c r="F11" s="197">
        <f t="array" ref="F11">IFERROR(XLOOKUP(C11,'Stock List'!$C$5:$C$496,'Stock List'!$M$5:$M$496),"")</f>
        <v>0.0055208</v>
      </c>
      <c r="G11" s="198">
        <f t="shared" si="1"/>
        <v>0.082812</v>
      </c>
      <c r="H11" s="205"/>
      <c r="M11" s="206"/>
      <c r="N11" s="202"/>
    </row>
    <row r="12" outlineLevel="1">
      <c r="A12" s="192"/>
      <c r="B12" s="182">
        <v>9.0</v>
      </c>
      <c r="C12" s="203"/>
      <c r="D12" s="207"/>
      <c r="E12" s="196" t="str">
        <f t="array" ref="E12">IFERROR(XLOOKUP(C12,'Stock List'!$C$5:$C$496,'Stock List'!$E$5:$E$496),"")</f>
        <v/>
      </c>
      <c r="F12" s="197" t="str">
        <f t="array" ref="F12">IFERROR(XLOOKUP(C12,'Stock List'!$C$5:$C$496,'Stock List'!$M$5:$M$496),"")</f>
        <v/>
      </c>
      <c r="G12" s="198" t="str">
        <f t="shared" si="1"/>
        <v/>
      </c>
      <c r="H12" s="205"/>
      <c r="M12" s="206"/>
      <c r="N12" s="202"/>
    </row>
    <row r="13" outlineLevel="1">
      <c r="A13" s="192"/>
      <c r="B13" s="193">
        <v>10.0</v>
      </c>
      <c r="C13" s="194"/>
      <c r="D13" s="208"/>
      <c r="E13" s="196" t="str">
        <f t="array" ref="E13">IFERROR(XLOOKUP(C13,'Stock List'!$C$5:$C$496,'Stock List'!$E$5:$E$496),"")</f>
        <v/>
      </c>
      <c r="F13" s="197" t="str">
        <f t="array" ref="F13">IFERROR(XLOOKUP(C13,'Stock List'!$C$5:$C$496,'Stock List'!$M$5:$M$496),"")</f>
        <v/>
      </c>
      <c r="G13" s="198" t="str">
        <f t="shared" si="1"/>
        <v/>
      </c>
      <c r="H13" s="205"/>
      <c r="M13" s="206"/>
      <c r="N13" s="202"/>
    </row>
    <row r="14" outlineLevel="1">
      <c r="A14" s="192"/>
      <c r="B14" s="182">
        <v>11.0</v>
      </c>
      <c r="C14" s="209"/>
      <c r="D14" s="210"/>
      <c r="E14" s="196" t="str">
        <f t="array" ref="E14">IFERROR(XLOOKUP(C14,'Stock List'!$C$5:$C$496,'Stock List'!$E$5:$E$496),"")</f>
        <v/>
      </c>
      <c r="F14" s="197" t="str">
        <f t="array" ref="F14">IFERROR(XLOOKUP(C14,'Stock List'!$C$5:$C$496,'Stock List'!$M$5:$M$496),"")</f>
        <v/>
      </c>
      <c r="G14" s="198" t="str">
        <f t="shared" si="1"/>
        <v/>
      </c>
      <c r="H14" s="205"/>
      <c r="M14" s="206"/>
      <c r="N14" s="202"/>
    </row>
    <row r="15" outlineLevel="1">
      <c r="A15" s="211"/>
      <c r="B15" s="193">
        <v>12.0</v>
      </c>
      <c r="C15" s="212"/>
      <c r="D15" s="213"/>
      <c r="E15" s="196" t="str">
        <f t="array" ref="E15">IFERROR(XLOOKUP(C15,'Stock List'!$C$5:$C$496,'Stock List'!$E$5:$E$496),"")</f>
        <v/>
      </c>
      <c r="F15" s="197" t="str">
        <f t="array" ref="F15">IFERROR(XLOOKUP(C15,'Stock List'!$C$5:$C$496,'Stock List'!$M$5:$M$496),"")</f>
        <v/>
      </c>
      <c r="G15" s="198" t="str">
        <f t="shared" si="1"/>
        <v/>
      </c>
      <c r="H15" s="205"/>
      <c r="M15" s="206"/>
      <c r="N15" s="202"/>
    </row>
    <row r="16" outlineLevel="1">
      <c r="A16" s="211"/>
      <c r="B16" s="182">
        <v>13.0</v>
      </c>
      <c r="C16" s="209"/>
      <c r="D16" s="210"/>
      <c r="E16" s="196" t="str">
        <f t="array" ref="E16">IFERROR(XLOOKUP(C16,'Stock List'!$C$5:$C$496,'Stock List'!$E$5:$E$496),"")</f>
        <v/>
      </c>
      <c r="F16" s="197" t="str">
        <f t="array" ref="F16">IFERROR(XLOOKUP(C16,'Stock List'!$C$5:$C$496,'Stock List'!$M$5:$M$496),"")</f>
        <v/>
      </c>
      <c r="G16" s="198" t="str">
        <f t="shared" si="1"/>
        <v/>
      </c>
      <c r="H16" s="205"/>
      <c r="M16" s="206"/>
      <c r="N16" s="202"/>
    </row>
    <row r="17" outlineLevel="1">
      <c r="A17" s="211"/>
      <c r="B17" s="214" t="s">
        <v>596</v>
      </c>
      <c r="C17" s="215"/>
      <c r="D17" s="216">
        <v>1.0</v>
      </c>
      <c r="E17" s="217"/>
      <c r="F17" s="218" t="s">
        <v>597</v>
      </c>
      <c r="G17" s="219">
        <f>SUM(G4:G16)</f>
        <v>10.39109018</v>
      </c>
      <c r="H17" s="205"/>
      <c r="M17" s="206"/>
      <c r="N17" s="202"/>
    </row>
    <row r="18" outlineLevel="1">
      <c r="A18" s="220"/>
      <c r="B18" s="221" t="s">
        <v>598</v>
      </c>
      <c r="C18" s="222"/>
      <c r="D18" s="223">
        <v>0.72</v>
      </c>
      <c r="E18" s="224"/>
      <c r="F18" s="225"/>
      <c r="G18" s="226"/>
      <c r="H18" s="205"/>
      <c r="M18" s="206"/>
      <c r="N18" s="202"/>
    </row>
    <row r="19" outlineLevel="1">
      <c r="A19" s="227"/>
      <c r="B19" s="228" t="s">
        <v>599</v>
      </c>
      <c r="C19" s="189"/>
      <c r="D19" s="229"/>
      <c r="E19" s="230"/>
      <c r="F19" s="231"/>
      <c r="G19" s="232">
        <f>(I3/(1+Settings!$D$6))</f>
        <v>37.27272727</v>
      </c>
      <c r="H19" s="205"/>
      <c r="M19" s="206"/>
      <c r="N19" s="233"/>
    </row>
    <row r="20" outlineLevel="1">
      <c r="A20" s="227"/>
      <c r="B20" s="234" t="s">
        <v>600</v>
      </c>
      <c r="C20" s="189"/>
      <c r="D20" s="229"/>
      <c r="E20" s="230"/>
      <c r="F20" s="231"/>
      <c r="G20" s="235">
        <v>41.0</v>
      </c>
      <c r="H20" s="205"/>
      <c r="M20" s="206"/>
      <c r="N20" s="159"/>
    </row>
    <row r="21" ht="17.25" customHeight="1" outlineLevel="1">
      <c r="A21" s="236"/>
      <c r="B21" s="237" t="s">
        <v>601</v>
      </c>
      <c r="C21" s="189"/>
      <c r="D21" s="238"/>
      <c r="E21" s="230"/>
      <c r="F21" s="231"/>
      <c r="G21" s="239">
        <f>iferror(if(and(Settings!$D$8=true,Settings!$D$9=true),(roundup(($G17/(1-$D18))/$D17*(1+Settings!$D$6),0)-0.1),if(Settings!$D$9=true,ceiling(($G17/(1-$D18))/$D17*(1+Settings!$D$6),1),if(Settings!$D$8=true,CEILING((($G17/(1-$D18)))/$D17*(1+Settings!$D$6),0.5)-0.01,(($G17/(1-$D18)))/$D17*(1+Settings!$D$6)))),"")</f>
        <v>40.9</v>
      </c>
      <c r="H21" s="205"/>
      <c r="M21" s="206"/>
      <c r="N21" s="159"/>
    </row>
    <row r="22" outlineLevel="1">
      <c r="A22" s="227"/>
      <c r="B22" s="240" t="s">
        <v>602</v>
      </c>
      <c r="C22" s="189"/>
      <c r="D22" s="224"/>
      <c r="E22" s="241"/>
      <c r="F22" s="242">
        <f>iferror(G17/D17,"")</f>
        <v>10.39109018</v>
      </c>
      <c r="G22" s="243">
        <f>iferror(F22/G19,0)</f>
        <v>0.2787853464</v>
      </c>
      <c r="H22" s="205"/>
      <c r="M22" s="206"/>
      <c r="N22" s="244"/>
    </row>
    <row r="23" outlineLevel="1">
      <c r="A23" s="245"/>
      <c r="B23" s="246" t="s">
        <v>603</v>
      </c>
      <c r="C23" s="247"/>
      <c r="D23" s="248"/>
      <c r="E23" s="249"/>
      <c r="F23" s="250">
        <f>$G19-$F22</f>
        <v>26.88163709</v>
      </c>
      <c r="G23" s="251">
        <f>iferror((G19-F22)/G19,0)</f>
        <v>0.7212146536</v>
      </c>
      <c r="H23" s="252"/>
      <c r="I23" s="253"/>
      <c r="J23" s="253"/>
      <c r="K23" s="253"/>
      <c r="L23" s="253"/>
      <c r="M23" s="254"/>
      <c r="N23" s="244"/>
    </row>
    <row r="24" outlineLevel="1">
      <c r="A24" s="255"/>
      <c r="B24" s="256"/>
      <c r="C24" s="202"/>
      <c r="D24" s="256"/>
      <c r="E24" s="202"/>
      <c r="F24" s="202"/>
      <c r="G24" s="256"/>
      <c r="H24" s="257"/>
      <c r="I24" s="257"/>
      <c r="J24" s="257"/>
      <c r="K24" s="257"/>
      <c r="L24" s="257"/>
      <c r="M24" s="257"/>
      <c r="N24" s="159"/>
    </row>
    <row r="25" outlineLevel="1">
      <c r="A25" s="202"/>
      <c r="B25" s="256"/>
      <c r="C25" s="202"/>
      <c r="D25" s="256"/>
      <c r="E25" s="202"/>
      <c r="F25" s="202"/>
      <c r="G25" s="256"/>
      <c r="H25" s="256"/>
      <c r="I25" s="202"/>
      <c r="J25" s="256"/>
      <c r="K25" s="256"/>
      <c r="L25" s="256"/>
      <c r="M25" s="256"/>
      <c r="N25" s="159"/>
    </row>
    <row r="26">
      <c r="A26" s="202"/>
      <c r="B26" s="160" t="s">
        <v>583</v>
      </c>
      <c r="C26" s="161"/>
      <c r="D26" s="162" t="s">
        <v>604</v>
      </c>
      <c r="E26" s="161"/>
      <c r="F26" s="161"/>
      <c r="G26" s="163"/>
      <c r="H26" s="164" t="str">
        <f>Settings!$D$4</f>
        <v>PrepFlow</v>
      </c>
      <c r="I26" s="165" t="s">
        <v>585</v>
      </c>
      <c r="J26" s="166" t="s">
        <v>586</v>
      </c>
      <c r="K26" s="167" t="s">
        <v>587</v>
      </c>
      <c r="L26" s="167" t="s">
        <v>588</v>
      </c>
      <c r="M26" s="168" t="s">
        <v>589</v>
      </c>
      <c r="N26" s="202"/>
    </row>
    <row r="27">
      <c r="A27" s="202"/>
      <c r="B27" s="170" t="s">
        <v>590</v>
      </c>
      <c r="C27" s="171"/>
      <c r="D27" s="172" t="s">
        <v>591</v>
      </c>
      <c r="E27" s="173" t="s">
        <v>592</v>
      </c>
      <c r="F27" s="173" t="s">
        <v>593</v>
      </c>
      <c r="G27" s="174" t="s">
        <v>594</v>
      </c>
      <c r="H27" s="175" t="str">
        <f>D26</f>
        <v>Hot Dog</v>
      </c>
      <c r="I27" s="176">
        <f>iferror(IF(G44="",G45,G44),"Something went wrong")</f>
        <v>21.9</v>
      </c>
      <c r="J27" s="177">
        <f>iferror($F46,"")</f>
        <v>5.486472483</v>
      </c>
      <c r="K27" s="178">
        <f>$G46</f>
        <v>0.2755762435</v>
      </c>
      <c r="L27" s="176">
        <f>iferror($F47,"")</f>
        <v>14.42261843</v>
      </c>
      <c r="M27" s="179">
        <f>$G47</f>
        <v>0.7244237565</v>
      </c>
      <c r="N27" s="202"/>
    </row>
    <row r="28" outlineLevel="1">
      <c r="A28" s="202"/>
      <c r="B28" s="182">
        <v>1.0</v>
      </c>
      <c r="C28" s="183" t="s">
        <v>226</v>
      </c>
      <c r="D28" s="184">
        <v>15.0</v>
      </c>
      <c r="E28" s="185" t="str">
        <f t="array" ref="E28">IFERROR(XLOOKUP(C28,'Stock List'!$C$5:$C$496,'Stock List'!$E$5:$E$496),"")</f>
        <v>GM</v>
      </c>
      <c r="F28" s="186">
        <f t="array" ref="F28">IFERROR(XLOOKUP(C28,'Stock List'!$C$5:$C$496,'Stock List'!$M$5:$M$496),"")</f>
        <v>0.00863296</v>
      </c>
      <c r="G28" s="187">
        <f t="shared" ref="G28:G40" si="2">if(D28*F28=0,"",D28*F28)</f>
        <v>0.1294944</v>
      </c>
      <c r="H28" s="188" t="s">
        <v>595</v>
      </c>
      <c r="I28" s="189"/>
      <c r="J28" s="189"/>
      <c r="K28" s="189"/>
      <c r="L28" s="189"/>
      <c r="M28" s="190"/>
      <c r="N28" s="202"/>
    </row>
    <row r="29" outlineLevel="1">
      <c r="A29" s="202"/>
      <c r="B29" s="193">
        <v>2.0</v>
      </c>
      <c r="C29" s="194" t="s">
        <v>494</v>
      </c>
      <c r="D29" s="195">
        <v>1.0</v>
      </c>
      <c r="E29" s="196" t="str">
        <f t="array" ref="E29">IFERROR(XLOOKUP(C29,'Stock List'!$C$5:$C$496,'Stock List'!$E$5:$E$496),"")</f>
        <v>PC</v>
      </c>
      <c r="F29" s="197">
        <f t="array" ref="F29">IFERROR(XLOOKUP(C29,'Stock List'!$C$5:$C$496,'Stock List'!$M$5:$M$496),"")</f>
        <v>1.216533333</v>
      </c>
      <c r="G29" s="198">
        <f t="shared" si="2"/>
        <v>1.216533333</v>
      </c>
      <c r="H29" s="199" t="str">
        <f>IFERROR(__xludf.DUMMYFUNCTION("AI(""You’re a seasoned chef talking to another chef in the middle of a busy service. No fluff, no storytelling — just straight, rapid-fire instructions for "" &amp; D26 &amp; "" using only these ingredients: "" &amp; C28 &amp; "", "" &amp; C29 &amp; "", "" &amp; C30 &amp; "", "" &amp; C31 &amp;"&amp;" "", "" &amp; C32 &amp; "", "" &amp; C33 &amp; "", "" &amp; C34 &amp; "", "" &amp; C35 &amp; "", "" &amp; C36 &amp; "", "" &amp; C37 &amp; "", "" &amp; C38 &amp; "", "" &amp; C39 &amp; "", "" &amp; C40 &amp; "". Keep it 5–7 short, sharp steps with pro kitchen lingo and efficient workflow. Format: Dish Name: "" &amp; D26 &amp; "" Meth"&amp;"od: 1. ... 2. ..."", D26:F40)
"),"Dish Name: Hot Dog
Method:1.  Grill sausage till browned and internal temp hits.
2.  Toast brioche lightly on the flat top.
3.  Smear hot English mustard, then smoky tomato relish on the bun.
4.  Nestle sausage in the bun.
5.  Lay cheese slice over sausag"&amp;"e, melt with residual heat.
6.  Top with a line of tomato sauce and a sprinkle of crisp chips and pickles.
7.  Serve. Move it\!")</f>
        <v>Dish Name: Hot Dog
Method:1.  Grill sausage till browned and internal temp hits.
2.  Toast brioche lightly on the flat top.
3.  Smear hot English mustard, then smoky tomato relish on the bun.
4.  Nestle sausage in the bun.
5.  Lay cheese slice over sausage, melt with residual heat.
6.  Top with a line of tomato sauce and a sprinkle of crisp chips and pickles.
7.  Serve. Move it\!</v>
      </c>
      <c r="I29" s="200"/>
      <c r="J29" s="200"/>
      <c r="K29" s="200"/>
      <c r="L29" s="200"/>
      <c r="M29" s="201"/>
      <c r="N29" s="202"/>
    </row>
    <row r="30" outlineLevel="1">
      <c r="A30" s="202"/>
      <c r="B30" s="182">
        <v>3.0</v>
      </c>
      <c r="C30" s="203" t="s">
        <v>376</v>
      </c>
      <c r="D30" s="204">
        <v>15.0</v>
      </c>
      <c r="E30" s="196" t="str">
        <f t="array" ref="E30">IFERROR(XLOOKUP(C30,'Stock List'!$C$5:$C$496,'Stock List'!$E$5:$E$496),"")</f>
        <v>ML</v>
      </c>
      <c r="F30" s="197">
        <f t="array" ref="F30">IFERROR(XLOOKUP(C30,'Stock List'!$C$5:$C$496,'Stock List'!$M$5:$M$496),"")</f>
        <v>0.0042427</v>
      </c>
      <c r="G30" s="198">
        <f t="shared" si="2"/>
        <v>0.0636405</v>
      </c>
      <c r="H30" s="205"/>
      <c r="M30" s="206"/>
      <c r="N30" s="202"/>
    </row>
    <row r="31" outlineLevel="1">
      <c r="A31" s="202"/>
      <c r="B31" s="193">
        <v>4.0</v>
      </c>
      <c r="C31" s="194" t="s">
        <v>330</v>
      </c>
      <c r="D31" s="195">
        <v>160.0</v>
      </c>
      <c r="E31" s="196" t="str">
        <f t="array" ref="E31">IFERROR(XLOOKUP(C31,'Stock List'!$C$5:$C$496,'Stock List'!$E$5:$E$496),"")</f>
        <v>GM</v>
      </c>
      <c r="F31" s="197">
        <f t="array" ref="F31">IFERROR(XLOOKUP(C31,'Stock List'!$C$5:$C$496,'Stock List'!$M$5:$M$496),"")</f>
        <v>0.012445</v>
      </c>
      <c r="G31" s="198">
        <f t="shared" si="2"/>
        <v>1.9912</v>
      </c>
      <c r="H31" s="205"/>
      <c r="M31" s="206"/>
      <c r="N31" s="202"/>
    </row>
    <row r="32" outlineLevel="1">
      <c r="A32" s="202"/>
      <c r="B32" s="182">
        <v>5.0</v>
      </c>
      <c r="C32" s="203" t="s">
        <v>283</v>
      </c>
      <c r="D32" s="204">
        <v>10.0</v>
      </c>
      <c r="E32" s="196" t="str">
        <f t="array" ref="E32">IFERROR(XLOOKUP(C32,'Stock List'!$C$5:$C$496,'Stock List'!$E$5:$E$496),"")</f>
        <v>GM</v>
      </c>
      <c r="F32" s="197">
        <f t="array" ref="F32">IFERROR(XLOOKUP(C32,'Stock List'!$C$5:$C$496,'Stock List'!$M$5:$M$496),"")</f>
        <v>0.0055208</v>
      </c>
      <c r="G32" s="198">
        <f t="shared" si="2"/>
        <v>0.055208</v>
      </c>
      <c r="H32" s="205"/>
      <c r="M32" s="206"/>
      <c r="N32" s="202"/>
    </row>
    <row r="33" outlineLevel="1">
      <c r="A33" s="202"/>
      <c r="B33" s="193">
        <v>6.0</v>
      </c>
      <c r="C33" s="194" t="s">
        <v>167</v>
      </c>
      <c r="D33" s="195">
        <v>100.0</v>
      </c>
      <c r="E33" s="196" t="str">
        <f t="array" ref="E33">IFERROR(XLOOKUP(C33,'Stock List'!$C$5:$C$496,'Stock List'!$E$5:$E$496),"")</f>
        <v>GM</v>
      </c>
      <c r="F33" s="197">
        <f t="array" ref="F33">IFERROR(XLOOKUP(C33,'Stock List'!$C$5:$C$496,'Stock List'!$M$5:$M$496),"")</f>
        <v>0.00695045</v>
      </c>
      <c r="G33" s="198">
        <f t="shared" si="2"/>
        <v>0.695045</v>
      </c>
      <c r="H33" s="205"/>
      <c r="M33" s="206"/>
      <c r="N33" s="202"/>
    </row>
    <row r="34" outlineLevel="1">
      <c r="A34" s="202"/>
      <c r="B34" s="182">
        <v>7.0</v>
      </c>
      <c r="C34" s="203" t="s">
        <v>580</v>
      </c>
      <c r="D34" s="204">
        <v>15.0</v>
      </c>
      <c r="E34" s="196" t="str">
        <f t="array" ref="E34">IFERROR(XLOOKUP(C34,'Stock List'!$C$5:$C$496,'Stock List'!$E$5:$E$496),"")</f>
        <v>GM</v>
      </c>
      <c r="F34" s="197">
        <f t="array" ref="F34">IFERROR(XLOOKUP(C34,'Stock List'!$C$5:$C$496,'Stock List'!$M$5:$M$496),"")</f>
        <v>0.02017675</v>
      </c>
      <c r="G34" s="198">
        <f t="shared" si="2"/>
        <v>0.30265125</v>
      </c>
      <c r="H34" s="205"/>
      <c r="M34" s="206"/>
      <c r="N34" s="202"/>
    </row>
    <row r="35" outlineLevel="1">
      <c r="A35" s="202"/>
      <c r="B35" s="193">
        <v>8.0</v>
      </c>
      <c r="C35" s="194" t="s">
        <v>342</v>
      </c>
      <c r="D35" s="195">
        <v>2.0</v>
      </c>
      <c r="E35" s="196" t="str">
        <f t="array" ref="E35">IFERROR(XLOOKUP(C35,'Stock List'!$C$5:$C$496,'Stock List'!$E$5:$E$496),"")</f>
        <v>PC</v>
      </c>
      <c r="F35" s="197">
        <f t="array" ref="F35">IFERROR(XLOOKUP(C35,'Stock List'!$C$5:$C$496,'Stock List'!$M$5:$M$496),"")</f>
        <v>0.51635</v>
      </c>
      <c r="G35" s="198">
        <f t="shared" si="2"/>
        <v>1.0327</v>
      </c>
      <c r="H35" s="205"/>
      <c r="M35" s="206"/>
      <c r="N35" s="202"/>
    </row>
    <row r="36" outlineLevel="1">
      <c r="A36" s="202"/>
      <c r="B36" s="182">
        <v>9.0</v>
      </c>
      <c r="C36" s="203"/>
      <c r="D36" s="207"/>
      <c r="E36" s="196" t="str">
        <f t="array" ref="E36">IFERROR(XLOOKUP(C36,'Stock List'!$C$5:$C$496,'Stock List'!$E$5:$E$496),"")</f>
        <v/>
      </c>
      <c r="F36" s="197" t="str">
        <f t="array" ref="F36">IFERROR(XLOOKUP(C36,'Stock List'!$C$5:$C$496,'Stock List'!$M$5:$M$496),"")</f>
        <v/>
      </c>
      <c r="G36" s="198" t="str">
        <f t="shared" si="2"/>
        <v/>
      </c>
      <c r="H36" s="205"/>
      <c r="M36" s="206"/>
      <c r="N36" s="202"/>
    </row>
    <row r="37" outlineLevel="1">
      <c r="A37" s="202"/>
      <c r="B37" s="193">
        <v>10.0</v>
      </c>
      <c r="C37" s="194"/>
      <c r="D37" s="208"/>
      <c r="E37" s="196" t="str">
        <f t="array" ref="E37">IFERROR(XLOOKUP(C37,'Stock List'!$C$5:$C$496,'Stock List'!$E$5:$E$496),"")</f>
        <v/>
      </c>
      <c r="F37" s="197" t="str">
        <f t="array" ref="F37">IFERROR(XLOOKUP(C37,'Stock List'!$C$5:$C$496,'Stock List'!$M$5:$M$496),"")</f>
        <v/>
      </c>
      <c r="G37" s="198" t="str">
        <f t="shared" si="2"/>
        <v/>
      </c>
      <c r="H37" s="205"/>
      <c r="M37" s="206"/>
      <c r="N37" s="202"/>
    </row>
    <row r="38" outlineLevel="1">
      <c r="A38" s="202"/>
      <c r="B38" s="182">
        <v>11.0</v>
      </c>
      <c r="C38" s="209"/>
      <c r="D38" s="210"/>
      <c r="E38" s="196" t="str">
        <f t="array" ref="E38">IFERROR(XLOOKUP(C38,'Stock List'!$C$5:$C$496,'Stock List'!$E$5:$E$496),"")</f>
        <v/>
      </c>
      <c r="F38" s="197" t="str">
        <f t="array" ref="F38">IFERROR(XLOOKUP(C38,'Stock List'!$C$5:$C$496,'Stock List'!$M$5:$M$496),"")</f>
        <v/>
      </c>
      <c r="G38" s="198" t="str">
        <f t="shared" si="2"/>
        <v/>
      </c>
      <c r="H38" s="205"/>
      <c r="M38" s="206"/>
      <c r="N38" s="202"/>
    </row>
    <row r="39" outlineLevel="1">
      <c r="A39" s="202"/>
      <c r="B39" s="193">
        <v>12.0</v>
      </c>
      <c r="C39" s="212"/>
      <c r="D39" s="213"/>
      <c r="E39" s="196" t="str">
        <f t="array" ref="E39">IFERROR(XLOOKUP(C39,'Stock List'!$C$5:$C$496,'Stock List'!$E$5:$E$496),"")</f>
        <v/>
      </c>
      <c r="F39" s="197" t="str">
        <f t="array" ref="F39">IFERROR(XLOOKUP(C39,'Stock List'!$C$5:$C$496,'Stock List'!$M$5:$M$496),"")</f>
        <v/>
      </c>
      <c r="G39" s="198" t="str">
        <f t="shared" si="2"/>
        <v/>
      </c>
      <c r="H39" s="205"/>
      <c r="M39" s="206"/>
      <c r="N39" s="202"/>
    </row>
    <row r="40" outlineLevel="1">
      <c r="A40" s="202"/>
      <c r="B40" s="182">
        <v>13.0</v>
      </c>
      <c r="C40" s="209"/>
      <c r="D40" s="210"/>
      <c r="E40" s="196" t="str">
        <f t="array" ref="E40">IFERROR(XLOOKUP(C40,'Stock List'!$C$5:$C$496,'Stock List'!$E$5:$E$496),"")</f>
        <v/>
      </c>
      <c r="F40" s="197" t="str">
        <f t="array" ref="F40">IFERROR(XLOOKUP(C40,'Stock List'!$C$5:$C$496,'Stock List'!$M$5:$M$496),"")</f>
        <v/>
      </c>
      <c r="G40" s="198" t="str">
        <f t="shared" si="2"/>
        <v/>
      </c>
      <c r="H40" s="205"/>
      <c r="M40" s="206"/>
      <c r="N40" s="202"/>
    </row>
    <row r="41" outlineLevel="1">
      <c r="A41" s="202"/>
      <c r="B41" s="214" t="s">
        <v>596</v>
      </c>
      <c r="C41" s="215"/>
      <c r="D41" s="216">
        <v>1.0</v>
      </c>
      <c r="E41" s="217"/>
      <c r="F41" s="218" t="s">
        <v>597</v>
      </c>
      <c r="G41" s="219">
        <f>SUM(G28:G40)</f>
        <v>5.486472483</v>
      </c>
      <c r="H41" s="205"/>
      <c r="M41" s="206"/>
      <c r="N41" s="202"/>
    </row>
    <row r="42" outlineLevel="1">
      <c r="A42" s="202"/>
      <c r="B42" s="221" t="s">
        <v>598</v>
      </c>
      <c r="C42" s="222"/>
      <c r="D42" s="223">
        <v>0.72</v>
      </c>
      <c r="E42" s="224"/>
      <c r="F42" s="225"/>
      <c r="G42" s="226"/>
      <c r="H42" s="205"/>
      <c r="M42" s="206"/>
      <c r="N42" s="202"/>
    </row>
    <row r="43" outlineLevel="1">
      <c r="A43" s="202"/>
      <c r="B43" s="228" t="s">
        <v>599</v>
      </c>
      <c r="C43" s="189"/>
      <c r="D43" s="229"/>
      <c r="E43" s="230"/>
      <c r="F43" s="231"/>
      <c r="G43" s="232">
        <f>(I27/(1+Settings!$D$6))</f>
        <v>19.90909091</v>
      </c>
      <c r="H43" s="205"/>
      <c r="M43" s="206"/>
      <c r="N43" s="202"/>
    </row>
    <row r="44" outlineLevel="1">
      <c r="A44" s="202"/>
      <c r="B44" s="234" t="s">
        <v>600</v>
      </c>
      <c r="C44" s="189"/>
      <c r="D44" s="229"/>
      <c r="E44" s="230"/>
      <c r="F44" s="231"/>
      <c r="G44" s="235"/>
      <c r="H44" s="205"/>
      <c r="M44" s="206"/>
      <c r="N44" s="202"/>
    </row>
    <row r="45" outlineLevel="1">
      <c r="A45" s="202"/>
      <c r="B45" s="237" t="s">
        <v>601</v>
      </c>
      <c r="C45" s="189"/>
      <c r="D45" s="238"/>
      <c r="E45" s="230"/>
      <c r="F45" s="231"/>
      <c r="G45" s="239">
        <f>iferror(if(and(Settings!$D$8=true,Settings!$D$9=true),(roundup(($G41/(1-$D42))/$D41*(1+Settings!$D$6),0)-0.1),if(Settings!$D$9=true,ceiling(($G41/(1-$D42))/$D41*(1+Settings!$D$6),1),if(Settings!$D$8=true,CEILING((($G41/(1-$D42)))/$D41*(1+Settings!$D$6),0.5)-0.01,(($G41/(1-$D42)))/$D41*(1+Settings!$D$6)))),"")</f>
        <v>21.9</v>
      </c>
      <c r="H45" s="205"/>
      <c r="M45" s="206"/>
      <c r="N45" s="202"/>
    </row>
    <row r="46" outlineLevel="1">
      <c r="A46" s="202"/>
      <c r="B46" s="240" t="s">
        <v>602</v>
      </c>
      <c r="C46" s="189"/>
      <c r="D46" s="224"/>
      <c r="E46" s="241"/>
      <c r="F46" s="242">
        <f>iferror(G41/D41,"")</f>
        <v>5.486472483</v>
      </c>
      <c r="G46" s="243">
        <f>iferror(F46/G43,0)</f>
        <v>0.2755762435</v>
      </c>
      <c r="H46" s="205"/>
      <c r="M46" s="206"/>
      <c r="N46" s="202"/>
    </row>
    <row r="47" outlineLevel="1">
      <c r="A47" s="202"/>
      <c r="B47" s="246" t="s">
        <v>603</v>
      </c>
      <c r="C47" s="247"/>
      <c r="D47" s="248"/>
      <c r="E47" s="249"/>
      <c r="F47" s="250">
        <f>$G43-$F46</f>
        <v>14.42261843</v>
      </c>
      <c r="G47" s="251">
        <f>iferror((G43-F46)/G43,0)</f>
        <v>0.7244237565</v>
      </c>
      <c r="H47" s="252"/>
      <c r="I47" s="253"/>
      <c r="J47" s="253"/>
      <c r="K47" s="253"/>
      <c r="L47" s="253"/>
      <c r="M47" s="254"/>
      <c r="N47" s="202"/>
    </row>
    <row r="48" outlineLevel="1">
      <c r="A48" s="202"/>
      <c r="B48" s="256"/>
      <c r="C48" s="202"/>
      <c r="D48" s="256"/>
      <c r="E48" s="202"/>
      <c r="F48" s="202"/>
      <c r="G48" s="256"/>
      <c r="H48" s="256"/>
      <c r="I48" s="202"/>
      <c r="J48" s="256"/>
      <c r="K48" s="256"/>
      <c r="L48" s="256"/>
      <c r="M48" s="256"/>
      <c r="N48" s="202"/>
    </row>
    <row r="49" outlineLevel="1">
      <c r="A49" s="202"/>
      <c r="B49" s="256"/>
      <c r="C49" s="202"/>
      <c r="D49" s="256"/>
      <c r="E49" s="202"/>
      <c r="F49" s="202"/>
      <c r="G49" s="256"/>
      <c r="H49" s="256"/>
      <c r="I49" s="202"/>
      <c r="J49" s="256"/>
      <c r="K49" s="256"/>
      <c r="L49" s="256"/>
      <c r="M49" s="256"/>
      <c r="N49" s="202"/>
    </row>
    <row r="50">
      <c r="A50" s="202"/>
      <c r="B50" s="160" t="s">
        <v>583</v>
      </c>
      <c r="C50" s="161"/>
      <c r="D50" s="162" t="s">
        <v>605</v>
      </c>
      <c r="E50" s="161"/>
      <c r="F50" s="161"/>
      <c r="G50" s="163"/>
      <c r="H50" s="164" t="str">
        <f>Settings!$D$4</f>
        <v>PrepFlow</v>
      </c>
      <c r="I50" s="165" t="s">
        <v>585</v>
      </c>
      <c r="J50" s="166" t="s">
        <v>586</v>
      </c>
      <c r="K50" s="167" t="s">
        <v>587</v>
      </c>
      <c r="L50" s="167" t="s">
        <v>588</v>
      </c>
      <c r="M50" s="168" t="s">
        <v>589</v>
      </c>
      <c r="N50" s="202"/>
    </row>
    <row r="51">
      <c r="A51" s="202"/>
      <c r="B51" s="170" t="s">
        <v>590</v>
      </c>
      <c r="C51" s="171"/>
      <c r="D51" s="172" t="s">
        <v>591</v>
      </c>
      <c r="E51" s="173" t="s">
        <v>592</v>
      </c>
      <c r="F51" s="173" t="s">
        <v>593</v>
      </c>
      <c r="G51" s="174" t="s">
        <v>594</v>
      </c>
      <c r="H51" s="175" t="str">
        <f>D50</f>
        <v>Steak and Chips</v>
      </c>
      <c r="I51" s="176">
        <f>iferror(IF(G68="",G69,G68),"Something went wrong")</f>
        <v>35.9</v>
      </c>
      <c r="J51" s="177">
        <f>iferror($F70,"")</f>
        <v>9.699246</v>
      </c>
      <c r="K51" s="178">
        <f>$G70</f>
        <v>0.2971913816</v>
      </c>
      <c r="L51" s="176">
        <f>iferror($F71,"")</f>
        <v>22.93711764</v>
      </c>
      <c r="M51" s="179">
        <f>$G71</f>
        <v>0.7028086184</v>
      </c>
      <c r="N51" s="202"/>
    </row>
    <row r="52" outlineLevel="1">
      <c r="A52" s="202"/>
      <c r="B52" s="182">
        <v>1.0</v>
      </c>
      <c r="C52" s="183" t="s">
        <v>322</v>
      </c>
      <c r="D52" s="184">
        <v>1.0</v>
      </c>
      <c r="E52" s="185" t="str">
        <f t="array" ref="E52">IFERROR(XLOOKUP(C52,'Stock List'!$C$5:$C$496,'Stock List'!$E$5:$E$496),"")</f>
        <v>PC</v>
      </c>
      <c r="F52" s="186">
        <f t="array" ref="F52">IFERROR(XLOOKUP(C52,'Stock List'!$C$5:$C$496,'Stock List'!$M$5:$M$496),"")</f>
        <v>6.38275</v>
      </c>
      <c r="G52" s="187">
        <f t="shared" ref="G52:G64" si="3">if(D52*F52=0,"",D52*F52)</f>
        <v>6.38275</v>
      </c>
      <c r="H52" s="188" t="s">
        <v>595</v>
      </c>
      <c r="I52" s="189"/>
      <c r="J52" s="189"/>
      <c r="K52" s="189"/>
      <c r="L52" s="189"/>
      <c r="M52" s="190"/>
      <c r="N52" s="202"/>
    </row>
    <row r="53" outlineLevel="1">
      <c r="A53" s="202"/>
      <c r="B53" s="193">
        <v>2.0</v>
      </c>
      <c r="C53" s="194" t="s">
        <v>578</v>
      </c>
      <c r="D53" s="195">
        <v>1.0</v>
      </c>
      <c r="E53" s="196" t="str">
        <f t="array" ref="E53">IFERROR(XLOOKUP(C53,'Stock List'!$C$5:$C$496,'Stock List'!$E$5:$E$496),"")</f>
        <v>PC</v>
      </c>
      <c r="F53" s="197">
        <f t="array" ref="F53">IFERROR(XLOOKUP(C53,'Stock List'!$C$5:$C$496,'Stock List'!$M$5:$M$496),"")</f>
        <v>1.7316</v>
      </c>
      <c r="G53" s="198">
        <f t="shared" si="3"/>
        <v>1.7316</v>
      </c>
      <c r="H53" s="199" t="str">
        <f>IFERROR(__xludf.DUMMYFUNCTION("AI(""You’re a seasoned chef talking to another chef in the middle of a busy service. No fluff, no storytelling — just straight, rapid-fire instructions for "" &amp; D50 &amp; "" using only these ingredients: "" &amp; C52 &amp; "", "" &amp; C53 &amp; "", "" &amp; C54 &amp; "", "" &amp; C55 &amp;"&amp;" "", "" &amp; C56 &amp; "", "" &amp; C57 &amp; "", "" &amp; C58 &amp; "", "" &amp; C59 &amp; "", "" &amp; C60 &amp; "", "" &amp; C61 &amp; "", "" &amp; C62 &amp; "", "" &amp; C63 &amp; "", "" &amp; C64 &amp; "". Keep it 5–7 short, sharp steps with pro kitchen lingo and efficient workflow. Format: Dish Name: "" &amp; D50 &amp; "" Meth"&amp;"od: 1. ... 2. ..."", D50:F64)
"),"Dish Name: Steak and Chips
Method:1.  Sear Rump 250Gm Steak to temp.
2.  Drop Chips Stay Crisp; fry golden.
3.  Warm Mushroom Sauce.
4.  Dress Side Salad.
5.  Plate steak, chips, and pour sauce. Garnish with salad.")</f>
        <v>Dish Name: Steak and Chips
Method:1.  Sear Rump 250Gm Steak to temp.
2.  Drop Chips Stay Crisp; fry golden.
3.  Warm Mushroom Sauce.
4.  Dress Side Salad.
5.  Plate steak, chips, and pour sauce. Garnish with salad.</v>
      </c>
      <c r="I53" s="200"/>
      <c r="J53" s="200"/>
      <c r="K53" s="200"/>
      <c r="L53" s="200"/>
      <c r="M53" s="201"/>
      <c r="N53" s="202"/>
    </row>
    <row r="54" outlineLevel="1">
      <c r="A54" s="202"/>
      <c r="B54" s="182">
        <v>3.0</v>
      </c>
      <c r="C54" s="203" t="s">
        <v>167</v>
      </c>
      <c r="D54" s="204">
        <v>160.0</v>
      </c>
      <c r="E54" s="196" t="str">
        <f t="array" ref="E54">IFERROR(XLOOKUP(C54,'Stock List'!$C$5:$C$496,'Stock List'!$E$5:$E$496),"")</f>
        <v>GM</v>
      </c>
      <c r="F54" s="197">
        <f t="array" ref="F54">IFERROR(XLOOKUP(C54,'Stock List'!$C$5:$C$496,'Stock List'!$M$5:$M$496),"")</f>
        <v>0.00695045</v>
      </c>
      <c r="G54" s="198">
        <f t="shared" si="3"/>
        <v>1.112072</v>
      </c>
      <c r="H54" s="205"/>
      <c r="M54" s="206"/>
      <c r="N54" s="202"/>
    </row>
    <row r="55" outlineLevel="1">
      <c r="A55" s="202"/>
      <c r="B55" s="193">
        <v>4.0</v>
      </c>
      <c r="C55" s="194" t="s">
        <v>261</v>
      </c>
      <c r="D55" s="195">
        <v>60.0</v>
      </c>
      <c r="E55" s="196" t="str">
        <f t="array" ref="E55">IFERROR(XLOOKUP(C55,'Stock List'!$C$5:$C$496,'Stock List'!$E$5:$E$496),"")</f>
        <v>GM</v>
      </c>
      <c r="F55" s="197">
        <f t="array" ref="F55">IFERROR(XLOOKUP(C55,'Stock List'!$C$5:$C$496,'Stock List'!$M$5:$M$496),"")</f>
        <v>0.0078804</v>
      </c>
      <c r="G55" s="198">
        <f t="shared" si="3"/>
        <v>0.472824</v>
      </c>
      <c r="H55" s="205"/>
      <c r="M55" s="206"/>
      <c r="N55" s="202"/>
    </row>
    <row r="56" outlineLevel="1">
      <c r="A56" s="202"/>
      <c r="B56" s="182">
        <v>5.0</v>
      </c>
      <c r="C56" s="203"/>
      <c r="D56" s="204"/>
      <c r="E56" s="196" t="str">
        <f t="array" ref="E56">IFERROR(XLOOKUP(C56,'Stock List'!$C$5:$C$496,'Stock List'!$E$5:$E$496),"")</f>
        <v/>
      </c>
      <c r="F56" s="197" t="str">
        <f t="array" ref="F56">IFERROR(XLOOKUP(C56,'Stock List'!$C$5:$C$496,'Stock List'!$M$5:$M$496),"")</f>
        <v/>
      </c>
      <c r="G56" s="198" t="str">
        <f t="shared" si="3"/>
        <v/>
      </c>
      <c r="H56" s="205"/>
      <c r="M56" s="206"/>
      <c r="N56" s="202"/>
    </row>
    <row r="57" outlineLevel="1">
      <c r="A57" s="202"/>
      <c r="B57" s="193">
        <v>6.0</v>
      </c>
      <c r="C57" s="194"/>
      <c r="D57" s="195"/>
      <c r="E57" s="196" t="str">
        <f t="array" ref="E57">IFERROR(XLOOKUP(C57,'Stock List'!$C$5:$C$496,'Stock List'!$E$5:$E$496),"")</f>
        <v/>
      </c>
      <c r="F57" s="197" t="str">
        <f t="array" ref="F57">IFERROR(XLOOKUP(C57,'Stock List'!$C$5:$C$496,'Stock List'!$M$5:$M$496),"")</f>
        <v/>
      </c>
      <c r="G57" s="198" t="str">
        <f t="shared" si="3"/>
        <v/>
      </c>
      <c r="H57" s="205"/>
      <c r="M57" s="206"/>
      <c r="N57" s="202"/>
    </row>
    <row r="58" outlineLevel="1">
      <c r="A58" s="202"/>
      <c r="B58" s="182">
        <v>7.0</v>
      </c>
      <c r="C58" s="203"/>
      <c r="D58" s="204"/>
      <c r="E58" s="196" t="str">
        <f t="array" ref="E58">IFERROR(XLOOKUP(C58,'Stock List'!$C$5:$C$496,'Stock List'!$E$5:$E$496),"")</f>
        <v/>
      </c>
      <c r="F58" s="197" t="str">
        <f t="array" ref="F58">IFERROR(XLOOKUP(C58,'Stock List'!$C$5:$C$496,'Stock List'!$M$5:$M$496),"")</f>
        <v/>
      </c>
      <c r="G58" s="198" t="str">
        <f t="shared" si="3"/>
        <v/>
      </c>
      <c r="H58" s="205"/>
      <c r="M58" s="206"/>
      <c r="N58" s="202"/>
    </row>
    <row r="59" outlineLevel="1">
      <c r="A59" s="202"/>
      <c r="B59" s="193">
        <v>8.0</v>
      </c>
      <c r="C59" s="194"/>
      <c r="D59" s="195"/>
      <c r="E59" s="196" t="str">
        <f t="array" ref="E59">IFERROR(XLOOKUP(C59,'Stock List'!$C$5:$C$496,'Stock List'!$E$5:$E$496),"")</f>
        <v/>
      </c>
      <c r="F59" s="197" t="str">
        <f t="array" ref="F59">IFERROR(XLOOKUP(C59,'Stock List'!$C$5:$C$496,'Stock List'!$M$5:$M$496),"")</f>
        <v/>
      </c>
      <c r="G59" s="198" t="str">
        <f t="shared" si="3"/>
        <v/>
      </c>
      <c r="H59" s="205"/>
      <c r="M59" s="206"/>
      <c r="N59" s="202"/>
    </row>
    <row r="60" outlineLevel="1">
      <c r="A60" s="202"/>
      <c r="B60" s="182">
        <v>9.0</v>
      </c>
      <c r="C60" s="203"/>
      <c r="D60" s="207"/>
      <c r="E60" s="196" t="str">
        <f t="array" ref="E60">IFERROR(XLOOKUP(C60,'Stock List'!$C$5:$C$496,'Stock List'!$E$5:$E$496),"")</f>
        <v/>
      </c>
      <c r="F60" s="197" t="str">
        <f t="array" ref="F60">IFERROR(XLOOKUP(C60,'Stock List'!$C$5:$C$496,'Stock List'!$M$5:$M$496),"")</f>
        <v/>
      </c>
      <c r="G60" s="198" t="str">
        <f t="shared" si="3"/>
        <v/>
      </c>
      <c r="H60" s="205"/>
      <c r="M60" s="206"/>
      <c r="N60" s="202"/>
    </row>
    <row r="61" outlineLevel="1">
      <c r="A61" s="202"/>
      <c r="B61" s="193">
        <v>10.0</v>
      </c>
      <c r="C61" s="194"/>
      <c r="D61" s="208"/>
      <c r="E61" s="196" t="str">
        <f t="array" ref="E61">IFERROR(XLOOKUP(C61,'Stock List'!$C$5:$C$496,'Stock List'!$E$5:$E$496),"")</f>
        <v/>
      </c>
      <c r="F61" s="197" t="str">
        <f t="array" ref="F61">IFERROR(XLOOKUP(C61,'Stock List'!$C$5:$C$496,'Stock List'!$M$5:$M$496),"")</f>
        <v/>
      </c>
      <c r="G61" s="198" t="str">
        <f t="shared" si="3"/>
        <v/>
      </c>
      <c r="H61" s="205"/>
      <c r="M61" s="206"/>
      <c r="N61" s="202"/>
    </row>
    <row r="62" outlineLevel="1">
      <c r="A62" s="202"/>
      <c r="B62" s="182">
        <v>11.0</v>
      </c>
      <c r="C62" s="209"/>
      <c r="D62" s="210"/>
      <c r="E62" s="196" t="str">
        <f t="array" ref="E62">IFERROR(XLOOKUP(C62,'Stock List'!$C$5:$C$496,'Stock List'!$E$5:$E$496),"")</f>
        <v/>
      </c>
      <c r="F62" s="197" t="str">
        <f t="array" ref="F62">IFERROR(XLOOKUP(C62,'Stock List'!$C$5:$C$496,'Stock List'!$M$5:$M$496),"")</f>
        <v/>
      </c>
      <c r="G62" s="198" t="str">
        <f t="shared" si="3"/>
        <v/>
      </c>
      <c r="H62" s="205"/>
      <c r="M62" s="206"/>
      <c r="N62" s="202"/>
    </row>
    <row r="63" outlineLevel="1">
      <c r="A63" s="202"/>
      <c r="B63" s="193">
        <v>12.0</v>
      </c>
      <c r="C63" s="212"/>
      <c r="D63" s="213"/>
      <c r="E63" s="196" t="str">
        <f t="array" ref="E63">IFERROR(XLOOKUP(C63,'Stock List'!$C$5:$C$496,'Stock List'!$E$5:$E$496),"")</f>
        <v/>
      </c>
      <c r="F63" s="197" t="str">
        <f t="array" ref="F63">IFERROR(XLOOKUP(C63,'Stock List'!$C$5:$C$496,'Stock List'!$M$5:$M$496),"")</f>
        <v/>
      </c>
      <c r="G63" s="198" t="str">
        <f t="shared" si="3"/>
        <v/>
      </c>
      <c r="H63" s="205"/>
      <c r="M63" s="206"/>
      <c r="N63" s="202"/>
    </row>
    <row r="64" outlineLevel="1">
      <c r="A64" s="202"/>
      <c r="B64" s="182">
        <v>13.0</v>
      </c>
      <c r="C64" s="209"/>
      <c r="D64" s="210"/>
      <c r="E64" s="196" t="str">
        <f t="array" ref="E64">IFERROR(XLOOKUP(C64,'Stock List'!$C$5:$C$496,'Stock List'!$E$5:$E$496),"")</f>
        <v/>
      </c>
      <c r="F64" s="197" t="str">
        <f t="array" ref="F64">IFERROR(XLOOKUP(C64,'Stock List'!$C$5:$C$496,'Stock List'!$M$5:$M$496),"")</f>
        <v/>
      </c>
      <c r="G64" s="198" t="str">
        <f t="shared" si="3"/>
        <v/>
      </c>
      <c r="H64" s="205"/>
      <c r="M64" s="206"/>
      <c r="N64" s="202"/>
    </row>
    <row r="65" outlineLevel="1">
      <c r="A65" s="202"/>
      <c r="B65" s="214" t="s">
        <v>596</v>
      </c>
      <c r="C65" s="215"/>
      <c r="D65" s="216">
        <v>1.0</v>
      </c>
      <c r="E65" s="217"/>
      <c r="F65" s="218" t="s">
        <v>597</v>
      </c>
      <c r="G65" s="219">
        <f>SUM(G52:G64)</f>
        <v>9.699246</v>
      </c>
      <c r="H65" s="205"/>
      <c r="M65" s="206"/>
      <c r="N65" s="202"/>
    </row>
    <row r="66" outlineLevel="1">
      <c r="A66" s="202"/>
      <c r="B66" s="221" t="s">
        <v>598</v>
      </c>
      <c r="C66" s="222"/>
      <c r="D66" s="258">
        <v>0.7</v>
      </c>
      <c r="E66" s="224"/>
      <c r="F66" s="225"/>
      <c r="G66" s="226"/>
      <c r="H66" s="205"/>
      <c r="M66" s="206"/>
      <c r="N66" s="202"/>
    </row>
    <row r="67" outlineLevel="1">
      <c r="A67" s="202"/>
      <c r="B67" s="228" t="s">
        <v>599</v>
      </c>
      <c r="C67" s="189"/>
      <c r="D67" s="229"/>
      <c r="E67" s="230"/>
      <c r="F67" s="231"/>
      <c r="G67" s="232">
        <f>(I51/(1+Settings!$D$6))</f>
        <v>32.63636364</v>
      </c>
      <c r="H67" s="205"/>
      <c r="M67" s="206"/>
      <c r="N67" s="202"/>
    </row>
    <row r="68" outlineLevel="1">
      <c r="A68" s="202"/>
      <c r="B68" s="234" t="s">
        <v>600</v>
      </c>
      <c r="C68" s="189"/>
      <c r="D68" s="229"/>
      <c r="E68" s="230"/>
      <c r="F68" s="231"/>
      <c r="G68" s="235"/>
      <c r="H68" s="205"/>
      <c r="M68" s="206"/>
      <c r="N68" s="202"/>
    </row>
    <row r="69" outlineLevel="1">
      <c r="A69" s="202"/>
      <c r="B69" s="237" t="s">
        <v>601</v>
      </c>
      <c r="C69" s="189"/>
      <c r="D69" s="238"/>
      <c r="E69" s="230"/>
      <c r="F69" s="231"/>
      <c r="G69" s="239">
        <f>iferror(if(and(Settings!$D$8=true,Settings!$D$9=true),(roundup(($G65/(1-$D66))/$D65*(1+Settings!$D$6),0)-0.1),if(Settings!$D$9=true,ceiling(($G65/(1-$D66))/$D65*(1+Settings!$D$6),1),if(Settings!$D$8=true,CEILING((($G65/(1-$D66)))/$D65*(1+Settings!$D$6),0.5)-0.01,(($G65/(1-$D66)))/$D65*(1+Settings!$D$6)))),"")</f>
        <v>35.9</v>
      </c>
      <c r="H69" s="205"/>
      <c r="M69" s="206"/>
      <c r="N69" s="202"/>
    </row>
    <row r="70" outlineLevel="1">
      <c r="A70" s="202"/>
      <c r="B70" s="240" t="s">
        <v>602</v>
      </c>
      <c r="C70" s="189"/>
      <c r="D70" s="224"/>
      <c r="E70" s="241"/>
      <c r="F70" s="242">
        <f>iferror(G65/D65,"")</f>
        <v>9.699246</v>
      </c>
      <c r="G70" s="243">
        <f>iferror(F70/G67,0)</f>
        <v>0.2971913816</v>
      </c>
      <c r="H70" s="205"/>
      <c r="M70" s="206"/>
      <c r="N70" s="202"/>
    </row>
    <row r="71" outlineLevel="1">
      <c r="A71" s="202"/>
      <c r="B71" s="246" t="s">
        <v>603</v>
      </c>
      <c r="C71" s="247"/>
      <c r="D71" s="248"/>
      <c r="E71" s="249"/>
      <c r="F71" s="250">
        <f>$G67-$F70</f>
        <v>22.93711764</v>
      </c>
      <c r="G71" s="251">
        <f>iferror((G67-F70)/G67,0)</f>
        <v>0.7028086184</v>
      </c>
      <c r="H71" s="252"/>
      <c r="I71" s="253"/>
      <c r="J71" s="253"/>
      <c r="K71" s="253"/>
      <c r="L71" s="253"/>
      <c r="M71" s="254"/>
      <c r="N71" s="202"/>
    </row>
    <row r="72" outlineLevel="1">
      <c r="A72" s="202"/>
      <c r="B72" s="256"/>
      <c r="C72" s="202"/>
      <c r="D72" s="256"/>
      <c r="E72" s="202"/>
      <c r="F72" s="202"/>
      <c r="G72" s="256"/>
      <c r="H72" s="256"/>
      <c r="I72" s="202"/>
      <c r="J72" s="256"/>
      <c r="K72" s="256"/>
      <c r="L72" s="256"/>
      <c r="M72" s="256"/>
      <c r="N72" s="202"/>
    </row>
    <row r="73" outlineLevel="1">
      <c r="A73" s="202"/>
      <c r="B73" s="256"/>
      <c r="C73" s="202"/>
      <c r="D73" s="256"/>
      <c r="E73" s="202"/>
      <c r="F73" s="202"/>
      <c r="G73" s="256"/>
      <c r="H73" s="256"/>
      <c r="I73" s="202"/>
      <c r="J73" s="256"/>
      <c r="K73" s="256"/>
      <c r="L73" s="256"/>
      <c r="M73" s="256"/>
      <c r="N73" s="202"/>
    </row>
    <row r="74">
      <c r="A74" s="202"/>
      <c r="B74" s="160" t="s">
        <v>583</v>
      </c>
      <c r="C74" s="161"/>
      <c r="D74" s="162" t="s">
        <v>606</v>
      </c>
      <c r="E74" s="161"/>
      <c r="F74" s="161"/>
      <c r="G74" s="163"/>
      <c r="H74" s="164" t="str">
        <f>Settings!$D$4</f>
        <v>PrepFlow</v>
      </c>
      <c r="I74" s="165" t="s">
        <v>585</v>
      </c>
      <c r="J74" s="166" t="s">
        <v>586</v>
      </c>
      <c r="K74" s="167" t="s">
        <v>587</v>
      </c>
      <c r="L74" s="167" t="s">
        <v>588</v>
      </c>
      <c r="M74" s="168" t="s">
        <v>589</v>
      </c>
      <c r="N74" s="202"/>
    </row>
    <row r="75">
      <c r="A75" s="202"/>
      <c r="B75" s="170" t="s">
        <v>590</v>
      </c>
      <c r="C75" s="171"/>
      <c r="D75" s="172" t="s">
        <v>591</v>
      </c>
      <c r="E75" s="173" t="s">
        <v>592</v>
      </c>
      <c r="F75" s="173" t="s">
        <v>593</v>
      </c>
      <c r="G75" s="174" t="s">
        <v>594</v>
      </c>
      <c r="H75" s="175" t="str">
        <f>D74</f>
        <v>Chicken Parmy</v>
      </c>
      <c r="I75" s="176">
        <f>iferror(IF(G92="",G93,G92),"Something went wrong")</f>
        <v>30.9</v>
      </c>
      <c r="J75" s="177">
        <f>iferror($F94,"")</f>
        <v>8.320894067</v>
      </c>
      <c r="K75" s="178">
        <f>$G94</f>
        <v>0.2962130574</v>
      </c>
      <c r="L75" s="176">
        <f>iferror($F95,"")</f>
        <v>19.77001502</v>
      </c>
      <c r="M75" s="179">
        <f>$G95</f>
        <v>0.7037869426</v>
      </c>
      <c r="N75" s="202"/>
    </row>
    <row r="76" outlineLevel="1">
      <c r="A76" s="202"/>
      <c r="B76" s="182">
        <v>1.0</v>
      </c>
      <c r="C76" s="183" t="s">
        <v>156</v>
      </c>
      <c r="D76" s="184">
        <v>1.0</v>
      </c>
      <c r="E76" s="185" t="str">
        <f t="array" ref="E76">IFERROR(XLOOKUP(C76,'Stock List'!$C$5:$C$496,'Stock List'!$E$5:$E$496),"")</f>
        <v>PC</v>
      </c>
      <c r="F76" s="186">
        <f t="array" ref="F76">IFERROR(XLOOKUP(C76,'Stock List'!$C$5:$C$496,'Stock List'!$M$5:$M$496),"")</f>
        <v>3.228213333</v>
      </c>
      <c r="G76" s="187">
        <f t="shared" ref="G76:G88" si="4">if(D76*F76=0,"",D76*F76)</f>
        <v>3.228213333</v>
      </c>
      <c r="H76" s="188" t="s">
        <v>595</v>
      </c>
      <c r="I76" s="189"/>
      <c r="J76" s="189"/>
      <c r="K76" s="189"/>
      <c r="L76" s="189"/>
      <c r="M76" s="190"/>
      <c r="N76" s="202"/>
    </row>
    <row r="77" outlineLevel="1">
      <c r="A77" s="202"/>
      <c r="B77" s="193">
        <v>2.0</v>
      </c>
      <c r="C77" s="194" t="s">
        <v>275</v>
      </c>
      <c r="D77" s="195">
        <v>80.0</v>
      </c>
      <c r="E77" s="196" t="str">
        <f t="array" ref="E77">IFERROR(XLOOKUP(C77,'Stock List'!$C$5:$C$496,'Stock List'!$E$5:$E$496),"")</f>
        <v>GM</v>
      </c>
      <c r="F77" s="197">
        <f t="array" ref="F77">IFERROR(XLOOKUP(C77,'Stock List'!$C$5:$C$496,'Stock List'!$M$5:$M$496),"")</f>
        <v>0.006007666667</v>
      </c>
      <c r="G77" s="198">
        <f t="shared" si="4"/>
        <v>0.4806133333</v>
      </c>
      <c r="H77" s="199" t="str">
        <f>IFERROR(__xludf.DUMMYFUNCTION("AI(""You’re a seasoned chef talking to another chef in the middle of a busy service. No fluff, no storytelling — just straight, rapid-fire instructions for "" &amp; D74 &amp; "" using only these ingredients: "" &amp; C76 &amp; "", "" &amp; C77 &amp; "", "" &amp; C78 &amp; "", "" &amp; C79 &amp;"&amp;" "", "" &amp; C80 &amp; "", "" &amp; C81 &amp; "", "" &amp; C82 &amp; "", "" &amp; C83 &amp; "", "" &amp; C84 &amp; "", "" &amp; C85 &amp; "", "" &amp; C86 &amp; "", "" &amp; C87 &amp; "", "" &amp; C88 &amp; "". Keep it 5–7 short, sharp steps with pro kitchen lingo and efficient workflow. Format: Dish Name: "" &amp; D74 &amp; "" Meth"&amp;"od: 1. ... 2. ..."", D74:F88)
"),"Dish Name: Chicken Parmy
Method:1.  Schnitzel to fryer.
2.  Plate chips.
3.  Sauce schnitzel, top with ham, mozzarella.
4.  Oven until melted, golden.
5.  Dress side salad.
6.  Portion aioli.
7.  Combine on plate. Fire\!")</f>
        <v>Dish Name: Chicken Parmy
Method:1.  Schnitzel to fryer.
2.  Plate chips.
3.  Sauce schnitzel, top with ham, mozzarella.
4.  Oven until melted, golden.
5.  Dress side salad.
6.  Portion aioli.
7.  Combine on plate. Fire\!</v>
      </c>
      <c r="I77" s="200"/>
      <c r="J77" s="200"/>
      <c r="K77" s="200"/>
      <c r="L77" s="200"/>
      <c r="M77" s="201"/>
      <c r="N77" s="202"/>
    </row>
    <row r="78" outlineLevel="1">
      <c r="A78" s="202"/>
      <c r="B78" s="182">
        <v>3.0</v>
      </c>
      <c r="C78" s="203" t="s">
        <v>343</v>
      </c>
      <c r="D78" s="204">
        <v>25.0</v>
      </c>
      <c r="E78" s="196" t="str">
        <f t="array" ref="E78">IFERROR(XLOOKUP(C78,'Stock List'!$C$5:$C$496,'Stock List'!$E$5:$E$496),"")</f>
        <v>GM</v>
      </c>
      <c r="F78" s="197">
        <f t="array" ref="F78">IFERROR(XLOOKUP(C78,'Stock List'!$C$5:$C$496,'Stock List'!$M$5:$M$496),"")</f>
        <v>0.0121264</v>
      </c>
      <c r="G78" s="198">
        <f t="shared" si="4"/>
        <v>0.30316</v>
      </c>
      <c r="H78" s="205"/>
      <c r="M78" s="206"/>
      <c r="N78" s="202"/>
    </row>
    <row r="79" outlineLevel="1">
      <c r="A79" s="202"/>
      <c r="B79" s="193">
        <v>4.0</v>
      </c>
      <c r="C79" s="194" t="s">
        <v>338</v>
      </c>
      <c r="D79" s="195">
        <v>60.0</v>
      </c>
      <c r="E79" s="196" t="str">
        <f t="array" ref="E79">IFERROR(XLOOKUP(C79,'Stock List'!$C$5:$C$496,'Stock List'!$E$5:$E$496),"")</f>
        <v>GM</v>
      </c>
      <c r="F79" s="197">
        <f t="array" ref="F79">IFERROR(XLOOKUP(C79,'Stock List'!$C$5:$C$496,'Stock List'!$M$5:$M$496),"")</f>
        <v>0.01496295</v>
      </c>
      <c r="G79" s="198">
        <f t="shared" si="4"/>
        <v>0.897777</v>
      </c>
      <c r="H79" s="205"/>
      <c r="M79" s="206"/>
      <c r="N79" s="202"/>
    </row>
    <row r="80" outlineLevel="1">
      <c r="A80" s="202"/>
      <c r="B80" s="182">
        <v>5.0</v>
      </c>
      <c r="C80" s="203" t="s">
        <v>167</v>
      </c>
      <c r="D80" s="204">
        <v>160.0</v>
      </c>
      <c r="E80" s="196" t="str">
        <f t="array" ref="E80">IFERROR(XLOOKUP(C80,'Stock List'!$C$5:$C$496,'Stock List'!$E$5:$E$496),"")</f>
        <v>GM</v>
      </c>
      <c r="F80" s="197">
        <f t="array" ref="F80">IFERROR(XLOOKUP(C80,'Stock List'!$C$5:$C$496,'Stock List'!$M$5:$M$496),"")</f>
        <v>0.00695045</v>
      </c>
      <c r="G80" s="198">
        <f t="shared" si="4"/>
        <v>1.112072</v>
      </c>
      <c r="H80" s="205"/>
      <c r="M80" s="206"/>
      <c r="N80" s="202"/>
    </row>
    <row r="81" outlineLevel="1">
      <c r="A81" s="202"/>
      <c r="B81" s="193">
        <v>6.0</v>
      </c>
      <c r="C81" s="194" t="s">
        <v>578</v>
      </c>
      <c r="D81" s="195">
        <v>1.0</v>
      </c>
      <c r="E81" s="196" t="str">
        <f t="array" ref="E81">IFERROR(XLOOKUP(C81,'Stock List'!$C$5:$C$496,'Stock List'!$E$5:$E$496),"")</f>
        <v>PC</v>
      </c>
      <c r="F81" s="197">
        <f t="array" ref="F81">IFERROR(XLOOKUP(C81,'Stock List'!$C$5:$C$496,'Stock List'!$M$5:$M$496),"")</f>
        <v>1.7316</v>
      </c>
      <c r="G81" s="198">
        <f t="shared" si="4"/>
        <v>1.7316</v>
      </c>
      <c r="H81" s="205"/>
      <c r="M81" s="206"/>
      <c r="N81" s="202"/>
    </row>
    <row r="82" outlineLevel="1">
      <c r="A82" s="202"/>
      <c r="B82" s="182">
        <v>7.0</v>
      </c>
      <c r="C82" s="203" t="s">
        <v>96</v>
      </c>
      <c r="D82" s="204">
        <v>60.0</v>
      </c>
      <c r="E82" s="196" t="str">
        <f t="array" ref="E82">IFERROR(XLOOKUP(C82,'Stock List'!$C$5:$C$496,'Stock List'!$E$5:$E$496),"")</f>
        <v>ML</v>
      </c>
      <c r="F82" s="197">
        <f t="array" ref="F82">IFERROR(XLOOKUP(C82,'Stock List'!$C$5:$C$496,'Stock List'!$M$5:$M$496),"")</f>
        <v>0.00945764</v>
      </c>
      <c r="G82" s="198">
        <f t="shared" si="4"/>
        <v>0.5674584</v>
      </c>
      <c r="H82" s="205"/>
      <c r="M82" s="206"/>
      <c r="N82" s="202"/>
    </row>
    <row r="83" outlineLevel="1">
      <c r="A83" s="202"/>
      <c r="B83" s="193">
        <v>8.0</v>
      </c>
      <c r="C83" s="194"/>
      <c r="D83" s="195"/>
      <c r="E83" s="196" t="str">
        <f t="array" ref="E83">IFERROR(XLOOKUP(C83,'Stock List'!$C$5:$C$496,'Stock List'!$E$5:$E$496),"")</f>
        <v/>
      </c>
      <c r="F83" s="197" t="str">
        <f t="array" ref="F83">IFERROR(XLOOKUP(C83,'Stock List'!$C$5:$C$496,'Stock List'!$M$5:$M$496),"")</f>
        <v/>
      </c>
      <c r="G83" s="198" t="str">
        <f t="shared" si="4"/>
        <v/>
      </c>
      <c r="H83" s="205"/>
      <c r="M83" s="206"/>
      <c r="N83" s="202"/>
    </row>
    <row r="84" outlineLevel="1">
      <c r="A84" s="202"/>
      <c r="B84" s="182">
        <v>9.0</v>
      </c>
      <c r="C84" s="203"/>
      <c r="D84" s="207"/>
      <c r="E84" s="196" t="str">
        <f t="array" ref="E84">IFERROR(XLOOKUP(C84,'Stock List'!$C$5:$C$496,'Stock List'!$E$5:$E$496),"")</f>
        <v/>
      </c>
      <c r="F84" s="197" t="str">
        <f t="array" ref="F84">IFERROR(XLOOKUP(C84,'Stock List'!$C$5:$C$496,'Stock List'!$M$5:$M$496),"")</f>
        <v/>
      </c>
      <c r="G84" s="198" t="str">
        <f t="shared" si="4"/>
        <v/>
      </c>
      <c r="H84" s="205"/>
      <c r="M84" s="206"/>
      <c r="N84" s="202"/>
    </row>
    <row r="85" outlineLevel="1">
      <c r="A85" s="202"/>
      <c r="B85" s="193">
        <v>10.0</v>
      </c>
      <c r="C85" s="194"/>
      <c r="D85" s="208"/>
      <c r="E85" s="196" t="str">
        <f t="array" ref="E85">IFERROR(XLOOKUP(C85,'Stock List'!$C$5:$C$496,'Stock List'!$E$5:$E$496),"")</f>
        <v/>
      </c>
      <c r="F85" s="197" t="str">
        <f t="array" ref="F85">IFERROR(XLOOKUP(C85,'Stock List'!$C$5:$C$496,'Stock List'!$M$5:$M$496),"")</f>
        <v/>
      </c>
      <c r="G85" s="198" t="str">
        <f t="shared" si="4"/>
        <v/>
      </c>
      <c r="H85" s="205"/>
      <c r="M85" s="206"/>
      <c r="N85" s="202"/>
    </row>
    <row r="86" outlineLevel="1">
      <c r="A86" s="202"/>
      <c r="B86" s="182">
        <v>11.0</v>
      </c>
      <c r="C86" s="209"/>
      <c r="D86" s="210"/>
      <c r="E86" s="196" t="str">
        <f t="array" ref="E86">IFERROR(XLOOKUP(C86,'Stock List'!$C$5:$C$496,'Stock List'!$E$5:$E$496),"")</f>
        <v/>
      </c>
      <c r="F86" s="197" t="str">
        <f t="array" ref="F86">IFERROR(XLOOKUP(C86,'Stock List'!$C$5:$C$496,'Stock List'!$M$5:$M$496),"")</f>
        <v/>
      </c>
      <c r="G86" s="198" t="str">
        <f t="shared" si="4"/>
        <v/>
      </c>
      <c r="H86" s="205"/>
      <c r="M86" s="206"/>
      <c r="N86" s="202"/>
    </row>
    <row r="87" outlineLevel="1">
      <c r="A87" s="202"/>
      <c r="B87" s="193">
        <v>12.0</v>
      </c>
      <c r="C87" s="212"/>
      <c r="D87" s="213"/>
      <c r="E87" s="196" t="str">
        <f t="array" ref="E87">IFERROR(XLOOKUP(C87,'Stock List'!$C$5:$C$496,'Stock List'!$E$5:$E$496),"")</f>
        <v/>
      </c>
      <c r="F87" s="197" t="str">
        <f t="array" ref="F87">IFERROR(XLOOKUP(C87,'Stock List'!$C$5:$C$496,'Stock List'!$M$5:$M$496),"")</f>
        <v/>
      </c>
      <c r="G87" s="198" t="str">
        <f t="shared" si="4"/>
        <v/>
      </c>
      <c r="H87" s="205"/>
      <c r="M87" s="206"/>
      <c r="N87" s="202"/>
    </row>
    <row r="88" outlineLevel="1">
      <c r="A88" s="202"/>
      <c r="B88" s="182">
        <v>13.0</v>
      </c>
      <c r="C88" s="209"/>
      <c r="D88" s="210"/>
      <c r="E88" s="196" t="str">
        <f t="array" ref="E88">IFERROR(XLOOKUP(C88,'Stock List'!$C$5:$C$496,'Stock List'!$E$5:$E$496),"")</f>
        <v/>
      </c>
      <c r="F88" s="197" t="str">
        <f t="array" ref="F88">IFERROR(XLOOKUP(C88,'Stock List'!$C$5:$C$496,'Stock List'!$M$5:$M$496),"")</f>
        <v/>
      </c>
      <c r="G88" s="198" t="str">
        <f t="shared" si="4"/>
        <v/>
      </c>
      <c r="H88" s="205"/>
      <c r="M88" s="206"/>
      <c r="N88" s="202"/>
    </row>
    <row r="89" outlineLevel="1">
      <c r="A89" s="202"/>
      <c r="B89" s="214" t="s">
        <v>596</v>
      </c>
      <c r="C89" s="215"/>
      <c r="D89" s="216">
        <v>1.0</v>
      </c>
      <c r="E89" s="217"/>
      <c r="F89" s="218" t="s">
        <v>597</v>
      </c>
      <c r="G89" s="219">
        <f>SUM(G76:G88)</f>
        <v>8.320894067</v>
      </c>
      <c r="H89" s="205"/>
      <c r="M89" s="206"/>
      <c r="N89" s="202"/>
    </row>
    <row r="90" outlineLevel="1">
      <c r="A90" s="202"/>
      <c r="B90" s="221" t="s">
        <v>598</v>
      </c>
      <c r="C90" s="222"/>
      <c r="D90" s="223">
        <v>0.7</v>
      </c>
      <c r="E90" s="224"/>
      <c r="F90" s="225"/>
      <c r="G90" s="226"/>
      <c r="H90" s="205"/>
      <c r="M90" s="206"/>
      <c r="N90" s="202"/>
    </row>
    <row r="91" outlineLevel="1">
      <c r="A91" s="202"/>
      <c r="B91" s="228" t="s">
        <v>599</v>
      </c>
      <c r="C91" s="189"/>
      <c r="D91" s="229"/>
      <c r="E91" s="230"/>
      <c r="F91" s="231"/>
      <c r="G91" s="232">
        <f>(I75/(1+Settings!$D$6))</f>
        <v>28.09090909</v>
      </c>
      <c r="H91" s="205"/>
      <c r="M91" s="206"/>
      <c r="N91" s="202"/>
    </row>
    <row r="92" outlineLevel="1">
      <c r="A92" s="202"/>
      <c r="B92" s="234" t="s">
        <v>600</v>
      </c>
      <c r="C92" s="189"/>
      <c r="D92" s="229"/>
      <c r="E92" s="230"/>
      <c r="F92" s="231"/>
      <c r="G92" s="235"/>
      <c r="H92" s="205"/>
      <c r="M92" s="206"/>
      <c r="N92" s="202"/>
    </row>
    <row r="93" outlineLevel="1">
      <c r="A93" s="202"/>
      <c r="B93" s="237" t="s">
        <v>601</v>
      </c>
      <c r="C93" s="189"/>
      <c r="D93" s="238"/>
      <c r="E93" s="230"/>
      <c r="F93" s="231"/>
      <c r="G93" s="239">
        <f>iferror(if(and(Settings!$D$8=true,Settings!$D$9=true),(roundup(($G89/(1-$D90))/$D89*(1+Settings!$D$6),0)-0.1),if(Settings!$D$9=true,ceiling(($G89/(1-$D90))/$D89*(1+Settings!$D$6),1),if(Settings!$D$8=true,CEILING((($G89/(1-$D90)))/$D89*(1+Settings!$D$6),0.5)-0.01,(($G89/(1-$D90)))/$D89*(1+Settings!$D$6)))),"")</f>
        <v>30.9</v>
      </c>
      <c r="H93" s="205"/>
      <c r="M93" s="206"/>
      <c r="N93" s="202"/>
    </row>
    <row r="94" outlineLevel="1">
      <c r="A94" s="202"/>
      <c r="B94" s="240" t="s">
        <v>602</v>
      </c>
      <c r="C94" s="189"/>
      <c r="D94" s="224"/>
      <c r="E94" s="241"/>
      <c r="F94" s="242">
        <f>iferror(G89/D89,"")</f>
        <v>8.320894067</v>
      </c>
      <c r="G94" s="243">
        <f>iferror(F94/G91,0)</f>
        <v>0.2962130574</v>
      </c>
      <c r="H94" s="205"/>
      <c r="M94" s="206"/>
      <c r="N94" s="202"/>
    </row>
    <row r="95" outlineLevel="1">
      <c r="A95" s="202"/>
      <c r="B95" s="246" t="s">
        <v>603</v>
      </c>
      <c r="C95" s="247"/>
      <c r="D95" s="248"/>
      <c r="E95" s="249"/>
      <c r="F95" s="250">
        <f>$G91-$F94</f>
        <v>19.77001502</v>
      </c>
      <c r="G95" s="251">
        <f>iferror((G91-F94)/G91,0)</f>
        <v>0.7037869426</v>
      </c>
      <c r="H95" s="252"/>
      <c r="I95" s="253"/>
      <c r="J95" s="253"/>
      <c r="K95" s="253"/>
      <c r="L95" s="253"/>
      <c r="M95" s="254"/>
      <c r="N95" s="202"/>
    </row>
    <row r="96" outlineLevel="1">
      <c r="A96" s="202"/>
      <c r="B96" s="256"/>
      <c r="C96" s="202"/>
      <c r="D96" s="256"/>
      <c r="E96" s="202"/>
      <c r="F96" s="202"/>
      <c r="G96" s="256"/>
      <c r="H96" s="256"/>
      <c r="I96" s="202"/>
      <c r="J96" s="256"/>
      <c r="K96" s="256"/>
      <c r="L96" s="256"/>
      <c r="M96" s="256"/>
      <c r="N96" s="202"/>
    </row>
    <row r="97" outlineLevel="1">
      <c r="A97" s="202"/>
      <c r="B97" s="256"/>
      <c r="C97" s="202"/>
      <c r="D97" s="256"/>
      <c r="E97" s="202"/>
      <c r="F97" s="202"/>
      <c r="G97" s="256"/>
      <c r="H97" s="256"/>
      <c r="I97" s="202"/>
      <c r="J97" s="256"/>
      <c r="K97" s="256"/>
      <c r="L97" s="256"/>
      <c r="M97" s="256"/>
      <c r="N97" s="202"/>
    </row>
    <row r="98">
      <c r="A98" s="202"/>
      <c r="B98" s="160" t="s">
        <v>583</v>
      </c>
      <c r="C98" s="161"/>
      <c r="D98" s="162" t="s">
        <v>607</v>
      </c>
      <c r="E98" s="161"/>
      <c r="F98" s="161"/>
      <c r="G98" s="163"/>
      <c r="H98" s="164" t="str">
        <f>Settings!$D$4</f>
        <v>PrepFlow</v>
      </c>
      <c r="I98" s="165" t="s">
        <v>585</v>
      </c>
      <c r="J98" s="166" t="s">
        <v>586</v>
      </c>
      <c r="K98" s="167" t="s">
        <v>587</v>
      </c>
      <c r="L98" s="167" t="s">
        <v>588</v>
      </c>
      <c r="M98" s="168" t="s">
        <v>589</v>
      </c>
      <c r="N98" s="202"/>
    </row>
    <row r="99">
      <c r="A99" s="202"/>
      <c r="B99" s="170" t="s">
        <v>590</v>
      </c>
      <c r="C99" s="171"/>
      <c r="D99" s="172" t="s">
        <v>591</v>
      </c>
      <c r="E99" s="173" t="s">
        <v>592</v>
      </c>
      <c r="F99" s="173" t="s">
        <v>593</v>
      </c>
      <c r="G99" s="174" t="s">
        <v>594</v>
      </c>
      <c r="H99" s="175" t="str">
        <f>D98</f>
        <v>Chefs Burger</v>
      </c>
      <c r="I99" s="176">
        <f>iferror(IF(G116="",G117,G116),"Something went wrong")</f>
        <v>25.9</v>
      </c>
      <c r="J99" s="177">
        <f>iferror($F118,"")</f>
        <v>6.897037594</v>
      </c>
      <c r="K99" s="178">
        <f>$G118</f>
        <v>0.2929243766</v>
      </c>
      <c r="L99" s="176">
        <f>iferror($F119,"")</f>
        <v>16.64841695</v>
      </c>
      <c r="M99" s="179">
        <f>$G119</f>
        <v>0.7070756234</v>
      </c>
      <c r="N99" s="202"/>
    </row>
    <row r="100" outlineLevel="1">
      <c r="A100" s="202"/>
      <c r="B100" s="182">
        <v>1.0</v>
      </c>
      <c r="C100" s="183" t="s">
        <v>95</v>
      </c>
      <c r="D100" s="184">
        <v>1.0</v>
      </c>
      <c r="E100" s="185" t="str">
        <f t="array" ref="E100">IFERROR(XLOOKUP(C100,'Stock List'!$C$5:$C$496,'Stock List'!$E$5:$E$496),"")</f>
        <v>PC</v>
      </c>
      <c r="F100" s="186">
        <f t="array" ref="F100">IFERROR(XLOOKUP(C100,'Stock List'!$C$5:$C$496,'Stock List'!$M$5:$M$496),"")</f>
        <v>2.716675556</v>
      </c>
      <c r="G100" s="187">
        <f t="shared" ref="G100:G112" si="5">if(D100*F100=0,"",D100*F100)</f>
        <v>2.716675556</v>
      </c>
      <c r="H100" s="188" t="s">
        <v>595</v>
      </c>
      <c r="I100" s="189"/>
      <c r="J100" s="189"/>
      <c r="K100" s="189"/>
      <c r="L100" s="189"/>
      <c r="M100" s="190"/>
      <c r="N100" s="202"/>
    </row>
    <row r="101" outlineLevel="1">
      <c r="A101" s="202"/>
      <c r="B101" s="193">
        <v>2.0</v>
      </c>
      <c r="C101" s="194" t="s">
        <v>551</v>
      </c>
      <c r="D101" s="195">
        <v>20.0</v>
      </c>
      <c r="E101" s="196" t="str">
        <f t="array" ref="E101">IFERROR(XLOOKUP(C101,'Stock List'!$C$5:$C$496,'Stock List'!$E$5:$E$496),"")</f>
        <v>GM</v>
      </c>
      <c r="F101" s="197">
        <f t="array" ref="F101">IFERROR(XLOOKUP(C101,'Stock List'!$C$5:$C$496,'Stock List'!$M$5:$M$496),"")</f>
        <v>0.012393</v>
      </c>
      <c r="G101" s="198">
        <f t="shared" si="5"/>
        <v>0.24786</v>
      </c>
      <c r="H101" s="199" t="str">
        <f>IFERROR(__xludf.DUMMYFUNCTION("AI(""You’re a seasoned chef talking to another chef in the middle of a busy service. No fluff, no storytelling — just straight, rapid-fire instructions for "" &amp; D98 &amp; "" using only these ingredients: "" &amp; C100 &amp; "", "" &amp; C101 &amp; "", "" &amp; C102 &amp; "", "" &amp; C1"&amp;"03 &amp; "", "" &amp; C104 &amp; "", "" &amp; C105 &amp; "", "" &amp; C106 &amp; "", "" &amp; C107 &amp; "", "" &amp; C108 &amp; "", "" &amp; C109 &amp; "", "" &amp; C110 &amp; "", "" &amp; C111 &amp; "", "" &amp; C112 &amp; "". Keep it 5–7 short, sharp steps with pro kitchen lingo and efficient workflow. Format: Dish Name: "" &amp; "&amp;"D98 &amp; "" Method: 1. ... 2. ..."", D98:F112)
"),"Dish Name: Chefs Burger
Method:1.  Grill patties and bacon to temp.
2.  Toast brioche bun.
3.  Dress bun with aioli and mayonnaise.
4.  Stack patty, cheese, bacon, jalapenos, and pickles.
5.  Finish with fried shallots. Serve with chips.")</f>
        <v>Dish Name: Chefs Burger
Method:1.  Grill patties and bacon to temp.
2.  Toast brioche bun.
3.  Dress bun with aioli and mayonnaise.
4.  Stack patty, cheese, bacon, jalapenos, and pickles.
5.  Finish with fried shallots. Serve with chips.</v>
      </c>
      <c r="I101" s="200"/>
      <c r="J101" s="200"/>
      <c r="K101" s="200"/>
      <c r="L101" s="200"/>
      <c r="M101" s="201"/>
      <c r="N101" s="202"/>
    </row>
    <row r="102" outlineLevel="1">
      <c r="A102" s="202"/>
      <c r="B102" s="182">
        <v>3.0</v>
      </c>
      <c r="C102" s="203" t="s">
        <v>96</v>
      </c>
      <c r="D102" s="204">
        <v>20.0</v>
      </c>
      <c r="E102" s="196" t="str">
        <f t="array" ref="E102">IFERROR(XLOOKUP(C102,'Stock List'!$C$5:$C$496,'Stock List'!$E$5:$E$496),"")</f>
        <v>ML</v>
      </c>
      <c r="F102" s="197">
        <f t="array" ref="F102">IFERROR(XLOOKUP(C102,'Stock List'!$C$5:$C$496,'Stock List'!$M$5:$M$496),"")</f>
        <v>0.00945764</v>
      </c>
      <c r="G102" s="198">
        <f t="shared" si="5"/>
        <v>0.1891528</v>
      </c>
      <c r="H102" s="205"/>
      <c r="M102" s="206"/>
      <c r="N102" s="202"/>
    </row>
    <row r="103" outlineLevel="1">
      <c r="A103" s="202"/>
      <c r="B103" s="193">
        <v>4.0</v>
      </c>
      <c r="C103" s="194" t="s">
        <v>248</v>
      </c>
      <c r="D103" s="195">
        <v>20.0</v>
      </c>
      <c r="E103" s="196" t="str">
        <f t="array" ref="E103">IFERROR(XLOOKUP(C103,'Stock List'!$C$5:$C$496,'Stock List'!$E$5:$E$496),"")</f>
        <v>GM</v>
      </c>
      <c r="F103" s="197">
        <f t="array" ref="F103">IFERROR(XLOOKUP(C103,'Stock List'!$C$5:$C$496,'Stock List'!$M$5:$M$496),"")</f>
        <v>0.004060485</v>
      </c>
      <c r="G103" s="198">
        <f t="shared" si="5"/>
        <v>0.0812097</v>
      </c>
      <c r="H103" s="205"/>
      <c r="M103" s="206"/>
      <c r="N103" s="202"/>
    </row>
    <row r="104" outlineLevel="1">
      <c r="A104" s="202"/>
      <c r="B104" s="182">
        <v>5.0</v>
      </c>
      <c r="C104" s="203" t="s">
        <v>227</v>
      </c>
      <c r="D104" s="204">
        <v>20.0</v>
      </c>
      <c r="E104" s="196" t="str">
        <f t="array" ref="E104">IFERROR(XLOOKUP(C104,'Stock List'!$C$5:$C$496,'Stock List'!$E$5:$E$496),"")</f>
        <v>GM</v>
      </c>
      <c r="F104" s="197">
        <f t="array" ref="F104">IFERROR(XLOOKUP(C104,'Stock List'!$C$5:$C$496,'Stock List'!$M$5:$M$496),"")</f>
        <v>0.004042133333</v>
      </c>
      <c r="G104" s="198">
        <f t="shared" si="5"/>
        <v>0.08084266667</v>
      </c>
      <c r="H104" s="205"/>
      <c r="M104" s="206"/>
      <c r="N104" s="202"/>
    </row>
    <row r="105" outlineLevel="1">
      <c r="A105" s="202"/>
      <c r="B105" s="193">
        <v>6.0</v>
      </c>
      <c r="C105" s="194" t="s">
        <v>283</v>
      </c>
      <c r="D105" s="195">
        <v>15.0</v>
      </c>
      <c r="E105" s="196" t="str">
        <f t="array" ref="E105">IFERROR(XLOOKUP(C105,'Stock List'!$C$5:$C$496,'Stock List'!$E$5:$E$496),"")</f>
        <v>GM</v>
      </c>
      <c r="F105" s="197">
        <f t="array" ref="F105">IFERROR(XLOOKUP(C105,'Stock List'!$C$5:$C$496,'Stock List'!$M$5:$M$496),"")</f>
        <v>0.0055208</v>
      </c>
      <c r="G105" s="198">
        <f t="shared" si="5"/>
        <v>0.082812</v>
      </c>
      <c r="H105" s="205"/>
      <c r="M105" s="206"/>
      <c r="N105" s="202"/>
    </row>
    <row r="106" outlineLevel="1">
      <c r="A106" s="202"/>
      <c r="B106" s="182">
        <v>7.0</v>
      </c>
      <c r="C106" s="203" t="s">
        <v>128</v>
      </c>
      <c r="D106" s="204">
        <v>1.0</v>
      </c>
      <c r="E106" s="196" t="str">
        <f t="array" ref="E106">IFERROR(XLOOKUP(C106,'Stock List'!$C$5:$C$496,'Stock List'!$E$5:$E$496),"")</f>
        <v>PC</v>
      </c>
      <c r="F106" s="197">
        <f t="array" ref="F106">IFERROR(XLOOKUP(C106,'Stock List'!$C$5:$C$496,'Stock List'!$M$5:$M$496),"")</f>
        <v>1.519366071</v>
      </c>
      <c r="G106" s="198">
        <f t="shared" si="5"/>
        <v>1.519366071</v>
      </c>
      <c r="H106" s="205"/>
      <c r="M106" s="206"/>
      <c r="N106" s="202"/>
    </row>
    <row r="107" outlineLevel="1">
      <c r="A107" s="202"/>
      <c r="B107" s="193">
        <v>8.0</v>
      </c>
      <c r="C107" s="194" t="s">
        <v>342</v>
      </c>
      <c r="D107" s="195">
        <v>1.0</v>
      </c>
      <c r="E107" s="196" t="str">
        <f t="array" ref="E107">IFERROR(XLOOKUP(C107,'Stock List'!$C$5:$C$496,'Stock List'!$E$5:$E$496),"")</f>
        <v>PC</v>
      </c>
      <c r="F107" s="197">
        <f t="array" ref="F107">IFERROR(XLOOKUP(C107,'Stock List'!$C$5:$C$496,'Stock List'!$M$5:$M$496),"")</f>
        <v>0.51635</v>
      </c>
      <c r="G107" s="198">
        <f t="shared" si="5"/>
        <v>0.51635</v>
      </c>
      <c r="H107" s="205"/>
      <c r="M107" s="206"/>
      <c r="N107" s="202"/>
    </row>
    <row r="108" outlineLevel="1">
      <c r="A108" s="202"/>
      <c r="B108" s="182">
        <v>9.0</v>
      </c>
      <c r="C108" s="203" t="s">
        <v>167</v>
      </c>
      <c r="D108" s="204">
        <v>120.0</v>
      </c>
      <c r="E108" s="196" t="str">
        <f t="array" ref="E108">IFERROR(XLOOKUP(C108,'Stock List'!$C$5:$C$496,'Stock List'!$E$5:$E$496),"")</f>
        <v>GM</v>
      </c>
      <c r="F108" s="197">
        <f t="array" ref="F108">IFERROR(XLOOKUP(C108,'Stock List'!$C$5:$C$496,'Stock List'!$M$5:$M$496),"")</f>
        <v>0.00695045</v>
      </c>
      <c r="G108" s="198">
        <f t="shared" si="5"/>
        <v>0.834054</v>
      </c>
      <c r="H108" s="205"/>
      <c r="M108" s="206"/>
      <c r="N108" s="202"/>
    </row>
    <row r="109" outlineLevel="1">
      <c r="A109" s="202"/>
      <c r="B109" s="193">
        <v>10.0</v>
      </c>
      <c r="C109" s="194" t="s">
        <v>316</v>
      </c>
      <c r="D109" s="195">
        <v>35.0</v>
      </c>
      <c r="E109" s="196" t="str">
        <f t="array" ref="E109">IFERROR(XLOOKUP(C109,'Stock List'!$C$5:$C$496,'Stock List'!$E$5:$E$496),"")</f>
        <v>GM</v>
      </c>
      <c r="F109" s="197">
        <f t="array" ref="F109">IFERROR(XLOOKUP(C109,'Stock List'!$C$5:$C$496,'Stock List'!$M$5:$M$496),"")</f>
        <v>0.01796328</v>
      </c>
      <c r="G109" s="198">
        <f t="shared" si="5"/>
        <v>0.6287148</v>
      </c>
      <c r="H109" s="205"/>
      <c r="M109" s="206"/>
      <c r="N109" s="202"/>
    </row>
    <row r="110" outlineLevel="1">
      <c r="A110" s="202"/>
      <c r="B110" s="182">
        <v>11.0</v>
      </c>
      <c r="C110" s="203"/>
      <c r="D110" s="259"/>
      <c r="E110" s="196" t="str">
        <f t="array" ref="E110">IFERROR(XLOOKUP(C110,'Stock List'!$C$5:$C$496,'Stock List'!$E$5:$E$496),"")</f>
        <v/>
      </c>
      <c r="F110" s="197" t="str">
        <f t="array" ref="F110">IFERROR(XLOOKUP(C110,'Stock List'!$C$5:$C$496,'Stock List'!$M$5:$M$496),"")</f>
        <v/>
      </c>
      <c r="G110" s="198" t="str">
        <f t="shared" si="5"/>
        <v/>
      </c>
      <c r="H110" s="205"/>
      <c r="M110" s="206"/>
      <c r="N110" s="202"/>
    </row>
    <row r="111" outlineLevel="1">
      <c r="A111" s="202"/>
      <c r="B111" s="193">
        <v>12.0</v>
      </c>
      <c r="C111" s="212"/>
      <c r="D111" s="260"/>
      <c r="E111" s="196" t="str">
        <f t="array" ref="E111">IFERROR(XLOOKUP(C111,'Stock List'!$C$5:$C$496,'Stock List'!$E$5:$E$496),"")</f>
        <v/>
      </c>
      <c r="F111" s="197" t="str">
        <f t="array" ref="F111">IFERROR(XLOOKUP(C111,'Stock List'!$C$5:$C$496,'Stock List'!$M$5:$M$496),"")</f>
        <v/>
      </c>
      <c r="G111" s="198" t="str">
        <f t="shared" si="5"/>
        <v/>
      </c>
      <c r="H111" s="205"/>
      <c r="M111" s="206"/>
      <c r="N111" s="202"/>
    </row>
    <row r="112" outlineLevel="1">
      <c r="A112" s="202"/>
      <c r="B112" s="182">
        <v>13.0</v>
      </c>
      <c r="C112" s="209"/>
      <c r="D112" s="259"/>
      <c r="E112" s="196" t="str">
        <f t="array" ref="E112">IFERROR(XLOOKUP(C112,'Stock List'!$C$5:$C$496,'Stock List'!$E$5:$E$496),"")</f>
        <v/>
      </c>
      <c r="F112" s="197" t="str">
        <f t="array" ref="F112">IFERROR(XLOOKUP(C112,'Stock List'!$C$5:$C$496,'Stock List'!$M$5:$M$496),"")</f>
        <v/>
      </c>
      <c r="G112" s="198" t="str">
        <f t="shared" si="5"/>
        <v/>
      </c>
      <c r="H112" s="205"/>
      <c r="M112" s="206"/>
      <c r="N112" s="202"/>
    </row>
    <row r="113" outlineLevel="1">
      <c r="A113" s="202"/>
      <c r="B113" s="214" t="s">
        <v>596</v>
      </c>
      <c r="C113" s="215"/>
      <c r="D113" s="216">
        <v>1.0</v>
      </c>
      <c r="E113" s="217"/>
      <c r="F113" s="218" t="s">
        <v>597</v>
      </c>
      <c r="G113" s="219">
        <f>SUM(G100:G112)</f>
        <v>6.897037594</v>
      </c>
      <c r="H113" s="205"/>
      <c r="M113" s="206"/>
      <c r="N113" s="202"/>
    </row>
    <row r="114" outlineLevel="1">
      <c r="A114" s="202"/>
      <c r="B114" s="221" t="s">
        <v>598</v>
      </c>
      <c r="C114" s="222"/>
      <c r="D114" s="223">
        <v>0.7</v>
      </c>
      <c r="E114" s="224"/>
      <c r="F114" s="225"/>
      <c r="G114" s="226"/>
      <c r="H114" s="205"/>
      <c r="M114" s="206"/>
      <c r="N114" s="202"/>
    </row>
    <row r="115" outlineLevel="1">
      <c r="A115" s="202"/>
      <c r="B115" s="228" t="s">
        <v>599</v>
      </c>
      <c r="C115" s="189"/>
      <c r="D115" s="229"/>
      <c r="E115" s="230"/>
      <c r="F115" s="231"/>
      <c r="G115" s="232">
        <f>(I99/(1+Settings!$D$6))</f>
        <v>23.54545455</v>
      </c>
      <c r="H115" s="205"/>
      <c r="M115" s="206"/>
      <c r="N115" s="202"/>
    </row>
    <row r="116" outlineLevel="1">
      <c r="A116" s="202"/>
      <c r="B116" s="234" t="s">
        <v>600</v>
      </c>
      <c r="C116" s="189"/>
      <c r="D116" s="229"/>
      <c r="E116" s="230"/>
      <c r="F116" s="231"/>
      <c r="G116" s="235"/>
      <c r="H116" s="205"/>
      <c r="M116" s="206"/>
      <c r="N116" s="202"/>
    </row>
    <row r="117" outlineLevel="1">
      <c r="A117" s="202"/>
      <c r="B117" s="237" t="s">
        <v>601</v>
      </c>
      <c r="C117" s="189"/>
      <c r="D117" s="238"/>
      <c r="E117" s="230"/>
      <c r="F117" s="231"/>
      <c r="G117" s="239">
        <f>iferror(if(and(Settings!$D$8=true,Settings!$D$9=true),(roundup(($G113/(1-$D114))/$D113*(1+Settings!$D$6),0)-0.1),if(Settings!$D$9=true,ceiling(($G113/(1-$D114))/$D113*(1+Settings!$D$6),1),if(Settings!$D$8=true,CEILING((($G113/(1-$D114)))/$D113*(1+Settings!$D$6),0.5)-0.01,(($G113/(1-$D114)))/$D113*(1+Settings!$D$6)))),"")</f>
        <v>25.9</v>
      </c>
      <c r="H117" s="205"/>
      <c r="M117" s="206"/>
      <c r="N117" s="202"/>
    </row>
    <row r="118" outlineLevel="1">
      <c r="A118" s="202"/>
      <c r="B118" s="240" t="s">
        <v>602</v>
      </c>
      <c r="C118" s="189"/>
      <c r="D118" s="224"/>
      <c r="E118" s="241"/>
      <c r="F118" s="242">
        <f>iferror(G113/D113,"")</f>
        <v>6.897037594</v>
      </c>
      <c r="G118" s="243">
        <f>iferror(F118/G115,0)</f>
        <v>0.2929243766</v>
      </c>
      <c r="H118" s="205"/>
      <c r="M118" s="206"/>
      <c r="N118" s="202"/>
    </row>
    <row r="119" outlineLevel="1">
      <c r="A119" s="202"/>
      <c r="B119" s="246" t="s">
        <v>603</v>
      </c>
      <c r="C119" s="247"/>
      <c r="D119" s="248"/>
      <c r="E119" s="249"/>
      <c r="F119" s="250">
        <f>$G115-$F118</f>
        <v>16.64841695</v>
      </c>
      <c r="G119" s="251">
        <f>iferror((G115-F118)/G115,0)</f>
        <v>0.7070756234</v>
      </c>
      <c r="H119" s="252"/>
      <c r="I119" s="253"/>
      <c r="J119" s="253"/>
      <c r="K119" s="253"/>
      <c r="L119" s="253"/>
      <c r="M119" s="254"/>
      <c r="N119" s="202"/>
    </row>
    <row r="120" outlineLevel="1">
      <c r="A120" s="202"/>
      <c r="B120" s="256"/>
      <c r="C120" s="202"/>
      <c r="D120" s="256"/>
      <c r="E120" s="202"/>
      <c r="F120" s="202"/>
      <c r="G120" s="256"/>
      <c r="H120" s="256"/>
      <c r="I120" s="202"/>
      <c r="J120" s="256"/>
      <c r="K120" s="256"/>
      <c r="L120" s="256"/>
      <c r="M120" s="256"/>
      <c r="N120" s="202"/>
    </row>
    <row r="121" outlineLevel="1">
      <c r="A121" s="202"/>
      <c r="B121" s="256"/>
      <c r="C121" s="202"/>
      <c r="D121" s="256"/>
      <c r="E121" s="202"/>
      <c r="F121" s="202"/>
      <c r="G121" s="256"/>
      <c r="H121" s="256"/>
      <c r="I121" s="202"/>
      <c r="J121" s="256"/>
      <c r="K121" s="256"/>
      <c r="L121" s="256"/>
      <c r="M121" s="256"/>
      <c r="N121" s="202"/>
    </row>
    <row r="122">
      <c r="A122" s="202"/>
      <c r="B122" s="160" t="s">
        <v>583</v>
      </c>
      <c r="C122" s="161"/>
      <c r="D122" s="162" t="s">
        <v>608</v>
      </c>
      <c r="E122" s="161"/>
      <c r="F122" s="161"/>
      <c r="G122" s="163"/>
      <c r="H122" s="164" t="str">
        <f>Settings!$D$4</f>
        <v>PrepFlow</v>
      </c>
      <c r="I122" s="165" t="s">
        <v>585</v>
      </c>
      <c r="J122" s="166" t="s">
        <v>586</v>
      </c>
      <c r="K122" s="167" t="s">
        <v>587</v>
      </c>
      <c r="L122" s="167" t="s">
        <v>588</v>
      </c>
      <c r="M122" s="168" t="s">
        <v>589</v>
      </c>
      <c r="N122" s="202"/>
    </row>
    <row r="123">
      <c r="A123" s="202"/>
      <c r="B123" s="170" t="s">
        <v>590</v>
      </c>
      <c r="C123" s="171"/>
      <c r="D123" s="172" t="s">
        <v>591</v>
      </c>
      <c r="E123" s="173" t="s">
        <v>592</v>
      </c>
      <c r="F123" s="173" t="s">
        <v>593</v>
      </c>
      <c r="G123" s="174" t="s">
        <v>594</v>
      </c>
      <c r="H123" s="175" t="str">
        <f>D122</f>
        <v>Pizza Hawaii</v>
      </c>
      <c r="I123" s="176">
        <f>iferror(IF(G140="",G141,G140),"Something went wrong")</f>
        <v>13.9</v>
      </c>
      <c r="J123" s="177">
        <f>iferror($F142,"")</f>
        <v>3.774418913</v>
      </c>
      <c r="K123" s="178">
        <f>$G142</f>
        <v>0.2986950219</v>
      </c>
      <c r="L123" s="176">
        <f>iferror($F143,"")</f>
        <v>8.861944723</v>
      </c>
      <c r="M123" s="179">
        <f>$G143</f>
        <v>0.7013049781</v>
      </c>
      <c r="N123" s="202"/>
    </row>
    <row r="124" outlineLevel="1">
      <c r="A124" s="202"/>
      <c r="B124" s="182">
        <v>1.0</v>
      </c>
      <c r="C124" s="183" t="s">
        <v>287</v>
      </c>
      <c r="D124" s="184">
        <v>2.0</v>
      </c>
      <c r="E124" s="185" t="str">
        <f t="array" ref="E124">IFERROR(XLOOKUP(C124,'Stock List'!$C$5:$C$496,'Stock List'!$E$5:$E$496),"")</f>
        <v>PC</v>
      </c>
      <c r="F124" s="186">
        <f t="array" ref="F124">IFERROR(XLOOKUP(C124,'Stock List'!$C$5:$C$496,'Stock List'!$M$5:$M$496),"")</f>
        <v>1.71262</v>
      </c>
      <c r="G124" s="187">
        <f t="shared" ref="G124:G136" si="6">if(D124*F124=0,"",D124*F124)</f>
        <v>3.42524</v>
      </c>
      <c r="H124" s="188" t="s">
        <v>595</v>
      </c>
      <c r="I124" s="189"/>
      <c r="J124" s="189"/>
      <c r="K124" s="189"/>
      <c r="L124" s="189"/>
      <c r="M124" s="190"/>
      <c r="N124" s="202"/>
    </row>
    <row r="125" outlineLevel="1">
      <c r="A125" s="202"/>
      <c r="B125" s="193">
        <v>2.0</v>
      </c>
      <c r="C125" s="194" t="s">
        <v>275</v>
      </c>
      <c r="D125" s="195">
        <v>1.0</v>
      </c>
      <c r="E125" s="196" t="str">
        <f t="array" ref="E125">IFERROR(XLOOKUP(C125,'Stock List'!$C$5:$C$496,'Stock List'!$E$5:$E$496),"")</f>
        <v>GM</v>
      </c>
      <c r="F125" s="197">
        <f t="array" ref="F125">IFERROR(XLOOKUP(C125,'Stock List'!$C$5:$C$496,'Stock List'!$M$5:$M$496),"")</f>
        <v>0.006007666667</v>
      </c>
      <c r="G125" s="198">
        <f t="shared" si="6"/>
        <v>0.006007666667</v>
      </c>
      <c r="H125" s="199" t="str">
        <f>IFERROR(__xludf.DUMMYFUNCTION("AI(""You’re a seasoned chef talking to another chef in the middle of a busy service. No fluff, no storytelling — just straight, rapid-fire instructions for "" &amp; D122 &amp; "" using only these ingredients: "" &amp; C124 &amp; "", "" &amp; C125 &amp; "", "" &amp; C126 &amp; "", "" &amp; C"&amp;"127 &amp; "", "" &amp; C128 &amp; "", "" &amp; C129 &amp; "", "" &amp; C130 &amp; "", "" &amp; C131 &amp; "", "" &amp; C132 &amp; "", "" &amp; C133 &amp; "", "" &amp; C134 &amp; "", "" &amp; C135 &amp; "", "" &amp; C136 &amp; "". Keep it 5–7 short, sharp steps with pro kitchen lingo and efficient workflow. Format: Dish Name: "" &amp;"&amp;" D122 &amp; "" Method: 1. ... 2. ..."", D122:F136)
"),"Dish Name: Pizza Hawaii
Method:1.  Grab a 'Pizza Base 10 Classic.'
2.  Spread 'Parmi Sauce' evenly, edge to edge.
3.  Layer 'Sliced Ham,' then 'Pineapple Slices.'
4.  Top with a generous hand of 'Shredded Mozzarella.'
5.  Oven at 500F for 8-10. Get it gol"&amp;"den.
6.  Slice and serve.")</f>
        <v>Dish Name: Pizza Hawaii
Method:1.  Grab a 'Pizza Base 10 Classic.'
2.  Spread 'Parmi Sauce' evenly, edge to edge.
3.  Layer 'Sliced Ham,' then 'Pineapple Slices.'
4.  Top with a generous hand of 'Shredded Mozzarella.'
5.  Oven at 500F for 8-10. Get it golden.
6.  Slice and serve.</v>
      </c>
      <c r="I125" s="200"/>
      <c r="J125" s="200"/>
      <c r="K125" s="200"/>
      <c r="L125" s="200"/>
      <c r="M125" s="201"/>
      <c r="N125" s="202"/>
    </row>
    <row r="126" outlineLevel="1">
      <c r="A126" s="202"/>
      <c r="B126" s="182">
        <v>3.0</v>
      </c>
      <c r="C126" s="203" t="s">
        <v>343</v>
      </c>
      <c r="D126" s="204">
        <v>10.0</v>
      </c>
      <c r="E126" s="196" t="str">
        <f t="array" ref="E126">IFERROR(XLOOKUP(C126,'Stock List'!$C$5:$C$496,'Stock List'!$E$5:$E$496),"")</f>
        <v>GM</v>
      </c>
      <c r="F126" s="197">
        <f t="array" ref="F126">IFERROR(XLOOKUP(C126,'Stock List'!$C$5:$C$496,'Stock List'!$M$5:$M$496),"")</f>
        <v>0.0121264</v>
      </c>
      <c r="G126" s="198">
        <f t="shared" si="6"/>
        <v>0.121264</v>
      </c>
      <c r="H126" s="205"/>
      <c r="M126" s="206"/>
      <c r="N126" s="202"/>
    </row>
    <row r="127" outlineLevel="1">
      <c r="A127" s="202"/>
      <c r="B127" s="193">
        <v>4.0</v>
      </c>
      <c r="C127" s="194" t="s">
        <v>285</v>
      </c>
      <c r="D127" s="195">
        <v>20.0</v>
      </c>
      <c r="E127" s="196" t="str">
        <f t="array" ref="E127">IFERROR(XLOOKUP(C127,'Stock List'!$C$5:$C$496,'Stock List'!$E$5:$E$496),"")</f>
        <v>GM</v>
      </c>
      <c r="F127" s="197">
        <f t="array" ref="F127">IFERROR(XLOOKUP(C127,'Stock List'!$C$5:$C$496,'Stock List'!$M$5:$M$496),"")</f>
        <v>0.003613887324</v>
      </c>
      <c r="G127" s="198">
        <f t="shared" si="6"/>
        <v>0.07227774648</v>
      </c>
      <c r="H127" s="205"/>
      <c r="M127" s="206"/>
      <c r="N127" s="202"/>
    </row>
    <row r="128" outlineLevel="1">
      <c r="A128" s="202"/>
      <c r="B128" s="182">
        <v>5.0</v>
      </c>
      <c r="C128" s="203" t="s">
        <v>338</v>
      </c>
      <c r="D128" s="204">
        <v>10.0</v>
      </c>
      <c r="E128" s="196" t="str">
        <f t="array" ref="E128">IFERROR(XLOOKUP(C128,'Stock List'!$C$5:$C$496,'Stock List'!$E$5:$E$496),"")</f>
        <v>GM</v>
      </c>
      <c r="F128" s="197">
        <f t="array" ref="F128">IFERROR(XLOOKUP(C128,'Stock List'!$C$5:$C$496,'Stock List'!$M$5:$M$496),"")</f>
        <v>0.01496295</v>
      </c>
      <c r="G128" s="198">
        <f t="shared" si="6"/>
        <v>0.1496295</v>
      </c>
      <c r="H128" s="205"/>
      <c r="M128" s="206"/>
      <c r="N128" s="202"/>
    </row>
    <row r="129" outlineLevel="1">
      <c r="A129" s="202"/>
      <c r="B129" s="193">
        <v>6.0</v>
      </c>
      <c r="C129" s="194"/>
      <c r="D129" s="195">
        <v>100.0</v>
      </c>
      <c r="E129" s="196" t="str">
        <f t="array" ref="E129">IFERROR(XLOOKUP(C129,'Stock List'!$C$5:$C$496,'Stock List'!$E$5:$E$496),"")</f>
        <v/>
      </c>
      <c r="F129" s="197" t="str">
        <f t="array" ref="F129">IFERROR(XLOOKUP(C129,'Stock List'!$C$5:$C$496,'Stock List'!$M$5:$M$496),"")</f>
        <v/>
      </c>
      <c r="G129" s="198" t="str">
        <f t="shared" si="6"/>
        <v/>
      </c>
      <c r="H129" s="205"/>
      <c r="M129" s="206"/>
      <c r="N129" s="202"/>
    </row>
    <row r="130" outlineLevel="1">
      <c r="A130" s="202"/>
      <c r="B130" s="182">
        <v>7.0</v>
      </c>
      <c r="C130" s="203"/>
      <c r="D130" s="204">
        <v>15.0</v>
      </c>
      <c r="E130" s="196" t="str">
        <f t="array" ref="E130">IFERROR(XLOOKUP(C130,'Stock List'!$C$5:$C$496,'Stock List'!$E$5:$E$496),"")</f>
        <v/>
      </c>
      <c r="F130" s="197" t="str">
        <f t="array" ref="F130">IFERROR(XLOOKUP(C130,'Stock List'!$C$5:$C$496,'Stock List'!$M$5:$M$496),"")</f>
        <v/>
      </c>
      <c r="G130" s="198" t="str">
        <f t="shared" si="6"/>
        <v/>
      </c>
      <c r="H130" s="205"/>
      <c r="M130" s="206"/>
      <c r="N130" s="202"/>
    </row>
    <row r="131" outlineLevel="1">
      <c r="A131" s="202"/>
      <c r="B131" s="193">
        <v>8.0</v>
      </c>
      <c r="C131" s="194"/>
      <c r="D131" s="195">
        <v>2.0</v>
      </c>
      <c r="E131" s="196" t="str">
        <f t="array" ref="E131">IFERROR(XLOOKUP(C131,'Stock List'!$C$5:$C$496,'Stock List'!$E$5:$E$496),"")</f>
        <v/>
      </c>
      <c r="F131" s="197" t="str">
        <f t="array" ref="F131">IFERROR(XLOOKUP(C131,'Stock List'!$C$5:$C$496,'Stock List'!$M$5:$M$496),"")</f>
        <v/>
      </c>
      <c r="G131" s="198" t="str">
        <f t="shared" si="6"/>
        <v/>
      </c>
      <c r="H131" s="205"/>
      <c r="M131" s="206"/>
      <c r="N131" s="202"/>
    </row>
    <row r="132" outlineLevel="1">
      <c r="A132" s="202"/>
      <c r="B132" s="182">
        <v>9.0</v>
      </c>
      <c r="C132" s="203"/>
      <c r="D132" s="207"/>
      <c r="E132" s="196" t="str">
        <f t="array" ref="E132">IFERROR(XLOOKUP(C132,'Stock List'!$C$5:$C$496,'Stock List'!$E$5:$E$496),"")</f>
        <v/>
      </c>
      <c r="F132" s="197" t="str">
        <f t="array" ref="F132">IFERROR(XLOOKUP(C132,'Stock List'!$C$5:$C$496,'Stock List'!$M$5:$M$496),"")</f>
        <v/>
      </c>
      <c r="G132" s="198" t="str">
        <f t="shared" si="6"/>
        <v/>
      </c>
      <c r="H132" s="205"/>
      <c r="M132" s="206"/>
      <c r="N132" s="202"/>
    </row>
    <row r="133" outlineLevel="1">
      <c r="A133" s="202"/>
      <c r="B133" s="193">
        <v>10.0</v>
      </c>
      <c r="C133" s="194"/>
      <c r="D133" s="208"/>
      <c r="E133" s="196" t="str">
        <f t="array" ref="E133">IFERROR(XLOOKUP(C133,'Stock List'!$C$5:$C$496,'Stock List'!$E$5:$E$496),"")</f>
        <v/>
      </c>
      <c r="F133" s="197" t="str">
        <f t="array" ref="F133">IFERROR(XLOOKUP(C133,'Stock List'!$C$5:$C$496,'Stock List'!$M$5:$M$496),"")</f>
        <v/>
      </c>
      <c r="G133" s="198" t="str">
        <f t="shared" si="6"/>
        <v/>
      </c>
      <c r="H133" s="205"/>
      <c r="M133" s="206"/>
      <c r="N133" s="202"/>
    </row>
    <row r="134" outlineLevel="1">
      <c r="A134" s="202"/>
      <c r="B134" s="182">
        <v>11.0</v>
      </c>
      <c r="C134" s="209"/>
      <c r="D134" s="210"/>
      <c r="E134" s="196" t="str">
        <f t="array" ref="E134">IFERROR(XLOOKUP(C134,'Stock List'!$C$5:$C$496,'Stock List'!$E$5:$E$496),"")</f>
        <v/>
      </c>
      <c r="F134" s="197" t="str">
        <f t="array" ref="F134">IFERROR(XLOOKUP(C134,'Stock List'!$C$5:$C$496,'Stock List'!$M$5:$M$496),"")</f>
        <v/>
      </c>
      <c r="G134" s="198" t="str">
        <f t="shared" si="6"/>
        <v/>
      </c>
      <c r="H134" s="205"/>
      <c r="M134" s="206"/>
      <c r="N134" s="202"/>
    </row>
    <row r="135" outlineLevel="1">
      <c r="A135" s="202"/>
      <c r="B135" s="193">
        <v>12.0</v>
      </c>
      <c r="C135" s="212"/>
      <c r="D135" s="213"/>
      <c r="E135" s="196" t="str">
        <f t="array" ref="E135">IFERROR(XLOOKUP(C135,'Stock List'!$C$5:$C$496,'Stock List'!$E$5:$E$496),"")</f>
        <v/>
      </c>
      <c r="F135" s="197" t="str">
        <f t="array" ref="F135">IFERROR(XLOOKUP(C135,'Stock List'!$C$5:$C$496,'Stock List'!$M$5:$M$496),"")</f>
        <v/>
      </c>
      <c r="G135" s="198" t="str">
        <f t="shared" si="6"/>
        <v/>
      </c>
      <c r="H135" s="205"/>
      <c r="M135" s="206"/>
      <c r="N135" s="202"/>
    </row>
    <row r="136" outlineLevel="1">
      <c r="A136" s="202"/>
      <c r="B136" s="182">
        <v>13.0</v>
      </c>
      <c r="C136" s="209"/>
      <c r="D136" s="210"/>
      <c r="E136" s="196" t="str">
        <f t="array" ref="E136">IFERROR(XLOOKUP(C136,'Stock List'!$C$5:$C$496,'Stock List'!$E$5:$E$496),"")</f>
        <v/>
      </c>
      <c r="F136" s="197" t="str">
        <f t="array" ref="F136">IFERROR(XLOOKUP(C136,'Stock List'!$C$5:$C$496,'Stock List'!$M$5:$M$496),"")</f>
        <v/>
      </c>
      <c r="G136" s="198" t="str">
        <f t="shared" si="6"/>
        <v/>
      </c>
      <c r="H136" s="205"/>
      <c r="M136" s="206"/>
      <c r="N136" s="202"/>
    </row>
    <row r="137" outlineLevel="1">
      <c r="A137" s="202"/>
      <c r="B137" s="214" t="s">
        <v>596</v>
      </c>
      <c r="C137" s="215"/>
      <c r="D137" s="216">
        <v>1.0</v>
      </c>
      <c r="E137" s="217"/>
      <c r="F137" s="218" t="s">
        <v>597</v>
      </c>
      <c r="G137" s="219">
        <f>SUM(G124:G136)</f>
        <v>3.774418913</v>
      </c>
      <c r="H137" s="205"/>
      <c r="M137" s="206"/>
      <c r="N137" s="202"/>
    </row>
    <row r="138" outlineLevel="1">
      <c r="A138" s="202"/>
      <c r="B138" s="221" t="s">
        <v>598</v>
      </c>
      <c r="C138" s="222"/>
      <c r="D138" s="223">
        <v>0.7</v>
      </c>
      <c r="E138" s="224"/>
      <c r="F138" s="225"/>
      <c r="G138" s="226"/>
      <c r="H138" s="205"/>
      <c r="M138" s="206"/>
      <c r="N138" s="202"/>
    </row>
    <row r="139" outlineLevel="1">
      <c r="A139" s="202"/>
      <c r="B139" s="228" t="s">
        <v>599</v>
      </c>
      <c r="C139" s="189"/>
      <c r="D139" s="229"/>
      <c r="E139" s="230"/>
      <c r="F139" s="231"/>
      <c r="G139" s="232">
        <f>(I123/(1+Settings!$D$6))</f>
        <v>12.63636364</v>
      </c>
      <c r="H139" s="205"/>
      <c r="M139" s="206"/>
      <c r="N139" s="202"/>
    </row>
    <row r="140" outlineLevel="1">
      <c r="A140" s="202"/>
      <c r="B140" s="234" t="s">
        <v>600</v>
      </c>
      <c r="C140" s="189"/>
      <c r="D140" s="229"/>
      <c r="E140" s="230"/>
      <c r="F140" s="231"/>
      <c r="G140" s="235"/>
      <c r="H140" s="205"/>
      <c r="M140" s="206"/>
      <c r="N140" s="202"/>
    </row>
    <row r="141" outlineLevel="1">
      <c r="A141" s="202"/>
      <c r="B141" s="237" t="s">
        <v>601</v>
      </c>
      <c r="C141" s="189"/>
      <c r="D141" s="238"/>
      <c r="E141" s="230"/>
      <c r="F141" s="231"/>
      <c r="G141" s="239">
        <f>iferror(if(and(Settings!$D$8=true,Settings!$D$9=true),(roundup(($G137/(1-$D138))/$D137*(1+Settings!$D$6),0)-0.1),if(Settings!$D$9=true,ceiling(($G137/(1-$D138))/$D137*(1+Settings!$D$6),1),if(Settings!$D$8=true,CEILING((($G137/(1-$D138)))/$D137*(1+Settings!$D$6),0.5)-0.01,(($G137/(1-$D138)))/$D137*(1+Settings!$D$6)))),"")</f>
        <v>13.9</v>
      </c>
      <c r="H141" s="205"/>
      <c r="M141" s="206"/>
      <c r="N141" s="202"/>
    </row>
    <row r="142" outlineLevel="1">
      <c r="A142" s="202"/>
      <c r="B142" s="240" t="s">
        <v>602</v>
      </c>
      <c r="C142" s="189"/>
      <c r="D142" s="224"/>
      <c r="E142" s="241"/>
      <c r="F142" s="242">
        <f>iferror(G137/D137,"")</f>
        <v>3.774418913</v>
      </c>
      <c r="G142" s="243">
        <f>iferror(F142/G139,0)</f>
        <v>0.2986950219</v>
      </c>
      <c r="H142" s="205"/>
      <c r="M142" s="206"/>
      <c r="N142" s="202"/>
    </row>
    <row r="143" outlineLevel="1">
      <c r="A143" s="202"/>
      <c r="B143" s="246" t="s">
        <v>603</v>
      </c>
      <c r="C143" s="247"/>
      <c r="D143" s="248"/>
      <c r="E143" s="249"/>
      <c r="F143" s="250">
        <f>$G139-$F142</f>
        <v>8.861944723</v>
      </c>
      <c r="G143" s="251">
        <f>iferror((G139-F142)/G139,0)</f>
        <v>0.7013049781</v>
      </c>
      <c r="H143" s="252"/>
      <c r="I143" s="253"/>
      <c r="J143" s="253"/>
      <c r="K143" s="253"/>
      <c r="L143" s="253"/>
      <c r="M143" s="254"/>
      <c r="N143" s="202"/>
    </row>
    <row r="144" outlineLevel="1">
      <c r="A144" s="202"/>
      <c r="B144" s="256"/>
      <c r="C144" s="202"/>
      <c r="D144" s="256"/>
      <c r="E144" s="202"/>
      <c r="F144" s="202"/>
      <c r="G144" s="256"/>
      <c r="H144" s="257"/>
      <c r="I144" s="257"/>
      <c r="J144" s="257"/>
      <c r="K144" s="257"/>
      <c r="L144" s="257"/>
      <c r="M144" s="257"/>
      <c r="N144" s="202"/>
    </row>
    <row r="145" outlineLevel="1">
      <c r="A145" s="202"/>
      <c r="B145" s="256"/>
      <c r="C145" s="202"/>
      <c r="D145" s="256"/>
      <c r="E145" s="202"/>
      <c r="F145" s="202"/>
      <c r="G145" s="256"/>
      <c r="H145" s="256"/>
      <c r="I145" s="202"/>
      <c r="J145" s="256"/>
      <c r="K145" s="256"/>
      <c r="L145" s="256"/>
      <c r="M145" s="256"/>
      <c r="N145" s="202"/>
    </row>
    <row r="146">
      <c r="A146" s="202"/>
      <c r="B146" s="160" t="s">
        <v>583</v>
      </c>
      <c r="C146" s="161"/>
      <c r="D146" s="162" t="s">
        <v>609</v>
      </c>
      <c r="E146" s="161"/>
      <c r="F146" s="161"/>
      <c r="G146" s="163"/>
      <c r="H146" s="164" t="str">
        <f>Settings!$D$4</f>
        <v>PrepFlow</v>
      </c>
      <c r="I146" s="165" t="s">
        <v>585</v>
      </c>
      <c r="J146" s="166" t="s">
        <v>586</v>
      </c>
      <c r="K146" s="167" t="s">
        <v>587</v>
      </c>
      <c r="L146" s="167" t="s">
        <v>588</v>
      </c>
      <c r="M146" s="168" t="s">
        <v>589</v>
      </c>
      <c r="N146" s="202"/>
    </row>
    <row r="147">
      <c r="A147" s="202"/>
      <c r="B147" s="170" t="s">
        <v>590</v>
      </c>
      <c r="C147" s="171"/>
      <c r="D147" s="172" t="s">
        <v>591</v>
      </c>
      <c r="E147" s="173" t="s">
        <v>592</v>
      </c>
      <c r="F147" s="173" t="s">
        <v>593</v>
      </c>
      <c r="G147" s="174" t="s">
        <v>594</v>
      </c>
      <c r="H147" s="175" t="str">
        <f>D146</f>
        <v>Arrancini</v>
      </c>
      <c r="I147" s="176">
        <f>iferror(IF(G164="",G165,G164),"Something went wrong")</f>
        <v>10.9</v>
      </c>
      <c r="J147" s="177">
        <f>iferror($F166,"")</f>
        <v>2.98980124</v>
      </c>
      <c r="K147" s="178">
        <f>$G166</f>
        <v>0.3017230609</v>
      </c>
      <c r="L147" s="176">
        <f>iferror($F167,"")</f>
        <v>6.919289669</v>
      </c>
      <c r="M147" s="179">
        <f>$G167</f>
        <v>0.6982769391</v>
      </c>
      <c r="N147" s="202"/>
    </row>
    <row r="148" outlineLevel="1">
      <c r="A148" s="202"/>
      <c r="B148" s="182">
        <v>1.0</v>
      </c>
      <c r="C148" s="183" t="s">
        <v>314</v>
      </c>
      <c r="D148" s="184">
        <v>100.0</v>
      </c>
      <c r="E148" s="185" t="str">
        <f t="array" ref="E148">IFERROR(XLOOKUP(C148,'Stock List'!$C$5:$C$496,'Stock List'!$E$5:$E$496),"")</f>
        <v>GM</v>
      </c>
      <c r="F148" s="186">
        <f t="array" ref="F148">IFERROR(XLOOKUP(C148,'Stock List'!$C$5:$C$496,'Stock List'!$M$5:$M$496),"")</f>
        <v>0.005747</v>
      </c>
      <c r="G148" s="187">
        <f t="shared" ref="G148:G160" si="7">if(D148*F148=0,"",D148*F148)</f>
        <v>0.5747</v>
      </c>
      <c r="H148" s="188" t="s">
        <v>595</v>
      </c>
      <c r="I148" s="189"/>
      <c r="J148" s="189"/>
      <c r="K148" s="189"/>
      <c r="L148" s="189"/>
      <c r="M148" s="190"/>
      <c r="N148" s="202"/>
    </row>
    <row r="149" outlineLevel="1">
      <c r="A149" s="202"/>
      <c r="B149" s="193">
        <v>2.0</v>
      </c>
      <c r="C149" s="194" t="s">
        <v>305</v>
      </c>
      <c r="D149" s="195">
        <v>30.0</v>
      </c>
      <c r="E149" s="196" t="str">
        <f t="array" ref="E149">IFERROR(XLOOKUP(C149,'Stock List'!$C$5:$C$496,'Stock List'!$E$5:$E$496),"")</f>
        <v>GM</v>
      </c>
      <c r="F149" s="197">
        <f t="array" ref="F149">IFERROR(XLOOKUP(C149,'Stock List'!$C$5:$C$496,'Stock List'!$M$5:$M$496),"")</f>
        <v>0.00339</v>
      </c>
      <c r="G149" s="198">
        <f t="shared" si="7"/>
        <v>0.1017</v>
      </c>
      <c r="H149" s="199" t="str">
        <f>IFERROR(__xludf.DUMMYFUNCTION("AI(""You’re a seasoned chef talking to another chef in the middle of a busy service. No fluff, no storytelling — just straight, rapid-fire instructions for "" &amp; D146 &amp; "" using only these ingredients: "" &amp; C148 &amp; "", "" &amp; C149 &amp; "", "" &amp; C150 &amp; "", "" &amp; C"&amp;"151 &amp; "", "" &amp; C152 &amp; "", "" &amp; C153 &amp; "", "" &amp; C154 &amp; "", "" &amp; C155 &amp; "", "" &amp; C156 &amp; "", "" &amp; C157 &amp; "", "" &amp; C158 &amp; "", "" &amp; C159 &amp; "", "" &amp; C160 &amp; "". Keep it 5–7 short, sharp steps with pro kitchen lingo and efficient workflow. Format: Dish Name: "" &amp;"&amp;" D146 &amp; "" Method: 1. ... 2. ..."", D146:F160)
"),"Dish Name: Arrancini
Method:1.  Sweat onion and garlic. Add Arborio rice, toast, then deglaze. Cook risotto with stock, finish al dente.
2.  Roast Japanese pumpkin, mash, season. Crumble feta.
3.  Combine cooled risotto, pumpkin, feta, and chopped rosemar"&amp;"y. Mix well.
4.  Form balls, egg wash, then coat in Panko breadcrumbs.
5.  Deep fry until golden and heated through. Hold hot.")</f>
        <v>Dish Name: Arrancini
Method:1.  Sweat onion and garlic. Add Arborio rice, toast, then deglaze. Cook risotto with stock, finish al dente.
2.  Roast Japanese pumpkin, mash, season. Crumble feta.
3.  Combine cooled risotto, pumpkin, feta, and chopped rosemary. Mix well.
4.  Form balls, egg wash, then coat in Panko breadcrumbs.
5.  Deep fry until golden and heated through. Hold hot.</v>
      </c>
      <c r="I149" s="200"/>
      <c r="J149" s="200"/>
      <c r="K149" s="200"/>
      <c r="L149" s="200"/>
      <c r="M149" s="201"/>
      <c r="N149" s="202"/>
    </row>
    <row r="150" outlineLevel="1">
      <c r="A150" s="202"/>
      <c r="B150" s="182">
        <v>3.0</v>
      </c>
      <c r="C150" s="203" t="s">
        <v>267</v>
      </c>
      <c r="D150" s="204">
        <v>30.0</v>
      </c>
      <c r="E150" s="196" t="str">
        <f t="array" ref="E150">IFERROR(XLOOKUP(C150,'Stock List'!$C$5:$C$496,'Stock List'!$E$5:$E$496),"")</f>
        <v>GM</v>
      </c>
      <c r="F150" s="197">
        <f t="array" ref="F150">IFERROR(XLOOKUP(C150,'Stock List'!$C$5:$C$496,'Stock List'!$M$5:$M$496),"")</f>
        <v>0.003192</v>
      </c>
      <c r="G150" s="198">
        <f t="shared" si="7"/>
        <v>0.09576</v>
      </c>
      <c r="H150" s="205"/>
      <c r="M150" s="206"/>
      <c r="N150" s="202"/>
    </row>
    <row r="151" outlineLevel="1">
      <c r="A151" s="202"/>
      <c r="B151" s="193">
        <v>4.0</v>
      </c>
      <c r="C151" s="194" t="s">
        <v>186</v>
      </c>
      <c r="D151" s="195">
        <v>10.0</v>
      </c>
      <c r="E151" s="196" t="str">
        <f t="array" ref="E151">IFERROR(XLOOKUP(C151,'Stock List'!$C$5:$C$496,'Stock List'!$E$5:$E$496),"")</f>
        <v>GM</v>
      </c>
      <c r="F151" s="197">
        <f t="array" ref="F151">IFERROR(XLOOKUP(C151,'Stock List'!$C$5:$C$496,'Stock List'!$M$5:$M$496),"")</f>
        <v>0.0072473</v>
      </c>
      <c r="G151" s="198">
        <f t="shared" si="7"/>
        <v>0.072473</v>
      </c>
      <c r="H151" s="205"/>
      <c r="M151" s="206"/>
      <c r="N151" s="202"/>
    </row>
    <row r="152" outlineLevel="1">
      <c r="A152" s="202"/>
      <c r="B152" s="182">
        <v>5.0</v>
      </c>
      <c r="C152" s="203" t="s">
        <v>204</v>
      </c>
      <c r="D152" s="204">
        <v>20.0</v>
      </c>
      <c r="E152" s="196" t="str">
        <f t="array" ref="E152">IFERROR(XLOOKUP(C152,'Stock List'!$C$5:$C$496,'Stock List'!$E$5:$E$496),"")</f>
        <v>GM</v>
      </c>
      <c r="F152" s="197">
        <f t="array" ref="F152">IFERROR(XLOOKUP(C152,'Stock List'!$C$5:$C$496,'Stock List'!$M$5:$M$496),"")</f>
        <v>0.0179339</v>
      </c>
      <c r="G152" s="198">
        <f t="shared" si="7"/>
        <v>0.358678</v>
      </c>
      <c r="H152" s="205"/>
      <c r="M152" s="206"/>
      <c r="N152" s="202"/>
    </row>
    <row r="153" outlineLevel="1">
      <c r="A153" s="202"/>
      <c r="B153" s="193">
        <v>6.0</v>
      </c>
      <c r="C153" s="194" t="s">
        <v>288</v>
      </c>
      <c r="D153" s="195">
        <v>10.0</v>
      </c>
      <c r="E153" s="196" t="str">
        <f t="array" ref="E153">IFERROR(XLOOKUP(C153,'Stock List'!$C$5:$C$496,'Stock List'!$E$5:$E$496),"")</f>
        <v>GM</v>
      </c>
      <c r="F153" s="197">
        <f t="array" ref="F153">IFERROR(XLOOKUP(C153,'Stock List'!$C$5:$C$496,'Stock List'!$M$5:$M$496),"")</f>
        <v>0.001867824</v>
      </c>
      <c r="G153" s="198">
        <f t="shared" si="7"/>
        <v>0.01867824</v>
      </c>
      <c r="H153" s="205"/>
      <c r="M153" s="206"/>
      <c r="N153" s="202"/>
    </row>
    <row r="154" outlineLevel="1">
      <c r="A154" s="202"/>
      <c r="B154" s="182">
        <v>7.0</v>
      </c>
      <c r="C154" s="203" t="s">
        <v>274</v>
      </c>
      <c r="D154" s="204">
        <v>100.0</v>
      </c>
      <c r="E154" s="196" t="str">
        <f t="array" ref="E154">IFERROR(XLOOKUP(C154,'Stock List'!$C$5:$C$496,'Stock List'!$E$5:$E$496),"")</f>
        <v>GM</v>
      </c>
      <c r="F154" s="197">
        <f t="array" ref="F154">IFERROR(XLOOKUP(C154,'Stock List'!$C$5:$C$496,'Stock List'!$M$5:$M$496),"")</f>
        <v>0.00678612</v>
      </c>
      <c r="G154" s="198">
        <f t="shared" si="7"/>
        <v>0.678612</v>
      </c>
      <c r="H154" s="205"/>
      <c r="M154" s="206"/>
      <c r="N154" s="202"/>
    </row>
    <row r="155" outlineLevel="1">
      <c r="A155" s="202"/>
      <c r="B155" s="193">
        <v>8.0</v>
      </c>
      <c r="C155" s="194" t="s">
        <v>201</v>
      </c>
      <c r="D155" s="195">
        <v>2.0</v>
      </c>
      <c r="E155" s="196" t="str">
        <f t="array" ref="E155">IFERROR(XLOOKUP(C155,'Stock List'!$C$5:$C$496,'Stock List'!$E$5:$E$496),"")</f>
        <v>PC</v>
      </c>
      <c r="F155" s="197">
        <f t="array" ref="F155">IFERROR(XLOOKUP(C155,'Stock List'!$C$5:$C$496,'Stock List'!$M$5:$M$496),"")</f>
        <v>0.5446</v>
      </c>
      <c r="G155" s="198">
        <f t="shared" si="7"/>
        <v>1.0892</v>
      </c>
      <c r="H155" s="205"/>
      <c r="M155" s="206"/>
      <c r="N155" s="202"/>
    </row>
    <row r="156" outlineLevel="1">
      <c r="A156" s="202"/>
      <c r="B156" s="182">
        <v>9.0</v>
      </c>
      <c r="C156" s="203" t="s">
        <v>321</v>
      </c>
      <c r="D156" s="207"/>
      <c r="E156" s="196" t="str">
        <f t="array" ref="E156">IFERROR(XLOOKUP(C156,'Stock List'!$C$5:$C$496,'Stock List'!$E$5:$E$496),"")</f>
        <v>GM</v>
      </c>
      <c r="F156" s="197">
        <f t="array" ref="F156">IFERROR(XLOOKUP(C156,'Stock List'!$C$5:$C$496,'Stock List'!$M$5:$M$496),"")</f>
        <v>0.0247422</v>
      </c>
      <c r="G156" s="198" t="str">
        <f t="shared" si="7"/>
        <v/>
      </c>
      <c r="H156" s="205"/>
      <c r="M156" s="206"/>
      <c r="N156" s="202"/>
    </row>
    <row r="157" outlineLevel="1">
      <c r="A157" s="202"/>
      <c r="B157" s="193">
        <v>10.0</v>
      </c>
      <c r="C157" s="194"/>
      <c r="D157" s="208"/>
      <c r="E157" s="196" t="str">
        <f t="array" ref="E157">IFERROR(XLOOKUP(C157,'Stock List'!$C$5:$C$496,'Stock List'!$E$5:$E$496),"")</f>
        <v/>
      </c>
      <c r="F157" s="197" t="str">
        <f t="array" ref="F157">IFERROR(XLOOKUP(C157,'Stock List'!$C$5:$C$496,'Stock List'!$M$5:$M$496),"")</f>
        <v/>
      </c>
      <c r="G157" s="198" t="str">
        <f t="shared" si="7"/>
        <v/>
      </c>
      <c r="H157" s="205"/>
      <c r="M157" s="206"/>
      <c r="N157" s="202"/>
    </row>
    <row r="158" outlineLevel="1">
      <c r="A158" s="202"/>
      <c r="B158" s="182">
        <v>11.0</v>
      </c>
      <c r="C158" s="209"/>
      <c r="D158" s="210"/>
      <c r="E158" s="196" t="str">
        <f t="array" ref="E158">IFERROR(XLOOKUP(C158,'Stock List'!$C$5:$C$496,'Stock List'!$E$5:$E$496),"")</f>
        <v/>
      </c>
      <c r="F158" s="197" t="str">
        <f t="array" ref="F158">IFERROR(XLOOKUP(C158,'Stock List'!$C$5:$C$496,'Stock List'!$M$5:$M$496),"")</f>
        <v/>
      </c>
      <c r="G158" s="198" t="str">
        <f t="shared" si="7"/>
        <v/>
      </c>
      <c r="H158" s="205"/>
      <c r="M158" s="206"/>
      <c r="N158" s="202"/>
    </row>
    <row r="159" outlineLevel="1">
      <c r="A159" s="202"/>
      <c r="B159" s="193">
        <v>12.0</v>
      </c>
      <c r="C159" s="212"/>
      <c r="D159" s="213"/>
      <c r="E159" s="196" t="str">
        <f t="array" ref="E159">IFERROR(XLOOKUP(C159,'Stock List'!$C$5:$C$496,'Stock List'!$E$5:$E$496),"")</f>
        <v/>
      </c>
      <c r="F159" s="197" t="str">
        <f t="array" ref="F159">IFERROR(XLOOKUP(C159,'Stock List'!$C$5:$C$496,'Stock List'!$M$5:$M$496),"")</f>
        <v/>
      </c>
      <c r="G159" s="198" t="str">
        <f t="shared" si="7"/>
        <v/>
      </c>
      <c r="H159" s="205"/>
      <c r="M159" s="206"/>
      <c r="N159" s="202"/>
    </row>
    <row r="160" outlineLevel="1">
      <c r="A160" s="202"/>
      <c r="B160" s="182">
        <v>13.0</v>
      </c>
      <c r="C160" s="209"/>
      <c r="D160" s="210"/>
      <c r="E160" s="196" t="str">
        <f t="array" ref="E160">IFERROR(XLOOKUP(C160,'Stock List'!$C$5:$C$496,'Stock List'!$E$5:$E$496),"")</f>
        <v/>
      </c>
      <c r="F160" s="197" t="str">
        <f t="array" ref="F160">IFERROR(XLOOKUP(C160,'Stock List'!$C$5:$C$496,'Stock List'!$M$5:$M$496),"")</f>
        <v/>
      </c>
      <c r="G160" s="198" t="str">
        <f t="shared" si="7"/>
        <v/>
      </c>
      <c r="H160" s="205"/>
      <c r="M160" s="206"/>
      <c r="N160" s="202"/>
    </row>
    <row r="161" outlineLevel="1">
      <c r="A161" s="202"/>
      <c r="B161" s="214" t="s">
        <v>596</v>
      </c>
      <c r="C161" s="215"/>
      <c r="D161" s="216">
        <v>1.0</v>
      </c>
      <c r="E161" s="217"/>
      <c r="F161" s="218" t="s">
        <v>597</v>
      </c>
      <c r="G161" s="219">
        <f>SUM(G148:G160)</f>
        <v>2.98980124</v>
      </c>
      <c r="H161" s="205"/>
      <c r="M161" s="206"/>
      <c r="N161" s="202"/>
    </row>
    <row r="162" outlineLevel="1">
      <c r="A162" s="202"/>
      <c r="B162" s="221" t="s">
        <v>598</v>
      </c>
      <c r="C162" s="222"/>
      <c r="D162" s="223">
        <v>0.7</v>
      </c>
      <c r="E162" s="224"/>
      <c r="F162" s="225"/>
      <c r="G162" s="226"/>
      <c r="H162" s="205"/>
      <c r="M162" s="206"/>
      <c r="N162" s="202"/>
    </row>
    <row r="163" outlineLevel="1">
      <c r="A163" s="202"/>
      <c r="B163" s="228" t="s">
        <v>599</v>
      </c>
      <c r="C163" s="189"/>
      <c r="D163" s="229"/>
      <c r="E163" s="230"/>
      <c r="F163" s="231"/>
      <c r="G163" s="232">
        <f>(I147/(1+Settings!$D$6))</f>
        <v>9.909090909</v>
      </c>
      <c r="H163" s="205"/>
      <c r="M163" s="206"/>
      <c r="N163" s="202"/>
    </row>
    <row r="164" outlineLevel="1">
      <c r="A164" s="202"/>
      <c r="B164" s="234" t="s">
        <v>600</v>
      </c>
      <c r="C164" s="189"/>
      <c r="D164" s="229"/>
      <c r="E164" s="230"/>
      <c r="F164" s="231"/>
      <c r="G164" s="235"/>
      <c r="H164" s="205"/>
      <c r="M164" s="206"/>
      <c r="N164" s="202"/>
    </row>
    <row r="165" outlineLevel="1">
      <c r="A165" s="202"/>
      <c r="B165" s="237" t="s">
        <v>601</v>
      </c>
      <c r="C165" s="189"/>
      <c r="D165" s="238"/>
      <c r="E165" s="230"/>
      <c r="F165" s="231"/>
      <c r="G165" s="239">
        <f>iferror(if(and(Settings!$D$8=true,Settings!$D$9=true),(roundup(($G161/(1-$D162))/$D161*(1+Settings!$D$6),0)-0.1),if(Settings!$D$9=true,ceiling(($G161/(1-$D162))/$D161*(1+Settings!$D$6),1),if(Settings!$D$8=true,CEILING((($G161/(1-$D162)))/$D161*(1+Settings!$D$6),0.5)-0.01,(($G161/(1-$D162)))/$D161*(1+Settings!$D$6)))),"")</f>
        <v>10.9</v>
      </c>
      <c r="H165" s="205"/>
      <c r="M165" s="206"/>
      <c r="N165" s="202"/>
    </row>
    <row r="166" outlineLevel="1">
      <c r="A166" s="202"/>
      <c r="B166" s="240" t="s">
        <v>602</v>
      </c>
      <c r="C166" s="189"/>
      <c r="D166" s="224"/>
      <c r="E166" s="241"/>
      <c r="F166" s="242">
        <f>iferror(G161/D161,"")</f>
        <v>2.98980124</v>
      </c>
      <c r="G166" s="243">
        <f>iferror(F166/G163,0)</f>
        <v>0.3017230609</v>
      </c>
      <c r="H166" s="205"/>
      <c r="M166" s="206"/>
      <c r="N166" s="202"/>
    </row>
    <row r="167" outlineLevel="1">
      <c r="A167" s="202"/>
      <c r="B167" s="246" t="s">
        <v>603</v>
      </c>
      <c r="C167" s="247"/>
      <c r="D167" s="248"/>
      <c r="E167" s="249"/>
      <c r="F167" s="250">
        <f>$G163-$F166</f>
        <v>6.919289669</v>
      </c>
      <c r="G167" s="251">
        <f>iferror((G163-F166)/G163,0)</f>
        <v>0.6982769391</v>
      </c>
      <c r="H167" s="252"/>
      <c r="I167" s="253"/>
      <c r="J167" s="253"/>
      <c r="K167" s="253"/>
      <c r="L167" s="253"/>
      <c r="M167" s="254"/>
      <c r="N167" s="202"/>
    </row>
    <row r="168" outlineLevel="1">
      <c r="A168" s="202"/>
      <c r="B168" s="256"/>
      <c r="C168" s="202"/>
      <c r="D168" s="256"/>
      <c r="E168" s="202"/>
      <c r="F168" s="202"/>
      <c r="G168" s="256"/>
      <c r="H168" s="256"/>
      <c r="I168" s="202"/>
      <c r="J168" s="256"/>
      <c r="K168" s="256"/>
      <c r="L168" s="256"/>
      <c r="M168" s="256"/>
      <c r="N168" s="202"/>
    </row>
    <row r="169" outlineLevel="1">
      <c r="A169" s="202"/>
      <c r="B169" s="256"/>
      <c r="C169" s="202"/>
      <c r="D169" s="256"/>
      <c r="E169" s="202"/>
      <c r="F169" s="202"/>
      <c r="G169" s="256"/>
      <c r="H169" s="256"/>
      <c r="I169" s="202"/>
      <c r="J169" s="256"/>
      <c r="K169" s="256"/>
      <c r="L169" s="256"/>
      <c r="M169" s="256"/>
      <c r="N169" s="202"/>
    </row>
    <row r="170">
      <c r="A170" s="202"/>
      <c r="B170" s="160" t="s">
        <v>583</v>
      </c>
      <c r="C170" s="161"/>
      <c r="D170" s="162" t="s">
        <v>610</v>
      </c>
      <c r="E170" s="161"/>
      <c r="F170" s="161"/>
      <c r="G170" s="163"/>
      <c r="H170" s="164" t="str">
        <f>Settings!$D$4</f>
        <v>PrepFlow</v>
      </c>
      <c r="I170" s="165" t="s">
        <v>585</v>
      </c>
      <c r="J170" s="166" t="s">
        <v>586</v>
      </c>
      <c r="K170" s="167" t="s">
        <v>587</v>
      </c>
      <c r="L170" s="167" t="s">
        <v>588</v>
      </c>
      <c r="M170" s="168" t="s">
        <v>589</v>
      </c>
      <c r="N170" s="202"/>
    </row>
    <row r="171">
      <c r="A171" s="202"/>
      <c r="B171" s="170" t="s">
        <v>590</v>
      </c>
      <c r="C171" s="171"/>
      <c r="D171" s="172" t="s">
        <v>591</v>
      </c>
      <c r="E171" s="173" t="s">
        <v>592</v>
      </c>
      <c r="F171" s="173" t="s">
        <v>593</v>
      </c>
      <c r="G171" s="174" t="s">
        <v>594</v>
      </c>
      <c r="H171" s="175" t="str">
        <f>D170</f>
        <v>Dumplings</v>
      </c>
      <c r="I171" s="176">
        <f>iferror(IF(G188="",G189,G188),"Something went wrong")</f>
        <v>4.9</v>
      </c>
      <c r="J171" s="177">
        <f>iferror($F190,"")</f>
        <v>1.259205</v>
      </c>
      <c r="K171" s="178">
        <f>$G190</f>
        <v>0.2826786735</v>
      </c>
      <c r="L171" s="176">
        <f>iferror($F191,"")</f>
        <v>3.195340455</v>
      </c>
      <c r="M171" s="179">
        <f>$G191</f>
        <v>0.7173213265</v>
      </c>
      <c r="N171" s="202"/>
    </row>
    <row r="172" outlineLevel="1">
      <c r="A172" s="202"/>
      <c r="B172" s="182">
        <v>1.0</v>
      </c>
      <c r="C172" s="183" t="s">
        <v>200</v>
      </c>
      <c r="D172" s="184">
        <v>45.0</v>
      </c>
      <c r="E172" s="185" t="str">
        <f t="array" ref="E172">IFERROR(XLOOKUP(C172,'Stock List'!$C$5:$C$496,'Stock List'!$E$5:$E$496),"")</f>
        <v>GM</v>
      </c>
      <c r="F172" s="186">
        <f t="array" ref="F172">IFERROR(XLOOKUP(C172,'Stock List'!$C$5:$C$496,'Stock List'!$M$5:$M$496),"")</f>
        <v>0.0132</v>
      </c>
      <c r="G172" s="187">
        <f t="shared" ref="G172:G184" si="8">if(D172*F172=0,"",D172*F172)</f>
        <v>0.594</v>
      </c>
      <c r="H172" s="188" t="s">
        <v>595</v>
      </c>
      <c r="I172" s="189"/>
      <c r="J172" s="189"/>
      <c r="K172" s="189"/>
      <c r="L172" s="189"/>
      <c r="M172" s="190"/>
      <c r="N172" s="202"/>
    </row>
    <row r="173" outlineLevel="1">
      <c r="A173" s="202"/>
      <c r="B173" s="193">
        <v>2.0</v>
      </c>
      <c r="C173" s="194" t="s">
        <v>197</v>
      </c>
      <c r="D173" s="195">
        <v>9.0</v>
      </c>
      <c r="E173" s="196" t="str">
        <f t="array" ref="E173">IFERROR(XLOOKUP(C173,'Stock List'!$C$5:$C$496,'Stock List'!$E$5:$E$496),"")</f>
        <v>GM</v>
      </c>
      <c r="F173" s="197">
        <f t="array" ref="F173">IFERROR(XLOOKUP(C173,'Stock List'!$C$5:$C$496,'Stock List'!$M$5:$M$496),"")</f>
        <v>0.01419</v>
      </c>
      <c r="G173" s="198">
        <f t="shared" si="8"/>
        <v>0.12771</v>
      </c>
      <c r="H173" s="199" t="str">
        <f>IFERROR(__xludf.DUMMYFUNCTION("AI(""You’re a seasoned chef talking to another chef in the middle of a busy service. No fluff, no storytelling — just straight, rapid-fire instructions for "" &amp; D170 &amp; "" using only these ingredients: "" &amp; C172 &amp; "", "" &amp; C173 &amp; "", "" &amp; C174 &amp; "", "" &amp; C"&amp;"175 &amp; "", "" &amp; C176 &amp; "", "" &amp; C177 &amp; "", "" &amp; C178 &amp; "", "" &amp; C179 &amp; "", "" &amp; C180 &amp; "", "" &amp; C181 &amp; "", "" &amp; C182 &amp; "", "" &amp; C183 &amp; "", "" &amp; C184 &amp; "". Keep it 5–7 short, sharp steps with pro kitchen lingo and efficient workflow. Format: Dish Name: "" &amp;"&amp;" D170 &amp; "" Method: 1. ... 2. ..."", D170:F184)
"),"Dish Name: Dumplings
Method:1.  Finely mince pork, chilli, and ginger. Combine well.
2.  Portion filling onto wrappers. Moisten edges.
3.  Fold and crimp wrappers tight. No air pockets.
4.  Steam or pan-fry until golden, then steam finish.
5.  Plate immed"&amp;"iately.")</f>
        <v>Dish Name: Dumplings
Method:1.  Finely mince pork, chilli, and ginger. Combine well.
2.  Portion filling onto wrappers. Moisten edges.
3.  Fold and crimp wrappers tight. No air pockets.
4.  Steam or pan-fry until golden, then steam finish.
5.  Plate immediately.</v>
      </c>
      <c r="I173" s="200"/>
      <c r="J173" s="200"/>
      <c r="K173" s="200"/>
      <c r="L173" s="200"/>
      <c r="M173" s="201"/>
      <c r="N173" s="202"/>
    </row>
    <row r="174" outlineLevel="1">
      <c r="A174" s="202"/>
      <c r="B174" s="182">
        <v>3.0</v>
      </c>
      <c r="C174" s="203" t="s">
        <v>165</v>
      </c>
      <c r="D174" s="204">
        <v>15.0</v>
      </c>
      <c r="E174" s="196" t="str">
        <f t="array" ref="E174">IFERROR(XLOOKUP(C174,'Stock List'!$C$5:$C$496,'Stock List'!$E$5:$E$496),"")</f>
        <v>GM</v>
      </c>
      <c r="F174" s="197">
        <f t="array" ref="F174">IFERROR(XLOOKUP(C174,'Stock List'!$C$5:$C$496,'Stock List'!$M$5:$M$496),"")</f>
        <v>0.029025</v>
      </c>
      <c r="G174" s="198">
        <f t="shared" si="8"/>
        <v>0.435375</v>
      </c>
      <c r="H174" s="205"/>
      <c r="M174" s="206"/>
      <c r="N174" s="202"/>
    </row>
    <row r="175" outlineLevel="1">
      <c r="A175" s="202"/>
      <c r="B175" s="193">
        <v>4.0</v>
      </c>
      <c r="C175" s="194" t="s">
        <v>215</v>
      </c>
      <c r="D175" s="195">
        <v>10.0</v>
      </c>
      <c r="E175" s="196" t="str">
        <f t="array" ref="E175">IFERROR(XLOOKUP(C175,'Stock List'!$C$5:$C$496,'Stock List'!$E$5:$E$496),"")</f>
        <v>GM</v>
      </c>
      <c r="F175" s="197">
        <f t="array" ref="F175">IFERROR(XLOOKUP(C175,'Stock List'!$C$5:$C$496,'Stock List'!$M$5:$M$496),"")</f>
        <v>0.010212</v>
      </c>
      <c r="G175" s="198">
        <f t="shared" si="8"/>
        <v>0.10212</v>
      </c>
      <c r="H175" s="205"/>
      <c r="M175" s="206"/>
      <c r="N175" s="202"/>
    </row>
    <row r="176" outlineLevel="1">
      <c r="A176" s="202"/>
      <c r="B176" s="182">
        <v>5.0</v>
      </c>
      <c r="C176" s="203"/>
      <c r="D176" s="204"/>
      <c r="E176" s="196" t="str">
        <f t="array" ref="E176">IFERROR(XLOOKUP(C176,'Stock List'!$C$5:$C$496,'Stock List'!$E$5:$E$496),"")</f>
        <v/>
      </c>
      <c r="F176" s="197" t="str">
        <f t="array" ref="F176">IFERROR(XLOOKUP(C176,'Stock List'!$C$5:$C$496,'Stock List'!$M$5:$M$496),"")</f>
        <v/>
      </c>
      <c r="G176" s="198" t="str">
        <f t="shared" si="8"/>
        <v/>
      </c>
      <c r="H176" s="205"/>
      <c r="M176" s="206"/>
      <c r="N176" s="202"/>
    </row>
    <row r="177" outlineLevel="1">
      <c r="A177" s="202"/>
      <c r="B177" s="193">
        <v>6.0</v>
      </c>
      <c r="C177" s="194"/>
      <c r="D177" s="195"/>
      <c r="E177" s="196" t="str">
        <f t="array" ref="E177">IFERROR(XLOOKUP(C177,'Stock List'!$C$5:$C$496,'Stock List'!$E$5:$E$496),"")</f>
        <v/>
      </c>
      <c r="F177" s="197" t="str">
        <f t="array" ref="F177">IFERROR(XLOOKUP(C177,'Stock List'!$C$5:$C$496,'Stock List'!$M$5:$M$496),"")</f>
        <v/>
      </c>
      <c r="G177" s="198" t="str">
        <f t="shared" si="8"/>
        <v/>
      </c>
      <c r="H177" s="205"/>
      <c r="M177" s="206"/>
      <c r="N177" s="202"/>
    </row>
    <row r="178" outlineLevel="1">
      <c r="A178" s="202"/>
      <c r="B178" s="182">
        <v>7.0</v>
      </c>
      <c r="C178" s="203"/>
      <c r="D178" s="204"/>
      <c r="E178" s="196" t="str">
        <f t="array" ref="E178">IFERROR(XLOOKUP(C178,'Stock List'!$C$5:$C$496,'Stock List'!$E$5:$E$496),"")</f>
        <v/>
      </c>
      <c r="F178" s="197" t="str">
        <f t="array" ref="F178">IFERROR(XLOOKUP(C178,'Stock List'!$C$5:$C$496,'Stock List'!$M$5:$M$496),"")</f>
        <v/>
      </c>
      <c r="G178" s="198" t="str">
        <f t="shared" si="8"/>
        <v/>
      </c>
      <c r="H178" s="205"/>
      <c r="M178" s="206"/>
      <c r="N178" s="202"/>
    </row>
    <row r="179" outlineLevel="1">
      <c r="A179" s="202"/>
      <c r="B179" s="193">
        <v>8.0</v>
      </c>
      <c r="C179" s="194"/>
      <c r="D179" s="195"/>
      <c r="E179" s="196" t="str">
        <f t="array" ref="E179">IFERROR(XLOOKUP(C179,'Stock List'!$C$5:$C$496,'Stock List'!$E$5:$E$496),"")</f>
        <v/>
      </c>
      <c r="F179" s="197" t="str">
        <f t="array" ref="F179">IFERROR(XLOOKUP(C179,'Stock List'!$C$5:$C$496,'Stock List'!$M$5:$M$496),"")</f>
        <v/>
      </c>
      <c r="G179" s="198" t="str">
        <f t="shared" si="8"/>
        <v/>
      </c>
      <c r="H179" s="205"/>
      <c r="M179" s="206"/>
      <c r="N179" s="202"/>
    </row>
    <row r="180" outlineLevel="1">
      <c r="A180" s="202"/>
      <c r="B180" s="182">
        <v>9.0</v>
      </c>
      <c r="C180" s="203"/>
      <c r="D180" s="207"/>
      <c r="E180" s="196" t="str">
        <f t="array" ref="E180">IFERROR(XLOOKUP(C180,'Stock List'!$C$5:$C$496,'Stock List'!$E$5:$E$496),"")</f>
        <v/>
      </c>
      <c r="F180" s="197" t="str">
        <f t="array" ref="F180">IFERROR(XLOOKUP(C180,'Stock List'!$C$5:$C$496,'Stock List'!$M$5:$M$496),"")</f>
        <v/>
      </c>
      <c r="G180" s="198" t="str">
        <f t="shared" si="8"/>
        <v/>
      </c>
      <c r="H180" s="205"/>
      <c r="M180" s="206"/>
      <c r="N180" s="202"/>
    </row>
    <row r="181" outlineLevel="1">
      <c r="A181" s="202"/>
      <c r="B181" s="193">
        <v>10.0</v>
      </c>
      <c r="C181" s="194"/>
      <c r="D181" s="208"/>
      <c r="E181" s="196" t="str">
        <f t="array" ref="E181">IFERROR(XLOOKUP(C181,'Stock List'!$C$5:$C$496,'Stock List'!$E$5:$E$496),"")</f>
        <v/>
      </c>
      <c r="F181" s="197" t="str">
        <f t="array" ref="F181">IFERROR(XLOOKUP(C181,'Stock List'!$C$5:$C$496,'Stock List'!$M$5:$M$496),"")</f>
        <v/>
      </c>
      <c r="G181" s="198" t="str">
        <f t="shared" si="8"/>
        <v/>
      </c>
      <c r="H181" s="205"/>
      <c r="M181" s="206"/>
      <c r="N181" s="202"/>
    </row>
    <row r="182" outlineLevel="1">
      <c r="A182" s="202"/>
      <c r="B182" s="182">
        <v>11.0</v>
      </c>
      <c r="C182" s="209"/>
      <c r="D182" s="210"/>
      <c r="E182" s="196" t="str">
        <f t="array" ref="E182">IFERROR(XLOOKUP(C182,'Stock List'!$C$5:$C$496,'Stock List'!$E$5:$E$496),"")</f>
        <v/>
      </c>
      <c r="F182" s="197" t="str">
        <f t="array" ref="F182">IFERROR(XLOOKUP(C182,'Stock List'!$C$5:$C$496,'Stock List'!$M$5:$M$496),"")</f>
        <v/>
      </c>
      <c r="G182" s="198" t="str">
        <f t="shared" si="8"/>
        <v/>
      </c>
      <c r="H182" s="205"/>
      <c r="M182" s="206"/>
      <c r="N182" s="202"/>
    </row>
    <row r="183" outlineLevel="1">
      <c r="A183" s="202"/>
      <c r="B183" s="193">
        <v>12.0</v>
      </c>
      <c r="C183" s="212"/>
      <c r="D183" s="213"/>
      <c r="E183" s="196" t="str">
        <f t="array" ref="E183">IFERROR(XLOOKUP(C183,'Stock List'!$C$5:$C$496,'Stock List'!$E$5:$E$496),"")</f>
        <v/>
      </c>
      <c r="F183" s="197" t="str">
        <f t="array" ref="F183">IFERROR(XLOOKUP(C183,'Stock List'!$C$5:$C$496,'Stock List'!$M$5:$M$496),"")</f>
        <v/>
      </c>
      <c r="G183" s="198" t="str">
        <f t="shared" si="8"/>
        <v/>
      </c>
      <c r="H183" s="205"/>
      <c r="M183" s="206"/>
      <c r="N183" s="202"/>
    </row>
    <row r="184" outlineLevel="1">
      <c r="A184" s="202"/>
      <c r="B184" s="182">
        <v>13.0</v>
      </c>
      <c r="C184" s="209"/>
      <c r="D184" s="210"/>
      <c r="E184" s="196" t="str">
        <f t="array" ref="E184">IFERROR(XLOOKUP(C184,'Stock List'!$C$5:$C$496,'Stock List'!$E$5:$E$496),"")</f>
        <v/>
      </c>
      <c r="F184" s="197" t="str">
        <f t="array" ref="F184">IFERROR(XLOOKUP(C184,'Stock List'!$C$5:$C$496,'Stock List'!$M$5:$M$496),"")</f>
        <v/>
      </c>
      <c r="G184" s="198" t="str">
        <f t="shared" si="8"/>
        <v/>
      </c>
      <c r="H184" s="205"/>
      <c r="M184" s="206"/>
      <c r="N184" s="202"/>
    </row>
    <row r="185" outlineLevel="1">
      <c r="A185" s="202"/>
      <c r="B185" s="214" t="s">
        <v>596</v>
      </c>
      <c r="C185" s="215"/>
      <c r="D185" s="216">
        <v>1.0</v>
      </c>
      <c r="E185" s="217"/>
      <c r="F185" s="218" t="s">
        <v>597</v>
      </c>
      <c r="G185" s="219">
        <f>SUM(G172:G184)</f>
        <v>1.259205</v>
      </c>
      <c r="H185" s="205"/>
      <c r="M185" s="206"/>
      <c r="N185" s="202"/>
    </row>
    <row r="186" outlineLevel="1">
      <c r="A186" s="202"/>
      <c r="B186" s="221" t="s">
        <v>598</v>
      </c>
      <c r="C186" s="222"/>
      <c r="D186" s="223">
        <v>0.7</v>
      </c>
      <c r="E186" s="224"/>
      <c r="F186" s="225"/>
      <c r="G186" s="226"/>
      <c r="H186" s="205"/>
      <c r="M186" s="206"/>
      <c r="N186" s="202"/>
    </row>
    <row r="187" outlineLevel="1">
      <c r="A187" s="202"/>
      <c r="B187" s="228" t="s">
        <v>599</v>
      </c>
      <c r="C187" s="189"/>
      <c r="D187" s="229"/>
      <c r="E187" s="230"/>
      <c r="F187" s="231"/>
      <c r="G187" s="232">
        <f>(I171/(1+Settings!$D$6))</f>
        <v>4.454545455</v>
      </c>
      <c r="H187" s="205"/>
      <c r="M187" s="206"/>
      <c r="N187" s="202"/>
    </row>
    <row r="188" outlineLevel="1">
      <c r="A188" s="202"/>
      <c r="B188" s="234" t="s">
        <v>600</v>
      </c>
      <c r="C188" s="189"/>
      <c r="D188" s="229"/>
      <c r="E188" s="230"/>
      <c r="F188" s="231"/>
      <c r="G188" s="235"/>
      <c r="H188" s="205"/>
      <c r="M188" s="206"/>
      <c r="N188" s="202"/>
    </row>
    <row r="189" outlineLevel="1">
      <c r="A189" s="202"/>
      <c r="B189" s="237" t="s">
        <v>601</v>
      </c>
      <c r="C189" s="189"/>
      <c r="D189" s="238"/>
      <c r="E189" s="230"/>
      <c r="F189" s="231"/>
      <c r="G189" s="239">
        <f>iferror(if(and(Settings!$D$8=true,Settings!$D$9=true),(roundup(($G185/(1-$D186))/$D185*(1+Settings!$D$6),0)-0.1),if(Settings!$D$9=true,ceiling(($G185/(1-$D186))/$D185*(1+Settings!$D$6),1),if(Settings!$D$8=true,CEILING((($G185/(1-$D186)))/$D185*(1+Settings!$D$6),0.5)-0.01,(($G185/(1-$D186)))/$D185*(1+Settings!$D$6)))),"")</f>
        <v>4.9</v>
      </c>
      <c r="H189" s="205"/>
      <c r="M189" s="206"/>
      <c r="N189" s="202"/>
    </row>
    <row r="190" outlineLevel="1">
      <c r="A190" s="202"/>
      <c r="B190" s="240" t="s">
        <v>602</v>
      </c>
      <c r="C190" s="189"/>
      <c r="D190" s="224"/>
      <c r="E190" s="241"/>
      <c r="F190" s="242">
        <f>iferror(G185/D185,"")</f>
        <v>1.259205</v>
      </c>
      <c r="G190" s="243">
        <f>iferror(F190/G187,0)</f>
        <v>0.2826786735</v>
      </c>
      <c r="H190" s="205"/>
      <c r="M190" s="206"/>
      <c r="N190" s="202"/>
    </row>
    <row r="191" outlineLevel="1">
      <c r="A191" s="202"/>
      <c r="B191" s="246" t="s">
        <v>603</v>
      </c>
      <c r="C191" s="247"/>
      <c r="D191" s="248"/>
      <c r="E191" s="249"/>
      <c r="F191" s="250">
        <f>$G187-$F190</f>
        <v>3.195340455</v>
      </c>
      <c r="G191" s="251">
        <f>iferror((G187-F190)/G187,0)</f>
        <v>0.7173213265</v>
      </c>
      <c r="H191" s="252"/>
      <c r="I191" s="253"/>
      <c r="J191" s="253"/>
      <c r="K191" s="253"/>
      <c r="L191" s="253"/>
      <c r="M191" s="254"/>
      <c r="N191" s="202"/>
    </row>
    <row r="192" outlineLevel="1">
      <c r="A192" s="202"/>
      <c r="B192" s="256"/>
      <c r="C192" s="202"/>
      <c r="D192" s="256"/>
      <c r="E192" s="202"/>
      <c r="F192" s="202"/>
      <c r="G192" s="256"/>
      <c r="H192" s="256"/>
      <c r="I192" s="202"/>
      <c r="J192" s="256"/>
      <c r="K192" s="256"/>
      <c r="L192" s="256"/>
      <c r="M192" s="256"/>
      <c r="N192" s="202"/>
    </row>
    <row r="193" outlineLevel="1">
      <c r="A193" s="202"/>
      <c r="B193" s="256"/>
      <c r="C193" s="202"/>
      <c r="D193" s="256"/>
      <c r="E193" s="202"/>
      <c r="F193" s="202"/>
      <c r="G193" s="256"/>
      <c r="H193" s="256"/>
      <c r="I193" s="202"/>
      <c r="J193" s="256"/>
      <c r="K193" s="256"/>
      <c r="L193" s="256"/>
      <c r="M193" s="256"/>
      <c r="N193" s="202"/>
    </row>
    <row r="194">
      <c r="A194" s="202"/>
      <c r="B194" s="160" t="s">
        <v>583</v>
      </c>
      <c r="C194" s="161"/>
      <c r="D194" s="162" t="s">
        <v>611</v>
      </c>
      <c r="E194" s="161"/>
      <c r="F194" s="161"/>
      <c r="G194" s="163"/>
      <c r="H194" s="164" t="str">
        <f>Settings!$D$4</f>
        <v>PrepFlow</v>
      </c>
      <c r="I194" s="165" t="s">
        <v>585</v>
      </c>
      <c r="J194" s="166" t="s">
        <v>586</v>
      </c>
      <c r="K194" s="167" t="s">
        <v>587</v>
      </c>
      <c r="L194" s="167" t="s">
        <v>588</v>
      </c>
      <c r="M194" s="168" t="s">
        <v>589</v>
      </c>
      <c r="N194" s="202"/>
    </row>
    <row r="195">
      <c r="A195" s="202"/>
      <c r="B195" s="170" t="s">
        <v>590</v>
      </c>
      <c r="C195" s="171"/>
      <c r="D195" s="172" t="s">
        <v>591</v>
      </c>
      <c r="E195" s="173" t="s">
        <v>592</v>
      </c>
      <c r="F195" s="173" t="s">
        <v>593</v>
      </c>
      <c r="G195" s="174" t="s">
        <v>594</v>
      </c>
      <c r="H195" s="175" t="str">
        <f>D194</f>
        <v>Spring Rolls</v>
      </c>
      <c r="I195" s="176">
        <f>iferror(IF(G212="",G213,G212),"Something went wrong")</f>
        <v>6.9</v>
      </c>
      <c r="J195" s="177">
        <f>iferror($F214,"")</f>
        <v>1.888241733</v>
      </c>
      <c r="K195" s="178">
        <f>$G214</f>
        <v>0.3010240444</v>
      </c>
      <c r="L195" s="176">
        <f>iferror($F215,"")</f>
        <v>4.384485539</v>
      </c>
      <c r="M195" s="179">
        <f>$G215</f>
        <v>0.6989759556</v>
      </c>
      <c r="N195" s="202"/>
    </row>
    <row r="196" outlineLevel="1">
      <c r="A196" s="202"/>
      <c r="B196" s="182">
        <v>1.0</v>
      </c>
      <c r="C196" s="183" t="s">
        <v>200</v>
      </c>
      <c r="D196" s="184">
        <v>3.0</v>
      </c>
      <c r="E196" s="185" t="str">
        <f t="array" ref="E196">IFERROR(XLOOKUP(C196,'Stock List'!$C$5:$C$496,'Stock List'!$E$5:$E$496),"")</f>
        <v>GM</v>
      </c>
      <c r="F196" s="186">
        <f t="array" ref="F196">IFERROR(XLOOKUP(C196,'Stock List'!$C$5:$C$496,'Stock List'!$M$5:$M$496),"")</f>
        <v>0.0132</v>
      </c>
      <c r="G196" s="187">
        <f t="shared" ref="G196:G208" si="9">if(D196*F196=0,"",D196*F196)</f>
        <v>0.0396</v>
      </c>
      <c r="H196" s="188" t="s">
        <v>595</v>
      </c>
      <c r="I196" s="189"/>
      <c r="J196" s="189"/>
      <c r="K196" s="189"/>
      <c r="L196" s="189"/>
      <c r="M196" s="190"/>
      <c r="N196" s="202"/>
    </row>
    <row r="197" outlineLevel="1">
      <c r="A197" s="202"/>
      <c r="B197" s="193">
        <v>2.0</v>
      </c>
      <c r="C197" s="194" t="s">
        <v>501</v>
      </c>
      <c r="D197" s="195">
        <v>80.0</v>
      </c>
      <c r="E197" s="196" t="str">
        <f t="array" ref="E197">IFERROR(XLOOKUP(C197,'Stock List'!$C$5:$C$496,'Stock List'!$E$5:$E$496),"")</f>
        <v>GM</v>
      </c>
      <c r="F197" s="197">
        <f t="array" ref="F197">IFERROR(XLOOKUP(C197,'Stock List'!$C$5:$C$496,'Stock List'!$M$5:$M$496),"")</f>
        <v>0.0161892</v>
      </c>
      <c r="G197" s="198">
        <f t="shared" si="9"/>
        <v>1.295136</v>
      </c>
      <c r="H197" s="199" t="str">
        <f>IFERROR(__xludf.DUMMYFUNCTION("AI(""You’re a seasoned chef talking to another chef in the middle of a busy service. No fluff, no storytelling — just straight, rapid-fire instructions for "" &amp; D194 &amp; "" using only these ingredients: "" &amp; C196 &amp; "", "" &amp; C197 &amp; "", "" &amp; C198 &amp; "", "" &amp; C"&amp;"199 &amp; "", "" &amp; C200 &amp; "", "" &amp; C201 &amp; "", "" &amp; C202 &amp; "", "" &amp; C203 &amp; "", "" &amp; C204 &amp; "", "" &amp; C205 &amp; "", "" &amp; C206 &amp; "", "" &amp; C207 &amp; "", "" &amp; C208 &amp; "". Keep it 5–7 short, sharp steps with pro kitchen lingo and efficient workflow. Format: Dish Name: "" &amp;"&amp;" D194 &amp; "" Method: 1. ... 2. ..."", D194:F208)
"),"Dish Name: Spring Rolls
Method:1.  Brown beef mince, drain fat. Hit it with paprika, salt, pepper.
2.  Stir in tomato sauce and finely chopped pickles. Simmer briefly.
3.  Cool filling. Fold in shredded cheese.
4.  Portion filling onto wrappers. Roll tigh"&amp;"t, seal edges.
5.  Fry or bake until golden and crisp.")</f>
        <v>Dish Name: Spring Rolls
Method:1.  Brown beef mince, drain fat. Hit it with paprika, salt, pepper.
2.  Stir in tomato sauce and finely chopped pickles. Simmer briefly.
3.  Cool filling. Fold in shredded cheese.
4.  Portion filling onto wrappers. Roll tight, seal edges.
5.  Fry or bake until golden and crisp.</v>
      </c>
      <c r="I197" s="200"/>
      <c r="J197" s="200"/>
      <c r="K197" s="200"/>
      <c r="L197" s="200"/>
      <c r="M197" s="201"/>
      <c r="N197" s="202"/>
    </row>
    <row r="198" outlineLevel="1">
      <c r="A198" s="202"/>
      <c r="B198" s="182">
        <v>3.0</v>
      </c>
      <c r="C198" s="203" t="s">
        <v>340</v>
      </c>
      <c r="D198" s="204">
        <v>25.0</v>
      </c>
      <c r="E198" s="196" t="str">
        <f t="array" ref="E198">IFERROR(XLOOKUP(C198,'Stock List'!$C$5:$C$496,'Stock List'!$E$5:$E$496),"")</f>
        <v>GM</v>
      </c>
      <c r="F198" s="197">
        <f t="array" ref="F198">IFERROR(XLOOKUP(C198,'Stock List'!$C$5:$C$496,'Stock List'!$M$5:$M$496),"")</f>
        <v>0.0146864</v>
      </c>
      <c r="G198" s="198">
        <f t="shared" si="9"/>
        <v>0.36716</v>
      </c>
      <c r="H198" s="205"/>
      <c r="M198" s="206"/>
      <c r="N198" s="202"/>
    </row>
    <row r="199" outlineLevel="1">
      <c r="A199" s="202"/>
      <c r="B199" s="193">
        <v>4.0</v>
      </c>
      <c r="C199" s="194" t="s">
        <v>376</v>
      </c>
      <c r="D199" s="195">
        <v>20.0</v>
      </c>
      <c r="E199" s="196" t="str">
        <f t="array" ref="E199">IFERROR(XLOOKUP(C199,'Stock List'!$C$5:$C$496,'Stock List'!$E$5:$E$496),"")</f>
        <v>ML</v>
      </c>
      <c r="F199" s="197">
        <f t="array" ref="F199">IFERROR(XLOOKUP(C199,'Stock List'!$C$5:$C$496,'Stock List'!$M$5:$M$496),"")</f>
        <v>0.0042427</v>
      </c>
      <c r="G199" s="198">
        <f t="shared" si="9"/>
        <v>0.084854</v>
      </c>
      <c r="H199" s="205"/>
      <c r="M199" s="206"/>
      <c r="N199" s="202"/>
    </row>
    <row r="200" outlineLevel="1">
      <c r="A200" s="202"/>
      <c r="B200" s="182">
        <v>5.0</v>
      </c>
      <c r="C200" s="203" t="s">
        <v>283</v>
      </c>
      <c r="D200" s="204">
        <v>10.0</v>
      </c>
      <c r="E200" s="196" t="str">
        <f t="array" ref="E200">IFERROR(XLOOKUP(C200,'Stock List'!$C$5:$C$496,'Stock List'!$E$5:$E$496),"")</f>
        <v>GM</v>
      </c>
      <c r="F200" s="197">
        <f t="array" ref="F200">IFERROR(XLOOKUP(C200,'Stock List'!$C$5:$C$496,'Stock List'!$M$5:$M$496),"")</f>
        <v>0.0055208</v>
      </c>
      <c r="G200" s="198">
        <f t="shared" si="9"/>
        <v>0.055208</v>
      </c>
      <c r="H200" s="205"/>
      <c r="M200" s="206"/>
      <c r="N200" s="202"/>
    </row>
    <row r="201" outlineLevel="1">
      <c r="A201" s="202"/>
      <c r="B201" s="193">
        <v>6.0</v>
      </c>
      <c r="C201" s="194" t="s">
        <v>364</v>
      </c>
      <c r="D201" s="195">
        <v>1.0</v>
      </c>
      <c r="E201" s="196" t="str">
        <f t="array" ref="E201">IFERROR(XLOOKUP(C201,'Stock List'!$C$5:$C$496,'Stock List'!$E$5:$E$496),"")</f>
        <v>GM</v>
      </c>
      <c r="F201" s="197">
        <f t="array" ref="F201">IFERROR(XLOOKUP(C201,'Stock List'!$C$5:$C$496,'Stock List'!$M$5:$M$496),"")</f>
        <v>0.014973</v>
      </c>
      <c r="G201" s="198">
        <f t="shared" si="9"/>
        <v>0.014973</v>
      </c>
      <c r="H201" s="205"/>
      <c r="M201" s="206"/>
      <c r="N201" s="202"/>
    </row>
    <row r="202" outlineLevel="1">
      <c r="A202" s="202"/>
      <c r="B202" s="182">
        <v>7.0</v>
      </c>
      <c r="C202" s="203" t="s">
        <v>327</v>
      </c>
      <c r="D202" s="204">
        <v>1.0</v>
      </c>
      <c r="E202" s="196" t="str">
        <f t="array" ref="E202">IFERROR(XLOOKUP(C202,'Stock List'!$C$5:$C$496,'Stock List'!$E$5:$E$496),"")</f>
        <v>GM</v>
      </c>
      <c r="F202" s="197">
        <f t="array" ref="F202">IFERROR(XLOOKUP(C202,'Stock List'!$C$5:$C$496,'Stock List'!$M$5:$M$496),"")</f>
        <v>0.0013946</v>
      </c>
      <c r="G202" s="198">
        <f t="shared" si="9"/>
        <v>0.0013946</v>
      </c>
      <c r="H202" s="205"/>
      <c r="M202" s="206"/>
      <c r="N202" s="202"/>
    </row>
    <row r="203" outlineLevel="1">
      <c r="A203" s="202"/>
      <c r="B203" s="193">
        <v>8.0</v>
      </c>
      <c r="C203" s="194" t="s">
        <v>184</v>
      </c>
      <c r="D203" s="195">
        <v>1.0</v>
      </c>
      <c r="E203" s="196" t="str">
        <f t="array" ref="E203">IFERROR(XLOOKUP(C203,'Stock List'!$C$5:$C$496,'Stock List'!$E$5:$E$496),"")</f>
        <v>GM</v>
      </c>
      <c r="F203" s="197">
        <f t="array" ref="F203">IFERROR(XLOOKUP(C203,'Stock List'!$C$5:$C$496,'Stock List'!$M$5:$M$496),"")</f>
        <v>0.02991613333</v>
      </c>
      <c r="G203" s="198">
        <f t="shared" si="9"/>
        <v>0.02991613333</v>
      </c>
      <c r="H203" s="205"/>
      <c r="M203" s="206"/>
      <c r="N203" s="202"/>
    </row>
    <row r="204" outlineLevel="1">
      <c r="A204" s="202"/>
      <c r="B204" s="182">
        <v>9.0</v>
      </c>
      <c r="C204" s="203"/>
      <c r="D204" s="207"/>
      <c r="E204" s="196" t="str">
        <f t="array" ref="E204">IFERROR(XLOOKUP(C204,'Stock List'!$C$5:$C$496,'Stock List'!$E$5:$E$496),"")</f>
        <v/>
      </c>
      <c r="F204" s="197" t="str">
        <f t="array" ref="F204">IFERROR(XLOOKUP(C204,'Stock List'!$C$5:$C$496,'Stock List'!$M$5:$M$496),"")</f>
        <v/>
      </c>
      <c r="G204" s="198" t="str">
        <f t="shared" si="9"/>
        <v/>
      </c>
      <c r="H204" s="205"/>
      <c r="M204" s="206"/>
      <c r="N204" s="202"/>
    </row>
    <row r="205" outlineLevel="1">
      <c r="A205" s="202"/>
      <c r="B205" s="193">
        <v>10.0</v>
      </c>
      <c r="C205" s="194"/>
      <c r="D205" s="208"/>
      <c r="E205" s="196" t="str">
        <f t="array" ref="E205">IFERROR(XLOOKUP(C205,'Stock List'!$C$5:$C$496,'Stock List'!$E$5:$E$496),"")</f>
        <v/>
      </c>
      <c r="F205" s="197" t="str">
        <f t="array" ref="F205">IFERROR(XLOOKUP(C205,'Stock List'!$C$5:$C$496,'Stock List'!$M$5:$M$496),"")</f>
        <v/>
      </c>
      <c r="G205" s="198" t="str">
        <f t="shared" si="9"/>
        <v/>
      </c>
      <c r="H205" s="205"/>
      <c r="M205" s="206"/>
      <c r="N205" s="202"/>
    </row>
    <row r="206" outlineLevel="1">
      <c r="A206" s="202"/>
      <c r="B206" s="182">
        <v>11.0</v>
      </c>
      <c r="C206" s="209"/>
      <c r="D206" s="210"/>
      <c r="E206" s="196" t="str">
        <f t="array" ref="E206">IFERROR(XLOOKUP(C206,'Stock List'!$C$5:$C$496,'Stock List'!$E$5:$E$496),"")</f>
        <v/>
      </c>
      <c r="F206" s="197" t="str">
        <f t="array" ref="F206">IFERROR(XLOOKUP(C206,'Stock List'!$C$5:$C$496,'Stock List'!$M$5:$M$496),"")</f>
        <v/>
      </c>
      <c r="G206" s="198" t="str">
        <f t="shared" si="9"/>
        <v/>
      </c>
      <c r="H206" s="205"/>
      <c r="M206" s="206"/>
      <c r="N206" s="202"/>
    </row>
    <row r="207" outlineLevel="1">
      <c r="A207" s="202"/>
      <c r="B207" s="193">
        <v>12.0</v>
      </c>
      <c r="C207" s="212"/>
      <c r="D207" s="213"/>
      <c r="E207" s="196" t="str">
        <f t="array" ref="E207">IFERROR(XLOOKUP(C207,'Stock List'!$C$5:$C$496,'Stock List'!$E$5:$E$496),"")</f>
        <v/>
      </c>
      <c r="F207" s="197" t="str">
        <f t="array" ref="F207">IFERROR(XLOOKUP(C207,'Stock List'!$C$5:$C$496,'Stock List'!$M$5:$M$496),"")</f>
        <v/>
      </c>
      <c r="G207" s="198" t="str">
        <f t="shared" si="9"/>
        <v/>
      </c>
      <c r="H207" s="205"/>
      <c r="M207" s="206"/>
      <c r="N207" s="202"/>
    </row>
    <row r="208" outlineLevel="1">
      <c r="A208" s="202"/>
      <c r="B208" s="182">
        <v>13.0</v>
      </c>
      <c r="C208" s="209"/>
      <c r="D208" s="210"/>
      <c r="E208" s="196" t="str">
        <f t="array" ref="E208">IFERROR(XLOOKUP(C208,'Stock List'!$C$5:$C$496,'Stock List'!$E$5:$E$496),"")</f>
        <v/>
      </c>
      <c r="F208" s="197" t="str">
        <f t="array" ref="F208">IFERROR(XLOOKUP(C208,'Stock List'!$C$5:$C$496,'Stock List'!$M$5:$M$496),"")</f>
        <v/>
      </c>
      <c r="G208" s="198" t="str">
        <f t="shared" si="9"/>
        <v/>
      </c>
      <c r="H208" s="205"/>
      <c r="M208" s="206"/>
      <c r="N208" s="202"/>
    </row>
    <row r="209" outlineLevel="1">
      <c r="A209" s="202"/>
      <c r="B209" s="214" t="s">
        <v>596</v>
      </c>
      <c r="C209" s="215"/>
      <c r="D209" s="216">
        <v>1.0</v>
      </c>
      <c r="E209" s="217"/>
      <c r="F209" s="218" t="s">
        <v>597</v>
      </c>
      <c r="G209" s="219">
        <f>SUM(G196:G208)</f>
        <v>1.888241733</v>
      </c>
      <c r="H209" s="205"/>
      <c r="M209" s="206"/>
      <c r="N209" s="202"/>
    </row>
    <row r="210" outlineLevel="1">
      <c r="A210" s="202"/>
      <c r="B210" s="221" t="s">
        <v>598</v>
      </c>
      <c r="C210" s="222"/>
      <c r="D210" s="223">
        <v>0.7</v>
      </c>
      <c r="E210" s="224"/>
      <c r="F210" s="225"/>
      <c r="G210" s="226"/>
      <c r="H210" s="205"/>
      <c r="M210" s="206"/>
      <c r="N210" s="202"/>
    </row>
    <row r="211" outlineLevel="1">
      <c r="A211" s="202"/>
      <c r="B211" s="228" t="s">
        <v>599</v>
      </c>
      <c r="C211" s="189"/>
      <c r="D211" s="229"/>
      <c r="E211" s="230"/>
      <c r="F211" s="231"/>
      <c r="G211" s="232">
        <f>(I195/(1+Settings!$D$6))</f>
        <v>6.272727273</v>
      </c>
      <c r="H211" s="205"/>
      <c r="M211" s="206"/>
      <c r="N211" s="202"/>
    </row>
    <row r="212" outlineLevel="1">
      <c r="A212" s="202"/>
      <c r="B212" s="234" t="s">
        <v>600</v>
      </c>
      <c r="C212" s="189"/>
      <c r="D212" s="229"/>
      <c r="E212" s="230"/>
      <c r="F212" s="231"/>
      <c r="G212" s="235"/>
      <c r="H212" s="205"/>
      <c r="M212" s="206"/>
      <c r="N212" s="202"/>
    </row>
    <row r="213" outlineLevel="1">
      <c r="A213" s="202"/>
      <c r="B213" s="237" t="s">
        <v>601</v>
      </c>
      <c r="C213" s="189"/>
      <c r="D213" s="238"/>
      <c r="E213" s="230"/>
      <c r="F213" s="231"/>
      <c r="G213" s="239">
        <f>iferror(if(and(Settings!$D$8=true,Settings!$D$9=true),(roundup(($G209/(1-$D210))/$D209*(1+Settings!$D$6),0)-0.1),if(Settings!$D$9=true,ceiling(($G209/(1-$D210))/$D209*(1+Settings!$D$6),1),if(Settings!$D$8=true,CEILING((($G209/(1-$D210)))/$D209*(1+Settings!$D$6),0.5)-0.01,(($G209/(1-$D210)))/$D209*(1+Settings!$D$6)))),"")</f>
        <v>6.9</v>
      </c>
      <c r="H213" s="205"/>
      <c r="M213" s="206"/>
      <c r="N213" s="202"/>
    </row>
    <row r="214" outlineLevel="1">
      <c r="A214" s="202"/>
      <c r="B214" s="240" t="s">
        <v>602</v>
      </c>
      <c r="C214" s="189"/>
      <c r="D214" s="224"/>
      <c r="E214" s="241"/>
      <c r="F214" s="242">
        <f>iferror(G209/D209,"")</f>
        <v>1.888241733</v>
      </c>
      <c r="G214" s="243">
        <f>iferror(F214/G211,0)</f>
        <v>0.3010240444</v>
      </c>
      <c r="H214" s="205"/>
      <c r="M214" s="206"/>
      <c r="N214" s="202"/>
    </row>
    <row r="215" outlineLevel="1">
      <c r="A215" s="202"/>
      <c r="B215" s="246" t="s">
        <v>603</v>
      </c>
      <c r="C215" s="247"/>
      <c r="D215" s="248"/>
      <c r="E215" s="249"/>
      <c r="F215" s="250">
        <f>$G211-$F214</f>
        <v>4.384485539</v>
      </c>
      <c r="G215" s="251">
        <f>iferror((G211-F214)/G211,0)</f>
        <v>0.6989759556</v>
      </c>
      <c r="H215" s="252"/>
      <c r="I215" s="253"/>
      <c r="J215" s="253"/>
      <c r="K215" s="253"/>
      <c r="L215" s="253"/>
      <c r="M215" s="254"/>
      <c r="N215" s="202"/>
    </row>
    <row r="216" outlineLevel="1">
      <c r="A216" s="202"/>
      <c r="B216" s="256"/>
      <c r="C216" s="202"/>
      <c r="D216" s="256"/>
      <c r="E216" s="202"/>
      <c r="F216" s="202"/>
      <c r="G216" s="256"/>
      <c r="H216" s="256"/>
      <c r="I216" s="202"/>
      <c r="J216" s="256"/>
      <c r="K216" s="256"/>
      <c r="L216" s="256"/>
      <c r="M216" s="256"/>
      <c r="N216" s="202"/>
    </row>
    <row r="217" outlineLevel="1">
      <c r="A217" s="202"/>
      <c r="B217" s="256"/>
      <c r="C217" s="202"/>
      <c r="D217" s="256"/>
      <c r="E217" s="202"/>
      <c r="F217" s="202"/>
      <c r="G217" s="256"/>
      <c r="H217" s="256"/>
      <c r="I217" s="202"/>
      <c r="J217" s="256"/>
      <c r="K217" s="256"/>
      <c r="L217" s="256"/>
      <c r="M217" s="256"/>
      <c r="N217" s="202"/>
    </row>
    <row r="218">
      <c r="A218" s="202"/>
      <c r="B218" s="160" t="s">
        <v>583</v>
      </c>
      <c r="C218" s="161"/>
      <c r="D218" s="162" t="s">
        <v>612</v>
      </c>
      <c r="E218" s="161"/>
      <c r="F218" s="161"/>
      <c r="G218" s="163"/>
      <c r="H218" s="164" t="str">
        <f>Settings!$D$4</f>
        <v>PrepFlow</v>
      </c>
      <c r="I218" s="165" t="s">
        <v>585</v>
      </c>
      <c r="J218" s="166" t="s">
        <v>586</v>
      </c>
      <c r="K218" s="167" t="s">
        <v>587</v>
      </c>
      <c r="L218" s="167" t="s">
        <v>588</v>
      </c>
      <c r="M218" s="168" t="s">
        <v>589</v>
      </c>
      <c r="N218" s="202"/>
    </row>
    <row r="219">
      <c r="A219" s="202"/>
      <c r="B219" s="170" t="s">
        <v>590</v>
      </c>
      <c r="C219" s="171"/>
      <c r="D219" s="172" t="s">
        <v>591</v>
      </c>
      <c r="E219" s="173" t="s">
        <v>592</v>
      </c>
      <c r="F219" s="173" t="s">
        <v>593</v>
      </c>
      <c r="G219" s="174" t="s">
        <v>594</v>
      </c>
      <c r="H219" s="175" t="str">
        <f>D218</f>
        <v>Mo Mos</v>
      </c>
      <c r="I219" s="176">
        <f>iferror(IF(G236="",G237,G236),"Something went wrong")</f>
        <v>7</v>
      </c>
      <c r="J219" s="177">
        <f>iferror($F238,"")</f>
        <v>1.617961</v>
      </c>
      <c r="K219" s="178">
        <f>$G238</f>
        <v>0.2542510143</v>
      </c>
      <c r="L219" s="176">
        <f>iferror($F239,"")</f>
        <v>4.745675364</v>
      </c>
      <c r="M219" s="179">
        <f>$G239</f>
        <v>0.7457489857</v>
      </c>
      <c r="N219" s="202"/>
    </row>
    <row r="220" outlineLevel="1">
      <c r="A220" s="202"/>
      <c r="B220" s="182">
        <v>1.0</v>
      </c>
      <c r="C220" s="183" t="s">
        <v>200</v>
      </c>
      <c r="D220" s="184">
        <v>6.0</v>
      </c>
      <c r="E220" s="185" t="str">
        <f t="array" ref="E220">IFERROR(XLOOKUP(C220,'Stock List'!$C$5:$C$496,'Stock List'!$E$5:$E$496),"")</f>
        <v>GM</v>
      </c>
      <c r="F220" s="186">
        <f t="array" ref="F220">IFERROR(XLOOKUP(C220,'Stock List'!$C$5:$C$496,'Stock List'!$M$5:$M$496),"")</f>
        <v>0.0132</v>
      </c>
      <c r="G220" s="187">
        <f t="shared" ref="G220:G232" si="10">if(D220*F220=0,"",D220*F220)</f>
        <v>0.0792</v>
      </c>
      <c r="H220" s="188" t="s">
        <v>595</v>
      </c>
      <c r="I220" s="189"/>
      <c r="J220" s="189"/>
      <c r="K220" s="189"/>
      <c r="L220" s="189"/>
      <c r="M220" s="190"/>
      <c r="N220" s="202"/>
    </row>
    <row r="221" outlineLevel="1">
      <c r="A221" s="202"/>
      <c r="B221" s="193">
        <v>2.0</v>
      </c>
      <c r="C221" s="194" t="s">
        <v>254</v>
      </c>
      <c r="D221" s="195">
        <v>80.0</v>
      </c>
      <c r="E221" s="196" t="str">
        <f t="array" ref="E221">IFERROR(XLOOKUP(C221,'Stock List'!$C$5:$C$496,'Stock List'!$E$5:$E$496),"")</f>
        <v>GM</v>
      </c>
      <c r="F221" s="197">
        <f t="array" ref="F221">IFERROR(XLOOKUP(C221,'Stock List'!$C$5:$C$496,'Stock List'!$M$5:$M$496),"")</f>
        <v>0.015078</v>
      </c>
      <c r="G221" s="198">
        <f t="shared" si="10"/>
        <v>1.20624</v>
      </c>
      <c r="H221" s="199" t="str">
        <f>IFERROR(__xludf.DUMMYFUNCTION("AI(""You’re a seasoned chef talking to another chef in the middle of a busy service. No fluff, no storytelling — just straight, rapid-fire instructions for "" &amp; D218 &amp; "" using only these ingredients: "" &amp; C220 &amp; "", "" &amp; C221 &amp; "", "" &amp; C222 &amp; "", "" &amp; C"&amp;"223 &amp; "", "" &amp; C224 &amp; "", "" &amp; C225 &amp; "", "" &amp; C226 &amp; "", "" &amp; C227 &amp; "", "" &amp; C228 &amp; "", "" &amp; C229 &amp; "", "" &amp; C230 &amp; "", "" &amp; C231 &amp; "", "" &amp; C232 &amp; "". Keep it 5–7 short, sharp steps with pro kitchen lingo and efficient workflow. Format: Dish Name: "" &amp;"&amp;" D218 &amp; "" Method: 1. ... 2. ..."", D218:F232)
"),"Dish Name: Mo Mos
Method:1.  Combine pork, ginger, chili, and soy. Mix well.
2.  Portion filling, center on wrappers.
3.  Crimp edges to seal.
4.  Steam until cooked through.
5.  Plate immediately.")</f>
        <v>Dish Name: Mo Mos
Method:1.  Combine pork, ginger, chili, and soy. Mix well.
2.  Portion filling, center on wrappers.
3.  Crimp edges to seal.
4.  Steam until cooked through.
5.  Plate immediately.</v>
      </c>
      <c r="I221" s="200"/>
      <c r="J221" s="200"/>
      <c r="K221" s="200"/>
      <c r="L221" s="200"/>
      <c r="M221" s="201"/>
      <c r="N221" s="202"/>
    </row>
    <row r="222" outlineLevel="1">
      <c r="A222" s="202"/>
      <c r="B222" s="182">
        <v>3.0</v>
      </c>
      <c r="C222" s="203" t="s">
        <v>187</v>
      </c>
      <c r="D222" s="204">
        <v>10.0</v>
      </c>
      <c r="E222" s="196" t="str">
        <f t="array" ref="E222">IFERROR(XLOOKUP(C222,'Stock List'!$C$5:$C$496,'Stock List'!$E$5:$E$496),"")</f>
        <v>GM</v>
      </c>
      <c r="F222" s="197">
        <f t="array" ref="F222">IFERROR(XLOOKUP(C222,'Stock List'!$C$5:$C$496,'Stock List'!$M$5:$M$496),"")</f>
        <v>0.0088404</v>
      </c>
      <c r="G222" s="198">
        <f t="shared" si="10"/>
        <v>0.088404</v>
      </c>
      <c r="H222" s="205"/>
      <c r="M222" s="206"/>
      <c r="N222" s="202"/>
    </row>
    <row r="223" outlineLevel="1">
      <c r="A223" s="202"/>
      <c r="B223" s="193">
        <v>4.0</v>
      </c>
      <c r="C223" s="194" t="s">
        <v>163</v>
      </c>
      <c r="D223" s="195">
        <v>10.0</v>
      </c>
      <c r="E223" s="196" t="str">
        <f t="array" ref="E223">IFERROR(XLOOKUP(C223,'Stock List'!$C$5:$C$496,'Stock List'!$E$5:$E$496),"")</f>
        <v>GM</v>
      </c>
      <c r="F223" s="197">
        <f t="array" ref="F223">IFERROR(XLOOKUP(C223,'Stock List'!$C$5:$C$496,'Stock List'!$M$5:$M$496),"")</f>
        <v>0.0077147</v>
      </c>
      <c r="G223" s="198">
        <f t="shared" si="10"/>
        <v>0.077147</v>
      </c>
      <c r="H223" s="205"/>
      <c r="M223" s="206"/>
      <c r="N223" s="202"/>
    </row>
    <row r="224" outlineLevel="1">
      <c r="A224" s="202"/>
      <c r="B224" s="182">
        <v>5.0</v>
      </c>
      <c r="C224" s="203" t="s">
        <v>348</v>
      </c>
      <c r="D224" s="204">
        <v>20.0</v>
      </c>
      <c r="E224" s="196" t="str">
        <f t="array" ref="E224">IFERROR(XLOOKUP(C224,'Stock List'!$C$5:$C$496,'Stock List'!$E$5:$E$496),"")</f>
        <v>ML</v>
      </c>
      <c r="F224" s="197">
        <f t="array" ref="F224">IFERROR(XLOOKUP(C224,'Stock List'!$C$5:$C$496,'Stock List'!$M$5:$M$496),"")</f>
        <v>0.0083485</v>
      </c>
      <c r="G224" s="198">
        <f t="shared" si="10"/>
        <v>0.16697</v>
      </c>
      <c r="H224" s="205"/>
      <c r="M224" s="206"/>
      <c r="N224" s="202"/>
    </row>
    <row r="225" outlineLevel="1">
      <c r="A225" s="202"/>
      <c r="B225" s="193">
        <v>6.0</v>
      </c>
      <c r="C225" s="194"/>
      <c r="D225" s="195"/>
      <c r="E225" s="196" t="str">
        <f t="array" ref="E225">IFERROR(XLOOKUP(C225,'Stock List'!$C$5:$C$496,'Stock List'!$E$5:$E$496),"")</f>
        <v/>
      </c>
      <c r="F225" s="197" t="str">
        <f t="array" ref="F225">IFERROR(XLOOKUP(C225,'Stock List'!$C$5:$C$496,'Stock List'!$M$5:$M$496),"")</f>
        <v/>
      </c>
      <c r="G225" s="198" t="str">
        <f t="shared" si="10"/>
        <v/>
      </c>
      <c r="H225" s="205"/>
      <c r="M225" s="206"/>
      <c r="N225" s="202"/>
    </row>
    <row r="226" outlineLevel="1">
      <c r="A226" s="202"/>
      <c r="B226" s="182">
        <v>7.0</v>
      </c>
      <c r="C226" s="203"/>
      <c r="D226" s="204"/>
      <c r="E226" s="196" t="str">
        <f t="array" ref="E226">IFERROR(XLOOKUP(C226,'Stock List'!$C$5:$C$496,'Stock List'!$E$5:$E$496),"")</f>
        <v/>
      </c>
      <c r="F226" s="197" t="str">
        <f t="array" ref="F226">IFERROR(XLOOKUP(C226,'Stock List'!$C$5:$C$496,'Stock List'!$M$5:$M$496),"")</f>
        <v/>
      </c>
      <c r="G226" s="198" t="str">
        <f t="shared" si="10"/>
        <v/>
      </c>
      <c r="H226" s="205"/>
      <c r="M226" s="206"/>
      <c r="N226" s="202"/>
    </row>
    <row r="227" outlineLevel="1">
      <c r="A227" s="202"/>
      <c r="B227" s="193">
        <v>8.0</v>
      </c>
      <c r="C227" s="194"/>
      <c r="D227" s="195"/>
      <c r="E227" s="196" t="str">
        <f t="array" ref="E227">IFERROR(XLOOKUP(C227,'Stock List'!$C$5:$C$496,'Stock List'!$E$5:$E$496),"")</f>
        <v/>
      </c>
      <c r="F227" s="197" t="str">
        <f t="array" ref="F227">IFERROR(XLOOKUP(C227,'Stock List'!$C$5:$C$496,'Stock List'!$M$5:$M$496),"")</f>
        <v/>
      </c>
      <c r="G227" s="198" t="str">
        <f t="shared" si="10"/>
        <v/>
      </c>
      <c r="H227" s="205"/>
      <c r="M227" s="206"/>
      <c r="N227" s="202"/>
    </row>
    <row r="228" outlineLevel="1">
      <c r="A228" s="202"/>
      <c r="B228" s="182">
        <v>9.0</v>
      </c>
      <c r="C228" s="203"/>
      <c r="D228" s="204"/>
      <c r="E228" s="196" t="str">
        <f t="array" ref="E228">IFERROR(XLOOKUP(C228,'Stock List'!$C$5:$C$496,'Stock List'!$E$5:$E$496),"")</f>
        <v/>
      </c>
      <c r="F228" s="197" t="str">
        <f t="array" ref="F228">IFERROR(XLOOKUP(C228,'Stock List'!$C$5:$C$496,'Stock List'!$M$5:$M$496),"")</f>
        <v/>
      </c>
      <c r="G228" s="198" t="str">
        <f t="shared" si="10"/>
        <v/>
      </c>
      <c r="H228" s="205"/>
      <c r="M228" s="206"/>
      <c r="N228" s="202"/>
    </row>
    <row r="229" outlineLevel="1">
      <c r="A229" s="202"/>
      <c r="B229" s="193">
        <v>10.0</v>
      </c>
      <c r="C229" s="194"/>
      <c r="D229" s="195"/>
      <c r="E229" s="196" t="str">
        <f t="array" ref="E229">IFERROR(XLOOKUP(C229,'Stock List'!$C$5:$C$496,'Stock List'!$E$5:$E$496),"")</f>
        <v/>
      </c>
      <c r="F229" s="197" t="str">
        <f t="array" ref="F229">IFERROR(XLOOKUP(C229,'Stock List'!$C$5:$C$496,'Stock List'!$M$5:$M$496),"")</f>
        <v/>
      </c>
      <c r="G229" s="198" t="str">
        <f t="shared" si="10"/>
        <v/>
      </c>
      <c r="H229" s="205"/>
      <c r="M229" s="206"/>
      <c r="N229" s="202"/>
    </row>
    <row r="230" outlineLevel="1">
      <c r="A230" s="202"/>
      <c r="B230" s="182">
        <v>11.0</v>
      </c>
      <c r="C230" s="203"/>
      <c r="D230" s="259"/>
      <c r="E230" s="196" t="str">
        <f t="array" ref="E230">IFERROR(XLOOKUP(C230,'Stock List'!$C$5:$C$496,'Stock List'!$E$5:$E$496),"")</f>
        <v/>
      </c>
      <c r="F230" s="197" t="str">
        <f t="array" ref="F230">IFERROR(XLOOKUP(C230,'Stock List'!$C$5:$C$496,'Stock List'!$M$5:$M$496),"")</f>
        <v/>
      </c>
      <c r="G230" s="198" t="str">
        <f t="shared" si="10"/>
        <v/>
      </c>
      <c r="H230" s="205"/>
      <c r="M230" s="206"/>
      <c r="N230" s="202"/>
    </row>
    <row r="231" outlineLevel="1">
      <c r="A231" s="202"/>
      <c r="B231" s="193">
        <v>12.0</v>
      </c>
      <c r="C231" s="212"/>
      <c r="D231" s="260"/>
      <c r="E231" s="196" t="str">
        <f t="array" ref="E231">IFERROR(XLOOKUP(C231,'Stock List'!$C$5:$C$496,'Stock List'!$E$5:$E$496),"")</f>
        <v/>
      </c>
      <c r="F231" s="197" t="str">
        <f t="array" ref="F231">IFERROR(XLOOKUP(C231,'Stock List'!$C$5:$C$496,'Stock List'!$M$5:$M$496),"")</f>
        <v/>
      </c>
      <c r="G231" s="198" t="str">
        <f t="shared" si="10"/>
        <v/>
      </c>
      <c r="H231" s="205"/>
      <c r="M231" s="206"/>
      <c r="N231" s="202"/>
    </row>
    <row r="232" outlineLevel="1">
      <c r="A232" s="202"/>
      <c r="B232" s="182">
        <v>13.0</v>
      </c>
      <c r="C232" s="209"/>
      <c r="D232" s="259"/>
      <c r="E232" s="196" t="str">
        <f t="array" ref="E232">IFERROR(XLOOKUP(C232,'Stock List'!$C$5:$C$496,'Stock List'!$E$5:$E$496),"")</f>
        <v/>
      </c>
      <c r="F232" s="197" t="str">
        <f t="array" ref="F232">IFERROR(XLOOKUP(C232,'Stock List'!$C$5:$C$496,'Stock List'!$M$5:$M$496),"")</f>
        <v/>
      </c>
      <c r="G232" s="198" t="str">
        <f t="shared" si="10"/>
        <v/>
      </c>
      <c r="H232" s="205"/>
      <c r="M232" s="206"/>
      <c r="N232" s="202"/>
    </row>
    <row r="233" outlineLevel="1">
      <c r="A233" s="202"/>
      <c r="B233" s="214" t="s">
        <v>596</v>
      </c>
      <c r="C233" s="215"/>
      <c r="D233" s="216">
        <v>1.0</v>
      </c>
      <c r="E233" s="217"/>
      <c r="F233" s="218" t="s">
        <v>597</v>
      </c>
      <c r="G233" s="219">
        <f>SUM(G220:G232)</f>
        <v>1.617961</v>
      </c>
      <c r="H233" s="205"/>
      <c r="M233" s="206"/>
      <c r="N233" s="202"/>
    </row>
    <row r="234" outlineLevel="1">
      <c r="A234" s="202"/>
      <c r="B234" s="221" t="s">
        <v>598</v>
      </c>
      <c r="C234" s="222"/>
      <c r="D234" s="223">
        <v>0.72</v>
      </c>
      <c r="E234" s="224"/>
      <c r="F234" s="225"/>
      <c r="G234" s="226"/>
      <c r="H234" s="205"/>
      <c r="M234" s="206"/>
      <c r="N234" s="202"/>
    </row>
    <row r="235" outlineLevel="1">
      <c r="A235" s="202"/>
      <c r="B235" s="228" t="s">
        <v>599</v>
      </c>
      <c r="C235" s="189"/>
      <c r="D235" s="229"/>
      <c r="E235" s="230"/>
      <c r="F235" s="231"/>
      <c r="G235" s="232">
        <f>(I219/(1+Settings!$D$6))</f>
        <v>6.363636364</v>
      </c>
      <c r="H235" s="205"/>
      <c r="M235" s="206"/>
      <c r="N235" s="202"/>
    </row>
    <row r="236" outlineLevel="1">
      <c r="A236" s="202"/>
      <c r="B236" s="234" t="s">
        <v>600</v>
      </c>
      <c r="C236" s="189"/>
      <c r="D236" s="229"/>
      <c r="E236" s="230"/>
      <c r="F236" s="231"/>
      <c r="G236" s="235">
        <v>7.0</v>
      </c>
      <c r="H236" s="205"/>
      <c r="M236" s="206"/>
      <c r="N236" s="202"/>
    </row>
    <row r="237" outlineLevel="1">
      <c r="A237" s="202"/>
      <c r="B237" s="237" t="s">
        <v>601</v>
      </c>
      <c r="C237" s="189"/>
      <c r="D237" s="238"/>
      <c r="E237" s="230"/>
      <c r="F237" s="231"/>
      <c r="G237" s="239">
        <f>iferror(if(and(Settings!$D$8=true,Settings!$D$9=true),(roundup(($G233/(1-$D234))/$D233*(1+Settings!$D$6),0)-0.1),if(Settings!$D$9=true,ceiling(($G233/(1-$D234))/$D233*(1+Settings!$D$6),1),if(Settings!$D$8=true,CEILING((($G233/(1-$D234)))/$D233*(1+Settings!$D$6),0.5)-0.01,(($G233/(1-$D234)))/$D233*(1+Settings!$D$6)))),"")</f>
        <v>6.9</v>
      </c>
      <c r="H237" s="205"/>
      <c r="M237" s="206"/>
      <c r="N237" s="202"/>
    </row>
    <row r="238" outlineLevel="1">
      <c r="A238" s="202"/>
      <c r="B238" s="240" t="s">
        <v>602</v>
      </c>
      <c r="C238" s="189"/>
      <c r="D238" s="224"/>
      <c r="E238" s="241"/>
      <c r="F238" s="242">
        <f>iferror(G233/D233,"")</f>
        <v>1.617961</v>
      </c>
      <c r="G238" s="243">
        <f>iferror(F238/G235,0)</f>
        <v>0.2542510143</v>
      </c>
      <c r="H238" s="205"/>
      <c r="M238" s="206"/>
      <c r="N238" s="202"/>
    </row>
    <row r="239" outlineLevel="1">
      <c r="A239" s="202"/>
      <c r="B239" s="246" t="s">
        <v>603</v>
      </c>
      <c r="C239" s="247"/>
      <c r="D239" s="248"/>
      <c r="E239" s="249"/>
      <c r="F239" s="250">
        <f>$G235-$F238</f>
        <v>4.745675364</v>
      </c>
      <c r="G239" s="251">
        <f>iferror((G235-F238)/G235,0)</f>
        <v>0.7457489857</v>
      </c>
      <c r="H239" s="252"/>
      <c r="I239" s="253"/>
      <c r="J239" s="253"/>
      <c r="K239" s="253"/>
      <c r="L239" s="253"/>
      <c r="M239" s="254"/>
      <c r="N239" s="202"/>
    </row>
    <row r="240" outlineLevel="1">
      <c r="A240" s="202"/>
      <c r="B240" s="256"/>
      <c r="C240" s="202"/>
      <c r="D240" s="256"/>
      <c r="E240" s="202"/>
      <c r="F240" s="202"/>
      <c r="G240" s="256"/>
      <c r="H240" s="256"/>
      <c r="I240" s="202"/>
      <c r="J240" s="256"/>
      <c r="K240" s="256"/>
      <c r="L240" s="256"/>
      <c r="M240" s="256"/>
      <c r="N240" s="202"/>
    </row>
    <row r="241" outlineLevel="1">
      <c r="A241" s="202"/>
      <c r="B241" s="256"/>
      <c r="C241" s="202"/>
      <c r="D241" s="256"/>
      <c r="E241" s="202"/>
      <c r="F241" s="202"/>
      <c r="G241" s="256"/>
      <c r="H241" s="256"/>
      <c r="I241" s="202"/>
      <c r="J241" s="256"/>
      <c r="K241" s="256"/>
      <c r="L241" s="256"/>
      <c r="M241" s="256"/>
      <c r="N241" s="202"/>
    </row>
    <row r="242">
      <c r="A242" s="202"/>
      <c r="B242" s="160" t="s">
        <v>583</v>
      </c>
      <c r="C242" s="161"/>
      <c r="D242" s="162" t="s">
        <v>613</v>
      </c>
      <c r="E242" s="161"/>
      <c r="F242" s="161"/>
      <c r="G242" s="163"/>
      <c r="H242" s="164" t="str">
        <f>Settings!$D$4</f>
        <v>PrepFlow</v>
      </c>
      <c r="I242" s="165" t="s">
        <v>585</v>
      </c>
      <c r="J242" s="166" t="s">
        <v>586</v>
      </c>
      <c r="K242" s="167" t="s">
        <v>587</v>
      </c>
      <c r="L242" s="167" t="s">
        <v>588</v>
      </c>
      <c r="M242" s="168" t="s">
        <v>589</v>
      </c>
      <c r="N242" s="202"/>
    </row>
    <row r="243">
      <c r="A243" s="202"/>
      <c r="B243" s="170" t="s">
        <v>590</v>
      </c>
      <c r="C243" s="171"/>
      <c r="D243" s="172" t="s">
        <v>591</v>
      </c>
      <c r="E243" s="173" t="s">
        <v>592</v>
      </c>
      <c r="F243" s="173" t="s">
        <v>593</v>
      </c>
      <c r="G243" s="174" t="s">
        <v>594</v>
      </c>
      <c r="H243" s="175" t="str">
        <f>D242</f>
        <v>Chicken Burger</v>
      </c>
      <c r="I243" s="176">
        <f>iferror(IF(G260="",G261,G260),"Something went wrong")</f>
        <v>19</v>
      </c>
      <c r="J243" s="177">
        <f>iferror($F262,"")</f>
        <v>4.91222023</v>
      </c>
      <c r="K243" s="178">
        <f>$G262</f>
        <v>0.2843916975</v>
      </c>
      <c r="L243" s="176">
        <f>iferror($F263,"")</f>
        <v>12.36050704</v>
      </c>
      <c r="M243" s="179">
        <f>$G263</f>
        <v>0.7156083025</v>
      </c>
      <c r="N243" s="202"/>
    </row>
    <row r="244" outlineLevel="1">
      <c r="A244" s="202"/>
      <c r="B244" s="182">
        <v>1.0</v>
      </c>
      <c r="C244" s="183" t="s">
        <v>379</v>
      </c>
      <c r="D244" s="184">
        <v>1.0</v>
      </c>
      <c r="E244" s="185" t="str">
        <f t="array" ref="E244">IFERROR(XLOOKUP(C244,'Stock List'!$C$5:$C$496,'Stock List'!$E$5:$E$496),"")</f>
        <v>PC</v>
      </c>
      <c r="F244" s="186">
        <f t="array" ref="F244">IFERROR(XLOOKUP(C244,'Stock List'!$C$5:$C$496,'Stock List'!$M$5:$M$496),"")</f>
        <v>1.14103</v>
      </c>
      <c r="G244" s="187">
        <f t="shared" ref="G244:G256" si="11">if(D244*F244=0,"",D244*F244)</f>
        <v>1.14103</v>
      </c>
      <c r="H244" s="188" t="s">
        <v>595</v>
      </c>
      <c r="I244" s="189"/>
      <c r="J244" s="189"/>
      <c r="K244" s="189"/>
      <c r="L244" s="189"/>
      <c r="M244" s="190"/>
      <c r="N244" s="202"/>
    </row>
    <row r="245" outlineLevel="1">
      <c r="A245" s="202"/>
      <c r="B245" s="193">
        <v>2.0</v>
      </c>
      <c r="C245" s="194" t="s">
        <v>166</v>
      </c>
      <c r="D245" s="195">
        <v>120.0</v>
      </c>
      <c r="E245" s="196" t="str">
        <f t="array" ref="E245">IFERROR(XLOOKUP(C245,'Stock List'!$C$5:$C$496,'Stock List'!$E$5:$E$496),"")</f>
        <v>GM</v>
      </c>
      <c r="F245" s="197">
        <f t="array" ref="F245">IFERROR(XLOOKUP(C245,'Stock List'!$C$5:$C$496,'Stock List'!$M$5:$M$496),"")</f>
        <v>0.0076835</v>
      </c>
      <c r="G245" s="198">
        <f t="shared" si="11"/>
        <v>0.92202</v>
      </c>
      <c r="H245" s="199" t="str">
        <f>IFERROR(__xludf.DUMMYFUNCTION("AI(""You’re a seasoned chef talking to another chef in the middle of a busy service. No fluff, no storytelling — just straight, rapid-fire instructions for "" &amp; D242 &amp; "" using only these ingredients: "" &amp; C244 &amp; "", "" &amp; C245 &amp; "", "" &amp; C246 &amp; "", "" &amp; C"&amp;"247 &amp; "", "" &amp; C248 &amp; "", "" &amp; C249 &amp; "", "" &amp; C250 &amp; "", "" &amp; C251 &amp; "", "" &amp; C252 &amp; "", "" &amp; C253 &amp; "", "" &amp; C254 &amp; "", "" &amp; C255 &amp; "", "" &amp; C256 &amp; "". Keep it 5–7 short, sharp steps with pro kitchen lingo and efficient workflow. Format: Dish Name: "" &amp;"&amp;" D242 &amp; "" Method: 1. ... 2. ..."", D242:F256)
"),"Dish Name: Chicken Burger
Method:1.  Grill breast, season hard.
2.  Toast roll, both halves.
3.  Slather roll with aioli, then tomato sauce.
4.  Stack: mesclun, tomato, beetroot, hot chicken breast.
5.  Plate with crisp chips.")</f>
        <v>Dish Name: Chicken Burger
Method:1.  Grill breast, season hard.
2.  Toast roll, both halves.
3.  Slather roll with aioli, then tomato sauce.
4.  Stack: mesclun, tomato, beetroot, hot chicken breast.
5.  Plate with crisp chips.</v>
      </c>
      <c r="I245" s="200"/>
      <c r="J245" s="200"/>
      <c r="K245" s="200"/>
      <c r="L245" s="200"/>
      <c r="M245" s="201"/>
      <c r="N245" s="202"/>
    </row>
    <row r="246" outlineLevel="1">
      <c r="A246" s="202"/>
      <c r="B246" s="182">
        <v>3.0</v>
      </c>
      <c r="C246" s="203" t="s">
        <v>118</v>
      </c>
      <c r="D246" s="204">
        <v>30.0</v>
      </c>
      <c r="E246" s="196" t="str">
        <f t="array" ref="E246">IFERROR(XLOOKUP(C246,'Stock List'!$C$5:$C$496,'Stock List'!$E$5:$E$496),"")</f>
        <v>GM</v>
      </c>
      <c r="F246" s="197">
        <f t="array" ref="F246">IFERROR(XLOOKUP(C246,'Stock List'!$C$5:$C$496,'Stock List'!$M$5:$M$496),"")</f>
        <v>0.002286338028</v>
      </c>
      <c r="G246" s="198">
        <f t="shared" si="11"/>
        <v>0.06859014085</v>
      </c>
      <c r="H246" s="205"/>
      <c r="M246" s="206"/>
      <c r="N246" s="202"/>
    </row>
    <row r="247" outlineLevel="1">
      <c r="A247" s="202"/>
      <c r="B247" s="193">
        <v>4.0</v>
      </c>
      <c r="C247" s="194" t="s">
        <v>373</v>
      </c>
      <c r="D247" s="195">
        <v>30.0</v>
      </c>
      <c r="E247" s="196" t="str">
        <f t="array" ref="E247">IFERROR(XLOOKUP(C247,'Stock List'!$C$5:$C$496,'Stock List'!$E$5:$E$496),"")</f>
        <v>GM</v>
      </c>
      <c r="F247" s="197">
        <f t="array" ref="F247">IFERROR(XLOOKUP(C247,'Stock List'!$C$5:$C$496,'Stock List'!$M$5:$M$496),"")</f>
        <v>0.005658</v>
      </c>
      <c r="G247" s="198">
        <f t="shared" si="11"/>
        <v>0.16974</v>
      </c>
      <c r="H247" s="205"/>
      <c r="M247" s="206"/>
      <c r="N247" s="202"/>
    </row>
    <row r="248" outlineLevel="1">
      <c r="A248" s="202"/>
      <c r="B248" s="182">
        <v>5.0</v>
      </c>
      <c r="C248" s="203" t="s">
        <v>250</v>
      </c>
      <c r="D248" s="204">
        <v>10.0</v>
      </c>
      <c r="E248" s="196" t="str">
        <f t="array" ref="E248">IFERROR(XLOOKUP(C248,'Stock List'!$C$5:$C$496,'Stock List'!$E$5:$E$496),"")</f>
        <v>GM</v>
      </c>
      <c r="F248" s="197">
        <f t="array" ref="F248">IFERROR(XLOOKUP(C248,'Stock List'!$C$5:$C$496,'Stock List'!$M$5:$M$496),"")</f>
        <v>0.007508888889</v>
      </c>
      <c r="G248" s="198">
        <f t="shared" si="11"/>
        <v>0.07508888889</v>
      </c>
      <c r="H248" s="205"/>
      <c r="M248" s="206"/>
      <c r="N248" s="202"/>
    </row>
    <row r="249" outlineLevel="1">
      <c r="A249" s="202"/>
      <c r="B249" s="193">
        <v>6.0</v>
      </c>
      <c r="C249" s="194" t="s">
        <v>376</v>
      </c>
      <c r="D249" s="195">
        <v>60.0</v>
      </c>
      <c r="E249" s="196" t="str">
        <f t="array" ref="E249">IFERROR(XLOOKUP(C249,'Stock List'!$C$5:$C$496,'Stock List'!$E$5:$E$496),"")</f>
        <v>ML</v>
      </c>
      <c r="F249" s="197">
        <f t="array" ref="F249">IFERROR(XLOOKUP(C249,'Stock List'!$C$5:$C$496,'Stock List'!$M$5:$M$496),"")</f>
        <v>0.0042427</v>
      </c>
      <c r="G249" s="198">
        <f t="shared" si="11"/>
        <v>0.254562</v>
      </c>
      <c r="H249" s="205"/>
      <c r="M249" s="206"/>
      <c r="N249" s="202"/>
    </row>
    <row r="250" outlineLevel="1">
      <c r="A250" s="202"/>
      <c r="B250" s="182">
        <v>7.0</v>
      </c>
      <c r="C250" s="203" t="s">
        <v>96</v>
      </c>
      <c r="D250" s="204">
        <v>30.0</v>
      </c>
      <c r="E250" s="196" t="str">
        <f t="array" ref="E250">IFERROR(XLOOKUP(C250,'Stock List'!$C$5:$C$496,'Stock List'!$E$5:$E$496),"")</f>
        <v>ML</v>
      </c>
      <c r="F250" s="197">
        <f t="array" ref="F250">IFERROR(XLOOKUP(C250,'Stock List'!$C$5:$C$496,'Stock List'!$M$5:$M$496),"")</f>
        <v>0.00945764</v>
      </c>
      <c r="G250" s="198">
        <f t="shared" si="11"/>
        <v>0.2837292</v>
      </c>
      <c r="H250" s="205"/>
      <c r="M250" s="206"/>
      <c r="N250" s="202"/>
    </row>
    <row r="251" outlineLevel="1">
      <c r="A251" s="202"/>
      <c r="B251" s="193">
        <v>8.0</v>
      </c>
      <c r="C251" s="194" t="s">
        <v>152</v>
      </c>
      <c r="D251" s="195">
        <v>120.0</v>
      </c>
      <c r="E251" s="196" t="str">
        <f t="array" ref="E251">IFERROR(XLOOKUP(C251,'Stock List'!$C$5:$C$496,'Stock List'!$E$5:$E$496),"")</f>
        <v>GM</v>
      </c>
      <c r="F251" s="197">
        <f t="array" ref="F251">IFERROR(XLOOKUP(C251,'Stock List'!$C$5:$C$496,'Stock List'!$M$5:$M$496),"")</f>
        <v>0.0166455</v>
      </c>
      <c r="G251" s="198">
        <f t="shared" si="11"/>
        <v>1.99746</v>
      </c>
      <c r="H251" s="205"/>
      <c r="M251" s="206"/>
      <c r="N251" s="202"/>
    </row>
    <row r="252" outlineLevel="1">
      <c r="A252" s="202"/>
      <c r="B252" s="182">
        <v>9.0</v>
      </c>
      <c r="C252" s="203"/>
      <c r="D252" s="207"/>
      <c r="E252" s="196" t="str">
        <f t="array" ref="E252">IFERROR(XLOOKUP(C252,'Stock List'!$C$5:$C$496,'Stock List'!$E$5:$E$496),"")</f>
        <v/>
      </c>
      <c r="F252" s="197" t="str">
        <f t="array" ref="F252">IFERROR(XLOOKUP(C252,'Stock List'!$C$5:$C$496,'Stock List'!$M$5:$M$496),"")</f>
        <v/>
      </c>
      <c r="G252" s="198" t="str">
        <f t="shared" si="11"/>
        <v/>
      </c>
      <c r="H252" s="205"/>
      <c r="M252" s="206"/>
      <c r="N252" s="202"/>
    </row>
    <row r="253" outlineLevel="1">
      <c r="A253" s="202"/>
      <c r="B253" s="193">
        <v>10.0</v>
      </c>
      <c r="C253" s="194"/>
      <c r="D253" s="208"/>
      <c r="E253" s="196" t="str">
        <f t="array" ref="E253">IFERROR(XLOOKUP(C253,'Stock List'!$C$5:$C$496,'Stock List'!$E$5:$E$496),"")</f>
        <v/>
      </c>
      <c r="F253" s="197" t="str">
        <f t="array" ref="F253">IFERROR(XLOOKUP(C253,'Stock List'!$C$5:$C$496,'Stock List'!$M$5:$M$496),"")</f>
        <v/>
      </c>
      <c r="G253" s="198" t="str">
        <f t="shared" si="11"/>
        <v/>
      </c>
      <c r="H253" s="205"/>
      <c r="M253" s="206"/>
      <c r="N253" s="202"/>
    </row>
    <row r="254" outlineLevel="1">
      <c r="A254" s="202"/>
      <c r="B254" s="182">
        <v>11.0</v>
      </c>
      <c r="C254" s="209"/>
      <c r="D254" s="210"/>
      <c r="E254" s="196" t="str">
        <f t="array" ref="E254">IFERROR(XLOOKUP(C254,'Stock List'!$C$5:$C$496,'Stock List'!$E$5:$E$496),"")</f>
        <v/>
      </c>
      <c r="F254" s="197" t="str">
        <f t="array" ref="F254">IFERROR(XLOOKUP(C254,'Stock List'!$C$5:$C$496,'Stock List'!$M$5:$M$496),"")</f>
        <v/>
      </c>
      <c r="G254" s="198" t="str">
        <f t="shared" si="11"/>
        <v/>
      </c>
      <c r="H254" s="205"/>
      <c r="M254" s="206"/>
      <c r="N254" s="202"/>
    </row>
    <row r="255" outlineLevel="1">
      <c r="A255" s="202"/>
      <c r="B255" s="193">
        <v>12.0</v>
      </c>
      <c r="C255" s="212"/>
      <c r="D255" s="213"/>
      <c r="E255" s="196" t="str">
        <f t="array" ref="E255">IFERROR(XLOOKUP(C255,'Stock List'!$C$5:$C$496,'Stock List'!$E$5:$E$496),"")</f>
        <v/>
      </c>
      <c r="F255" s="197" t="str">
        <f t="array" ref="F255">IFERROR(XLOOKUP(C255,'Stock List'!$C$5:$C$496,'Stock List'!$M$5:$M$496),"")</f>
        <v/>
      </c>
      <c r="G255" s="198" t="str">
        <f t="shared" si="11"/>
        <v/>
      </c>
      <c r="H255" s="205"/>
      <c r="M255" s="206"/>
      <c r="N255" s="202"/>
    </row>
    <row r="256" outlineLevel="1">
      <c r="A256" s="202"/>
      <c r="B256" s="182">
        <v>13.0</v>
      </c>
      <c r="C256" s="209"/>
      <c r="D256" s="210"/>
      <c r="E256" s="196" t="str">
        <f t="array" ref="E256">IFERROR(XLOOKUP(C256,'Stock List'!$C$5:$C$496,'Stock List'!$E$5:$E$496),"")</f>
        <v/>
      </c>
      <c r="F256" s="197" t="str">
        <f t="array" ref="F256">IFERROR(XLOOKUP(C256,'Stock List'!$C$5:$C$496,'Stock List'!$M$5:$M$496),"")</f>
        <v/>
      </c>
      <c r="G256" s="198" t="str">
        <f t="shared" si="11"/>
        <v/>
      </c>
      <c r="H256" s="205"/>
      <c r="M256" s="206"/>
      <c r="N256" s="202"/>
    </row>
    <row r="257" outlineLevel="1">
      <c r="A257" s="202"/>
      <c r="B257" s="214" t="s">
        <v>596</v>
      </c>
      <c r="C257" s="215"/>
      <c r="D257" s="216">
        <v>1.0</v>
      </c>
      <c r="E257" s="217"/>
      <c r="F257" s="218" t="s">
        <v>597</v>
      </c>
      <c r="G257" s="219">
        <f>SUM(G244:G256)</f>
        <v>4.91222023</v>
      </c>
      <c r="H257" s="205"/>
      <c r="M257" s="206"/>
      <c r="N257" s="202"/>
    </row>
    <row r="258" outlineLevel="1">
      <c r="A258" s="202"/>
      <c r="B258" s="221" t="s">
        <v>598</v>
      </c>
      <c r="C258" s="222"/>
      <c r="D258" s="223">
        <v>0.7</v>
      </c>
      <c r="E258" s="224"/>
      <c r="F258" s="225"/>
      <c r="G258" s="226"/>
      <c r="H258" s="205"/>
      <c r="M258" s="206"/>
      <c r="N258" s="202"/>
    </row>
    <row r="259" outlineLevel="1">
      <c r="A259" s="202"/>
      <c r="B259" s="228" t="s">
        <v>599</v>
      </c>
      <c r="C259" s="189"/>
      <c r="D259" s="229"/>
      <c r="E259" s="230"/>
      <c r="F259" s="231"/>
      <c r="G259" s="232">
        <f>(I243/(1+Settings!$D$6))</f>
        <v>17.27272727</v>
      </c>
      <c r="H259" s="205"/>
      <c r="M259" s="206"/>
      <c r="N259" s="202"/>
    </row>
    <row r="260" outlineLevel="1">
      <c r="A260" s="202"/>
      <c r="B260" s="234" t="s">
        <v>600</v>
      </c>
      <c r="C260" s="189"/>
      <c r="D260" s="229"/>
      <c r="E260" s="230"/>
      <c r="F260" s="231"/>
      <c r="G260" s="235">
        <v>19.0</v>
      </c>
      <c r="H260" s="205"/>
      <c r="M260" s="206"/>
      <c r="N260" s="202"/>
    </row>
    <row r="261" outlineLevel="1">
      <c r="A261" s="202"/>
      <c r="B261" s="237" t="s">
        <v>601</v>
      </c>
      <c r="C261" s="189"/>
      <c r="D261" s="238"/>
      <c r="E261" s="230"/>
      <c r="F261" s="231"/>
      <c r="G261" s="239">
        <f>iferror(if(and(Settings!$D$8=true,Settings!$D$9=true),(roundup(($G257/(1-$D258))/$D257*(1+Settings!$D$6),0)-0.1),if(Settings!$D$9=true,ceiling(($G257/(1-$D258))/$D257*(1+Settings!$D$6),1),if(Settings!$D$8=true,CEILING((($G257/(1-$D258)))/$D257*(1+Settings!$D$6),0.5)-0.01,(($G257/(1-$D258)))/$D257*(1+Settings!$D$6)))),"")</f>
        <v>18.9</v>
      </c>
      <c r="H261" s="205"/>
      <c r="M261" s="206"/>
      <c r="N261" s="202"/>
    </row>
    <row r="262" outlineLevel="1">
      <c r="A262" s="202"/>
      <c r="B262" s="240" t="s">
        <v>602</v>
      </c>
      <c r="C262" s="189"/>
      <c r="D262" s="224"/>
      <c r="E262" s="241"/>
      <c r="F262" s="242">
        <f>iferror(G257/D257,"")</f>
        <v>4.91222023</v>
      </c>
      <c r="G262" s="243">
        <f>iferror(F262/G259,0)</f>
        <v>0.2843916975</v>
      </c>
      <c r="H262" s="205"/>
      <c r="M262" s="206"/>
      <c r="N262" s="202"/>
    </row>
    <row r="263" outlineLevel="1">
      <c r="A263" s="202"/>
      <c r="B263" s="246" t="s">
        <v>603</v>
      </c>
      <c r="C263" s="247"/>
      <c r="D263" s="248"/>
      <c r="E263" s="249"/>
      <c r="F263" s="250">
        <f>$G259-$F262</f>
        <v>12.36050704</v>
      </c>
      <c r="G263" s="251">
        <f>iferror((G259-F262)/G259,0)</f>
        <v>0.7156083025</v>
      </c>
      <c r="H263" s="252"/>
      <c r="I263" s="253"/>
      <c r="J263" s="253"/>
      <c r="K263" s="253"/>
      <c r="L263" s="253"/>
      <c r="M263" s="254"/>
      <c r="N263" s="202"/>
    </row>
    <row r="264" outlineLevel="1">
      <c r="A264" s="202"/>
      <c r="B264" s="256"/>
      <c r="C264" s="202"/>
      <c r="D264" s="256"/>
      <c r="E264" s="202"/>
      <c r="F264" s="202"/>
      <c r="G264" s="256"/>
      <c r="H264" s="257"/>
      <c r="I264" s="257"/>
      <c r="J264" s="257"/>
      <c r="K264" s="257"/>
      <c r="L264" s="257"/>
      <c r="M264" s="257"/>
      <c r="N264" s="202"/>
    </row>
    <row r="265" outlineLevel="1">
      <c r="A265" s="202"/>
      <c r="B265" s="256"/>
      <c r="C265" s="202"/>
      <c r="D265" s="256"/>
      <c r="E265" s="202"/>
      <c r="F265" s="202"/>
      <c r="G265" s="256"/>
      <c r="H265" s="256"/>
      <c r="I265" s="202"/>
      <c r="J265" s="256"/>
      <c r="K265" s="256"/>
      <c r="L265" s="256"/>
      <c r="M265" s="256"/>
      <c r="N265" s="202"/>
    </row>
    <row r="266">
      <c r="A266" s="202"/>
      <c r="B266" s="160" t="s">
        <v>583</v>
      </c>
      <c r="C266" s="161"/>
      <c r="D266" s="162" t="s">
        <v>614</v>
      </c>
      <c r="E266" s="161"/>
      <c r="F266" s="161"/>
      <c r="G266" s="163"/>
      <c r="H266" s="164" t="str">
        <f>Settings!$D$4</f>
        <v>PrepFlow</v>
      </c>
      <c r="I266" s="165" t="s">
        <v>585</v>
      </c>
      <c r="J266" s="166" t="s">
        <v>586</v>
      </c>
      <c r="K266" s="167" t="s">
        <v>587</v>
      </c>
      <c r="L266" s="167" t="s">
        <v>588</v>
      </c>
      <c r="M266" s="168" t="s">
        <v>589</v>
      </c>
      <c r="N266" s="202"/>
    </row>
    <row r="267">
      <c r="A267" s="202"/>
      <c r="B267" s="170" t="s">
        <v>590</v>
      </c>
      <c r="C267" s="171"/>
      <c r="D267" s="172" t="s">
        <v>591</v>
      </c>
      <c r="E267" s="173" t="s">
        <v>592</v>
      </c>
      <c r="F267" s="173" t="s">
        <v>593</v>
      </c>
      <c r="G267" s="174" t="s">
        <v>594</v>
      </c>
      <c r="H267" s="175" t="str">
        <f>D266</f>
        <v>Steak Sandwich</v>
      </c>
      <c r="I267" s="176">
        <f>iferror(IF(G284="",G285,G284),"Something went wrong")</f>
        <v>32</v>
      </c>
      <c r="J267" s="177">
        <f>iferror($F286,"")</f>
        <v>8.55953711</v>
      </c>
      <c r="K267" s="178">
        <f>$G286</f>
        <v>0.2942340882</v>
      </c>
      <c r="L267" s="176">
        <f>iferror($F287,"")</f>
        <v>20.53137198</v>
      </c>
      <c r="M267" s="179">
        <f>$G287</f>
        <v>0.7057659118</v>
      </c>
      <c r="N267" s="202"/>
    </row>
    <row r="268" outlineLevel="1">
      <c r="A268" s="202"/>
      <c r="B268" s="182">
        <v>1.0</v>
      </c>
      <c r="C268" s="183" t="s">
        <v>379</v>
      </c>
      <c r="D268" s="184">
        <v>1.0</v>
      </c>
      <c r="E268" s="185" t="str">
        <f t="array" ref="E268">IFERROR(XLOOKUP(C268,'Stock List'!$C$5:$C$496,'Stock List'!$E$5:$E$496),"")</f>
        <v>PC</v>
      </c>
      <c r="F268" s="186">
        <f t="array" ref="F268">IFERROR(XLOOKUP(C268,'Stock List'!$C$5:$C$496,'Stock List'!$M$5:$M$496),"")</f>
        <v>1.14103</v>
      </c>
      <c r="G268" s="187">
        <f t="shared" ref="G268:G280" si="12">if(D268*F268=0,"",D268*F268)</f>
        <v>1.14103</v>
      </c>
      <c r="H268" s="188" t="s">
        <v>595</v>
      </c>
      <c r="I268" s="189"/>
      <c r="J268" s="189"/>
      <c r="K268" s="189"/>
      <c r="L268" s="189"/>
      <c r="M268" s="190"/>
      <c r="N268" s="202"/>
    </row>
    <row r="269" outlineLevel="1">
      <c r="A269" s="202"/>
      <c r="B269" s="193">
        <v>2.0</v>
      </c>
      <c r="C269" s="194" t="s">
        <v>312</v>
      </c>
      <c r="D269" s="195">
        <v>1.0</v>
      </c>
      <c r="E269" s="196" t="str">
        <f t="array" ref="E269">IFERROR(XLOOKUP(C269,'Stock List'!$C$5:$C$496,'Stock List'!$E$5:$E$496),"")</f>
        <v>PC</v>
      </c>
      <c r="F269" s="197">
        <f t="array" ref="F269">IFERROR(XLOOKUP(C269,'Stock List'!$C$5:$C$496,'Stock List'!$M$5:$M$496),"")</f>
        <v>5.54193</v>
      </c>
      <c r="G269" s="198">
        <f t="shared" si="12"/>
        <v>5.54193</v>
      </c>
      <c r="H269" s="199" t="str">
        <f>IFERROR(__xludf.DUMMYFUNCTION("AI(""You’re a seasoned chef talking to another chef in the middle of a busy service. No fluff, no storytelling — just straight, rapid-fire instructions for "" &amp; D266 &amp; "" using only these ingredients: "" &amp; C268 &amp; "", "" &amp; C269 &amp; "", "" &amp; C270 &amp; "", "" &amp; C"&amp;"271 &amp; "", "" &amp; C272 &amp; "", "" &amp; C273 &amp; "", "" &amp; C274 &amp; "", "" &amp; C275 &amp; "", "" &amp; C276 &amp; "", "" &amp; C277 &amp; "", "" &amp; C278 &amp; "", "" &amp; C279 &amp; "", "" &amp; C280 &amp; "". Keep it 5–7 short, sharp steps with pro kitchen lingo and efficient workflow. Format: Dish Name: "" &amp;"&amp;" D266 &amp; "" Method: 1. ... 2. ..."", D266:F280)
"),"Dish Name: Steak Sandwich
Method:1.  Toast Turkish roll.
2.  Grill rib fillet to temp.
3.  Fry eggs to order.
4.  Flash crisp chips.
5.  Assemble: roll, aioli, rib fillet, pineapple, egg, chips, hit with tomato sauce.")</f>
        <v>Dish Name: Steak Sandwich
Method:1.  Toast Turkish roll.
2.  Grill rib fillet to temp.
3.  Fry eggs to order.
4.  Flash crisp chips.
5.  Assemble: roll, aioli, rib fillet, pineapple, egg, chips, hit with tomato sauce.</v>
      </c>
      <c r="I269" s="200"/>
      <c r="J269" s="200"/>
      <c r="K269" s="200"/>
      <c r="L269" s="200"/>
      <c r="M269" s="201"/>
      <c r="N269" s="202"/>
    </row>
    <row r="270" outlineLevel="1">
      <c r="A270" s="202"/>
      <c r="B270" s="182">
        <v>3.0</v>
      </c>
      <c r="C270" s="203" t="s">
        <v>96</v>
      </c>
      <c r="D270" s="204">
        <v>20.0</v>
      </c>
      <c r="E270" s="196" t="str">
        <f t="array" ref="E270">IFERROR(XLOOKUP(C270,'Stock List'!$C$5:$C$496,'Stock List'!$E$5:$E$496),"")</f>
        <v>ML</v>
      </c>
      <c r="F270" s="197">
        <f t="array" ref="F270">IFERROR(XLOOKUP(C270,'Stock List'!$C$5:$C$496,'Stock List'!$M$5:$M$496),"")</f>
        <v>0.00945764</v>
      </c>
      <c r="G270" s="198">
        <f t="shared" si="12"/>
        <v>0.1891528</v>
      </c>
      <c r="H270" s="205"/>
      <c r="M270" s="206"/>
      <c r="N270" s="202"/>
    </row>
    <row r="271" outlineLevel="1">
      <c r="A271" s="202"/>
      <c r="B271" s="193">
        <v>4.0</v>
      </c>
      <c r="C271" s="194" t="s">
        <v>285</v>
      </c>
      <c r="D271" s="195">
        <v>15.0</v>
      </c>
      <c r="E271" s="196" t="str">
        <f t="array" ref="E271">IFERROR(XLOOKUP(C271,'Stock List'!$C$5:$C$496,'Stock List'!$E$5:$E$496),"")</f>
        <v>GM</v>
      </c>
      <c r="F271" s="197">
        <f t="array" ref="F271">IFERROR(XLOOKUP(C271,'Stock List'!$C$5:$C$496,'Stock List'!$M$5:$M$496),"")</f>
        <v>0.003613887324</v>
      </c>
      <c r="G271" s="198">
        <f t="shared" si="12"/>
        <v>0.05420830986</v>
      </c>
      <c r="H271" s="205"/>
      <c r="M271" s="206"/>
      <c r="N271" s="202"/>
    </row>
    <row r="272" outlineLevel="1">
      <c r="A272" s="202"/>
      <c r="B272" s="182">
        <v>5.0</v>
      </c>
      <c r="C272" s="203" t="s">
        <v>201</v>
      </c>
      <c r="D272" s="204">
        <v>1.0</v>
      </c>
      <c r="E272" s="196" t="str">
        <f t="array" ref="E272">IFERROR(XLOOKUP(C272,'Stock List'!$C$5:$C$496,'Stock List'!$E$5:$E$496),"")</f>
        <v>PC</v>
      </c>
      <c r="F272" s="197">
        <f t="array" ref="F272">IFERROR(XLOOKUP(C272,'Stock List'!$C$5:$C$496,'Stock List'!$M$5:$M$496),"")</f>
        <v>0.5446</v>
      </c>
      <c r="G272" s="198">
        <f t="shared" si="12"/>
        <v>0.5446</v>
      </c>
      <c r="H272" s="205"/>
      <c r="M272" s="206"/>
      <c r="N272" s="202"/>
    </row>
    <row r="273" outlineLevel="1">
      <c r="A273" s="202"/>
      <c r="B273" s="193">
        <v>6.0</v>
      </c>
      <c r="C273" s="194" t="s">
        <v>167</v>
      </c>
      <c r="D273" s="195">
        <v>120.0</v>
      </c>
      <c r="E273" s="196" t="str">
        <f t="array" ref="E273">IFERROR(XLOOKUP(C273,'Stock List'!$C$5:$C$496,'Stock List'!$E$5:$E$496),"")</f>
        <v>GM</v>
      </c>
      <c r="F273" s="197">
        <f t="array" ref="F273">IFERROR(XLOOKUP(C273,'Stock List'!$C$5:$C$496,'Stock List'!$M$5:$M$496),"")</f>
        <v>0.00695045</v>
      </c>
      <c r="G273" s="198">
        <f t="shared" si="12"/>
        <v>0.834054</v>
      </c>
      <c r="H273" s="205"/>
      <c r="M273" s="206"/>
      <c r="N273" s="202"/>
    </row>
    <row r="274" outlineLevel="1">
      <c r="A274" s="202"/>
      <c r="B274" s="182">
        <v>7.0</v>
      </c>
      <c r="C274" s="203" t="s">
        <v>376</v>
      </c>
      <c r="D274" s="204">
        <v>60.0</v>
      </c>
      <c r="E274" s="196" t="str">
        <f t="array" ref="E274">IFERROR(XLOOKUP(C274,'Stock List'!$C$5:$C$496,'Stock List'!$E$5:$E$496),"")</f>
        <v>ML</v>
      </c>
      <c r="F274" s="197">
        <f t="array" ref="F274">IFERROR(XLOOKUP(C274,'Stock List'!$C$5:$C$496,'Stock List'!$M$5:$M$496),"")</f>
        <v>0.0042427</v>
      </c>
      <c r="G274" s="198">
        <f t="shared" si="12"/>
        <v>0.254562</v>
      </c>
      <c r="H274" s="205"/>
      <c r="M274" s="206"/>
      <c r="N274" s="202"/>
    </row>
    <row r="275" outlineLevel="1">
      <c r="A275" s="202"/>
      <c r="B275" s="193">
        <v>8.0</v>
      </c>
      <c r="C275" s="194"/>
      <c r="D275" s="195"/>
      <c r="E275" s="196" t="str">
        <f t="array" ref="E275">IFERROR(XLOOKUP(C275,'Stock List'!$C$5:$C$496,'Stock List'!$E$5:$E$496),"")</f>
        <v/>
      </c>
      <c r="F275" s="197" t="str">
        <f t="array" ref="F275">IFERROR(XLOOKUP(C275,'Stock List'!$C$5:$C$496,'Stock List'!$M$5:$M$496),"")</f>
        <v/>
      </c>
      <c r="G275" s="198" t="str">
        <f t="shared" si="12"/>
        <v/>
      </c>
      <c r="H275" s="205"/>
      <c r="M275" s="206"/>
      <c r="N275" s="202"/>
    </row>
    <row r="276" outlineLevel="1">
      <c r="A276" s="202"/>
      <c r="B276" s="182">
        <v>9.0</v>
      </c>
      <c r="C276" s="203"/>
      <c r="D276" s="207"/>
      <c r="E276" s="196" t="str">
        <f t="array" ref="E276">IFERROR(XLOOKUP(C276,'Stock List'!$C$5:$C$496,'Stock List'!$E$5:$E$496),"")</f>
        <v/>
      </c>
      <c r="F276" s="197" t="str">
        <f t="array" ref="F276">IFERROR(XLOOKUP(C276,'Stock List'!$C$5:$C$496,'Stock List'!$M$5:$M$496),"")</f>
        <v/>
      </c>
      <c r="G276" s="198" t="str">
        <f t="shared" si="12"/>
        <v/>
      </c>
      <c r="H276" s="205"/>
      <c r="M276" s="206"/>
      <c r="N276" s="202"/>
    </row>
    <row r="277" outlineLevel="1">
      <c r="A277" s="202"/>
      <c r="B277" s="193">
        <v>10.0</v>
      </c>
      <c r="C277" s="194"/>
      <c r="D277" s="208"/>
      <c r="E277" s="196" t="str">
        <f t="array" ref="E277">IFERROR(XLOOKUP(C277,'Stock List'!$C$5:$C$496,'Stock List'!$E$5:$E$496),"")</f>
        <v/>
      </c>
      <c r="F277" s="197" t="str">
        <f t="array" ref="F277">IFERROR(XLOOKUP(C277,'Stock List'!$C$5:$C$496,'Stock List'!$M$5:$M$496),"")</f>
        <v/>
      </c>
      <c r="G277" s="198" t="str">
        <f t="shared" si="12"/>
        <v/>
      </c>
      <c r="H277" s="205"/>
      <c r="M277" s="206"/>
      <c r="N277" s="202"/>
    </row>
    <row r="278" outlineLevel="1">
      <c r="A278" s="202"/>
      <c r="B278" s="182">
        <v>11.0</v>
      </c>
      <c r="C278" s="209"/>
      <c r="D278" s="210"/>
      <c r="E278" s="196" t="str">
        <f t="array" ref="E278">IFERROR(XLOOKUP(C278,'Stock List'!$C$5:$C$496,'Stock List'!$E$5:$E$496),"")</f>
        <v/>
      </c>
      <c r="F278" s="197" t="str">
        <f t="array" ref="F278">IFERROR(XLOOKUP(C278,'Stock List'!$C$5:$C$496,'Stock List'!$M$5:$M$496),"")</f>
        <v/>
      </c>
      <c r="G278" s="198" t="str">
        <f t="shared" si="12"/>
        <v/>
      </c>
      <c r="H278" s="205"/>
      <c r="M278" s="206"/>
      <c r="N278" s="202"/>
    </row>
    <row r="279" outlineLevel="1">
      <c r="A279" s="202"/>
      <c r="B279" s="193">
        <v>12.0</v>
      </c>
      <c r="C279" s="212"/>
      <c r="D279" s="213"/>
      <c r="E279" s="196" t="str">
        <f t="array" ref="E279">IFERROR(XLOOKUP(C279,'Stock List'!$C$5:$C$496,'Stock List'!$E$5:$E$496),"")</f>
        <v/>
      </c>
      <c r="F279" s="197" t="str">
        <f t="array" ref="F279">IFERROR(XLOOKUP(C279,'Stock List'!$C$5:$C$496,'Stock List'!$M$5:$M$496),"")</f>
        <v/>
      </c>
      <c r="G279" s="198" t="str">
        <f t="shared" si="12"/>
        <v/>
      </c>
      <c r="H279" s="205"/>
      <c r="M279" s="206"/>
      <c r="N279" s="202"/>
    </row>
    <row r="280" outlineLevel="1">
      <c r="A280" s="202"/>
      <c r="B280" s="182">
        <v>13.0</v>
      </c>
      <c r="C280" s="209"/>
      <c r="D280" s="210"/>
      <c r="E280" s="196" t="str">
        <f t="array" ref="E280">IFERROR(XLOOKUP(C280,'Stock List'!$C$5:$C$496,'Stock List'!$E$5:$E$496),"")</f>
        <v/>
      </c>
      <c r="F280" s="197" t="str">
        <f t="array" ref="F280">IFERROR(XLOOKUP(C280,'Stock List'!$C$5:$C$496,'Stock List'!$M$5:$M$496),"")</f>
        <v/>
      </c>
      <c r="G280" s="198" t="str">
        <f t="shared" si="12"/>
        <v/>
      </c>
      <c r="H280" s="205"/>
      <c r="M280" s="206"/>
      <c r="N280" s="202"/>
    </row>
    <row r="281" outlineLevel="1">
      <c r="A281" s="202"/>
      <c r="B281" s="214" t="s">
        <v>596</v>
      </c>
      <c r="C281" s="215"/>
      <c r="D281" s="216">
        <v>1.0</v>
      </c>
      <c r="E281" s="217"/>
      <c r="F281" s="218" t="s">
        <v>597</v>
      </c>
      <c r="G281" s="219">
        <f>SUM(G268:G280)</f>
        <v>8.55953711</v>
      </c>
      <c r="H281" s="205"/>
      <c r="M281" s="206"/>
      <c r="N281" s="202"/>
    </row>
    <row r="282" outlineLevel="1">
      <c r="A282" s="202"/>
      <c r="B282" s="221" t="s">
        <v>598</v>
      </c>
      <c r="C282" s="222"/>
      <c r="D282" s="223">
        <v>0.7</v>
      </c>
      <c r="E282" s="224"/>
      <c r="F282" s="225"/>
      <c r="G282" s="226"/>
      <c r="H282" s="205"/>
      <c r="M282" s="206"/>
      <c r="N282" s="202"/>
    </row>
    <row r="283" outlineLevel="1">
      <c r="A283" s="202"/>
      <c r="B283" s="228" t="s">
        <v>599</v>
      </c>
      <c r="C283" s="189"/>
      <c r="D283" s="229"/>
      <c r="E283" s="230"/>
      <c r="F283" s="231"/>
      <c r="G283" s="232">
        <f>(I267/(1+Settings!$D$6))</f>
        <v>29.09090909</v>
      </c>
      <c r="H283" s="205"/>
      <c r="M283" s="206"/>
      <c r="N283" s="202"/>
    </row>
    <row r="284" outlineLevel="1">
      <c r="A284" s="202"/>
      <c r="B284" s="234" t="s">
        <v>600</v>
      </c>
      <c r="C284" s="189"/>
      <c r="D284" s="229"/>
      <c r="E284" s="230"/>
      <c r="F284" s="231"/>
      <c r="G284" s="235">
        <v>32.0</v>
      </c>
      <c r="H284" s="205"/>
      <c r="M284" s="206"/>
      <c r="N284" s="202"/>
    </row>
    <row r="285" outlineLevel="1">
      <c r="A285" s="202"/>
      <c r="B285" s="237" t="s">
        <v>601</v>
      </c>
      <c r="C285" s="189"/>
      <c r="D285" s="238"/>
      <c r="E285" s="230"/>
      <c r="F285" s="231"/>
      <c r="G285" s="239">
        <f>iferror(if(and(Settings!$D$8=true,Settings!$D$9=true),(roundup(($G281/(1-$D282))/$D281*(1+Settings!$D$6),0)-0.1),if(Settings!$D$9=true,ceiling(($G281/(1-$D282))/$D281*(1+Settings!$D$6),1),if(Settings!$D$8=true,CEILING((($G281/(1-$D282)))/$D281*(1+Settings!$D$6),0.5)-0.01,(($G281/(1-$D282)))/$D281*(1+Settings!$D$6)))),"")</f>
        <v>31.9</v>
      </c>
      <c r="H285" s="205"/>
      <c r="M285" s="206"/>
      <c r="N285" s="202"/>
    </row>
    <row r="286" outlineLevel="1">
      <c r="A286" s="202"/>
      <c r="B286" s="240" t="s">
        <v>602</v>
      </c>
      <c r="C286" s="189"/>
      <c r="D286" s="224"/>
      <c r="E286" s="241"/>
      <c r="F286" s="242">
        <f>iferror(G281/D281,"")</f>
        <v>8.55953711</v>
      </c>
      <c r="G286" s="243">
        <f>iferror(F286/G283,0)</f>
        <v>0.2942340882</v>
      </c>
      <c r="H286" s="205"/>
      <c r="M286" s="206"/>
      <c r="N286" s="202"/>
    </row>
    <row r="287" outlineLevel="1">
      <c r="A287" s="202"/>
      <c r="B287" s="246" t="s">
        <v>603</v>
      </c>
      <c r="C287" s="247"/>
      <c r="D287" s="248"/>
      <c r="E287" s="249"/>
      <c r="F287" s="250">
        <f>$G283-$F286</f>
        <v>20.53137198</v>
      </c>
      <c r="G287" s="251">
        <f>iferror((G283-F286)/G283,0)</f>
        <v>0.7057659118</v>
      </c>
      <c r="H287" s="252"/>
      <c r="I287" s="253"/>
      <c r="J287" s="253"/>
      <c r="K287" s="253"/>
      <c r="L287" s="253"/>
      <c r="M287" s="254"/>
      <c r="N287" s="202"/>
    </row>
    <row r="288" outlineLevel="1">
      <c r="A288" s="202"/>
      <c r="B288" s="256"/>
      <c r="C288" s="202"/>
      <c r="D288" s="256"/>
      <c r="E288" s="202"/>
      <c r="F288" s="202"/>
      <c r="G288" s="256"/>
      <c r="H288" s="256"/>
      <c r="I288" s="202"/>
      <c r="J288" s="256"/>
      <c r="K288" s="256"/>
      <c r="L288" s="256"/>
      <c r="M288" s="256"/>
      <c r="N288" s="202"/>
    </row>
    <row r="289" outlineLevel="1">
      <c r="A289" s="202"/>
      <c r="B289" s="256"/>
      <c r="C289" s="202"/>
      <c r="D289" s="256"/>
      <c r="E289" s="202"/>
      <c r="F289" s="202"/>
      <c r="G289" s="256"/>
      <c r="H289" s="256"/>
      <c r="I289" s="202"/>
      <c r="J289" s="256"/>
      <c r="K289" s="256"/>
      <c r="L289" s="256"/>
      <c r="M289" s="256"/>
      <c r="N289" s="202"/>
    </row>
    <row r="290">
      <c r="A290" s="202"/>
      <c r="B290" s="160" t="s">
        <v>583</v>
      </c>
      <c r="C290" s="161"/>
      <c r="D290" s="162" t="s">
        <v>331</v>
      </c>
      <c r="E290" s="161"/>
      <c r="F290" s="161"/>
      <c r="G290" s="163"/>
      <c r="H290" s="164" t="str">
        <f>Settings!$D$4</f>
        <v>PrepFlow</v>
      </c>
      <c r="I290" s="165" t="s">
        <v>585</v>
      </c>
      <c r="J290" s="166" t="s">
        <v>586</v>
      </c>
      <c r="K290" s="167" t="s">
        <v>587</v>
      </c>
      <c r="L290" s="167" t="s">
        <v>588</v>
      </c>
      <c r="M290" s="168" t="s">
        <v>589</v>
      </c>
      <c r="N290" s="202"/>
    </row>
    <row r="291">
      <c r="A291" s="202"/>
      <c r="B291" s="170" t="s">
        <v>590</v>
      </c>
      <c r="C291" s="171"/>
      <c r="D291" s="172" t="s">
        <v>591</v>
      </c>
      <c r="E291" s="173" t="s">
        <v>592</v>
      </c>
      <c r="F291" s="173" t="s">
        <v>593</v>
      </c>
      <c r="G291" s="174" t="s">
        <v>594</v>
      </c>
      <c r="H291" s="175" t="str">
        <f>D290</f>
        <v>Sausage Roll</v>
      </c>
      <c r="I291" s="176">
        <f>iferror(IF(G308="",G309,G308),"Something went wrong")</f>
        <v>9</v>
      </c>
      <c r="J291" s="177">
        <f>iferror($F310,"")</f>
        <v>2.28021308</v>
      </c>
      <c r="K291" s="178">
        <f>$G310</f>
        <v>0.2786927098</v>
      </c>
      <c r="L291" s="176">
        <f>iferror($F311,"")</f>
        <v>5.901605102</v>
      </c>
      <c r="M291" s="179">
        <f>$G311</f>
        <v>0.7213072902</v>
      </c>
      <c r="N291" s="202"/>
    </row>
    <row r="292" outlineLevel="1">
      <c r="A292" s="202"/>
      <c r="B292" s="182">
        <v>1.0</v>
      </c>
      <c r="C292" s="183" t="s">
        <v>304</v>
      </c>
      <c r="D292" s="184">
        <v>1.0</v>
      </c>
      <c r="E292" s="185" t="str">
        <f t="array" ref="E292">IFERROR(XLOOKUP(C292,'Stock List'!$C$5:$C$496,'Stock List'!$E$5:$E$496),"")</f>
        <v>GM</v>
      </c>
      <c r="F292" s="186">
        <f t="array" ref="F292">IFERROR(XLOOKUP(C292,'Stock List'!$C$5:$C$496,'Stock List'!$M$5:$M$496),"")</f>
        <v>0.00587308</v>
      </c>
      <c r="G292" s="187">
        <f t="shared" ref="G292:G304" si="13">if(D292*F292=0,"",D292*F292)</f>
        <v>0.00587308</v>
      </c>
      <c r="H292" s="188" t="s">
        <v>595</v>
      </c>
      <c r="I292" s="189"/>
      <c r="J292" s="189"/>
      <c r="K292" s="189"/>
      <c r="L292" s="189"/>
      <c r="M292" s="190"/>
      <c r="N292" s="202"/>
    </row>
    <row r="293" outlineLevel="1">
      <c r="A293" s="202"/>
      <c r="B293" s="193">
        <v>2.0</v>
      </c>
      <c r="C293" s="194" t="s">
        <v>254</v>
      </c>
      <c r="D293" s="195">
        <v>120.0</v>
      </c>
      <c r="E293" s="196" t="str">
        <f t="array" ref="E293">IFERROR(XLOOKUP(C293,'Stock List'!$C$5:$C$496,'Stock List'!$E$5:$E$496),"")</f>
        <v>GM</v>
      </c>
      <c r="F293" s="197">
        <f t="array" ref="F293">IFERROR(XLOOKUP(C293,'Stock List'!$C$5:$C$496,'Stock List'!$M$5:$M$496),"")</f>
        <v>0.015078</v>
      </c>
      <c r="G293" s="198">
        <f t="shared" si="13"/>
        <v>1.80936</v>
      </c>
      <c r="H293" s="199" t="str">
        <f>IFERROR(__xludf.DUMMYFUNCTION("AI(""You’re a seasoned chef talking to another chef in the middle of a busy service. No fluff, no storytelling — just straight, rapid-fire instructions for "" &amp; D290 &amp; "" using only these ingredients: "" &amp; C292 &amp; "", "" &amp; C293 &amp; "", "" &amp; C294 &amp; "", "" &amp; C"&amp;"295 &amp; "", "" &amp; C296 &amp; "", "" &amp; C297 &amp; "", "" &amp; C298 &amp; "", "" &amp; C299 &amp; "", "" &amp; C300 &amp; "", "" &amp; C301 &amp; "", "" &amp; C302 &amp; "", "" &amp; C303 &amp; "", "" &amp; C304 &amp; "". Keep it 5–7 short, sharp steps with pro kitchen lingo and efficient workflow. Format: Dish Name: "" &amp;"&amp;" D290 &amp; "" Method: 1. ... 2. ..."", D290:F304)
"),"Dish Name: Sausage Roll
Method:1.  Fine dice onion, sweat off. Cool.
2.  Combine mince, sweated onion, and fennel seeds. Mix well.
3.  Lay out puff pastry. Form mince mixture into log, place on pastry.
4.  Roll pastry tight around mince, seam side down. C"&amp;"rimp edges.
5.  Egg wash, score top. Bake 180°C until golden and cooked through.")</f>
        <v>Dish Name: Sausage Roll
Method:1.  Fine dice onion, sweat off. Cool.
2.  Combine mince, sweated onion, and fennel seeds. Mix well.
3.  Lay out puff pastry. Form mince mixture into log, place on pastry.
4.  Roll pastry tight around mince, seam side down. Crimp edges.
5.  Egg wash, score top. Bake 180°C until golden and cooked through.</v>
      </c>
      <c r="I293" s="200"/>
      <c r="J293" s="200"/>
      <c r="K293" s="200"/>
      <c r="L293" s="200"/>
      <c r="M293" s="201"/>
      <c r="N293" s="202"/>
    </row>
    <row r="294" outlineLevel="1">
      <c r="A294" s="202"/>
      <c r="B294" s="182">
        <v>3.0</v>
      </c>
      <c r="C294" s="203" t="s">
        <v>444</v>
      </c>
      <c r="D294" s="204">
        <v>10.0</v>
      </c>
      <c r="E294" s="196" t="str">
        <f t="array" ref="E294">IFERROR(XLOOKUP(C294,'Stock List'!$C$5:$C$496,'Stock List'!$E$5:$E$496),"")</f>
        <v>GM</v>
      </c>
      <c r="F294" s="197">
        <f t="array" ref="F294">IFERROR(XLOOKUP(C294,'Stock List'!$C$5:$C$496,'Stock List'!$M$5:$M$496),"")</f>
        <v>0.027346</v>
      </c>
      <c r="G294" s="198">
        <f t="shared" si="13"/>
        <v>0.27346</v>
      </c>
      <c r="H294" s="205"/>
      <c r="M294" s="206"/>
      <c r="N294" s="202"/>
    </row>
    <row r="295" outlineLevel="1">
      <c r="A295" s="202"/>
      <c r="B295" s="193">
        <v>4.0</v>
      </c>
      <c r="C295" s="194" t="s">
        <v>267</v>
      </c>
      <c r="D295" s="195">
        <v>60.0</v>
      </c>
      <c r="E295" s="196" t="str">
        <f t="array" ref="E295">IFERROR(XLOOKUP(C295,'Stock List'!$C$5:$C$496,'Stock List'!$E$5:$E$496),"")</f>
        <v>GM</v>
      </c>
      <c r="F295" s="197">
        <f t="array" ref="F295">IFERROR(XLOOKUP(C295,'Stock List'!$C$5:$C$496,'Stock List'!$M$5:$M$496),"")</f>
        <v>0.003192</v>
      </c>
      <c r="G295" s="198">
        <f t="shared" si="13"/>
        <v>0.19152</v>
      </c>
      <c r="H295" s="205"/>
      <c r="M295" s="206"/>
      <c r="N295" s="202"/>
    </row>
    <row r="296" outlineLevel="1">
      <c r="A296" s="202"/>
      <c r="B296" s="182">
        <v>5.0</v>
      </c>
      <c r="C296" s="203"/>
      <c r="D296" s="204"/>
      <c r="E296" s="196" t="str">
        <f t="array" ref="E296">IFERROR(XLOOKUP(C296,'Stock List'!$C$5:$C$496,'Stock List'!$E$5:$E$496),"")</f>
        <v/>
      </c>
      <c r="F296" s="197" t="str">
        <f t="array" ref="F296">IFERROR(XLOOKUP(C296,'Stock List'!$C$5:$C$496,'Stock List'!$M$5:$M$496),"")</f>
        <v/>
      </c>
      <c r="G296" s="198" t="str">
        <f t="shared" si="13"/>
        <v/>
      </c>
      <c r="H296" s="205"/>
      <c r="M296" s="206"/>
      <c r="N296" s="202"/>
    </row>
    <row r="297" outlineLevel="1">
      <c r="A297" s="202"/>
      <c r="B297" s="193">
        <v>6.0</v>
      </c>
      <c r="C297" s="194"/>
      <c r="D297" s="195"/>
      <c r="E297" s="196" t="str">
        <f t="array" ref="E297">IFERROR(XLOOKUP(C297,'Stock List'!$C$5:$C$496,'Stock List'!$E$5:$E$496),"")</f>
        <v/>
      </c>
      <c r="F297" s="197" t="str">
        <f t="array" ref="F297">IFERROR(XLOOKUP(C297,'Stock List'!$C$5:$C$496,'Stock List'!$M$5:$M$496),"")</f>
        <v/>
      </c>
      <c r="G297" s="198" t="str">
        <f t="shared" si="13"/>
        <v/>
      </c>
      <c r="H297" s="205"/>
      <c r="M297" s="206"/>
      <c r="N297" s="202"/>
    </row>
    <row r="298" outlineLevel="1">
      <c r="A298" s="202"/>
      <c r="B298" s="182">
        <v>7.0</v>
      </c>
      <c r="C298" s="203"/>
      <c r="D298" s="204"/>
      <c r="E298" s="196" t="str">
        <f t="array" ref="E298">IFERROR(XLOOKUP(C298,'Stock List'!$C$5:$C$496,'Stock List'!$E$5:$E$496),"")</f>
        <v/>
      </c>
      <c r="F298" s="197" t="str">
        <f t="array" ref="F298">IFERROR(XLOOKUP(C298,'Stock List'!$C$5:$C$496,'Stock List'!$M$5:$M$496),"")</f>
        <v/>
      </c>
      <c r="G298" s="198" t="str">
        <f t="shared" si="13"/>
        <v/>
      </c>
      <c r="H298" s="205"/>
      <c r="M298" s="206"/>
      <c r="N298" s="202"/>
    </row>
    <row r="299" outlineLevel="1">
      <c r="A299" s="202"/>
      <c r="B299" s="193">
        <v>8.0</v>
      </c>
      <c r="C299" s="194"/>
      <c r="D299" s="195"/>
      <c r="E299" s="196" t="str">
        <f t="array" ref="E299">IFERROR(XLOOKUP(C299,'Stock List'!$C$5:$C$496,'Stock List'!$E$5:$E$496),"")</f>
        <v/>
      </c>
      <c r="F299" s="197" t="str">
        <f t="array" ref="F299">IFERROR(XLOOKUP(C299,'Stock List'!$C$5:$C$496,'Stock List'!$M$5:$M$496),"")</f>
        <v/>
      </c>
      <c r="G299" s="198" t="str">
        <f t="shared" si="13"/>
        <v/>
      </c>
      <c r="H299" s="205"/>
      <c r="M299" s="206"/>
      <c r="N299" s="202"/>
    </row>
    <row r="300" outlineLevel="1">
      <c r="A300" s="202"/>
      <c r="B300" s="182">
        <v>9.0</v>
      </c>
      <c r="C300" s="203"/>
      <c r="D300" s="207"/>
      <c r="E300" s="196" t="str">
        <f t="array" ref="E300">IFERROR(XLOOKUP(C300,'Stock List'!$C$5:$C$496,'Stock List'!$E$5:$E$496),"")</f>
        <v/>
      </c>
      <c r="F300" s="197" t="str">
        <f t="array" ref="F300">IFERROR(XLOOKUP(C300,'Stock List'!$C$5:$C$496,'Stock List'!$M$5:$M$496),"")</f>
        <v/>
      </c>
      <c r="G300" s="198" t="str">
        <f t="shared" si="13"/>
        <v/>
      </c>
      <c r="H300" s="205"/>
      <c r="M300" s="206"/>
      <c r="N300" s="202"/>
    </row>
    <row r="301" outlineLevel="1">
      <c r="A301" s="202"/>
      <c r="B301" s="193">
        <v>10.0</v>
      </c>
      <c r="C301" s="194"/>
      <c r="D301" s="208"/>
      <c r="E301" s="196" t="str">
        <f t="array" ref="E301">IFERROR(XLOOKUP(C301,'Stock List'!$C$5:$C$496,'Stock List'!$E$5:$E$496),"")</f>
        <v/>
      </c>
      <c r="F301" s="197" t="str">
        <f t="array" ref="F301">IFERROR(XLOOKUP(C301,'Stock List'!$C$5:$C$496,'Stock List'!$M$5:$M$496),"")</f>
        <v/>
      </c>
      <c r="G301" s="198" t="str">
        <f t="shared" si="13"/>
        <v/>
      </c>
      <c r="H301" s="205"/>
      <c r="M301" s="206"/>
      <c r="N301" s="202"/>
    </row>
    <row r="302" outlineLevel="1">
      <c r="A302" s="202"/>
      <c r="B302" s="182">
        <v>11.0</v>
      </c>
      <c r="C302" s="209"/>
      <c r="D302" s="210"/>
      <c r="E302" s="196" t="str">
        <f t="array" ref="E302">IFERROR(XLOOKUP(C302,'Stock List'!$C$5:$C$496,'Stock List'!$E$5:$E$496),"")</f>
        <v/>
      </c>
      <c r="F302" s="197" t="str">
        <f t="array" ref="F302">IFERROR(XLOOKUP(C302,'Stock List'!$C$5:$C$496,'Stock List'!$M$5:$M$496),"")</f>
        <v/>
      </c>
      <c r="G302" s="198" t="str">
        <f t="shared" si="13"/>
        <v/>
      </c>
      <c r="H302" s="205"/>
      <c r="M302" s="206"/>
      <c r="N302" s="202"/>
    </row>
    <row r="303" outlineLevel="1">
      <c r="A303" s="202"/>
      <c r="B303" s="193">
        <v>12.0</v>
      </c>
      <c r="C303" s="212"/>
      <c r="D303" s="213"/>
      <c r="E303" s="196" t="str">
        <f t="array" ref="E303">IFERROR(XLOOKUP(C303,'Stock List'!$C$5:$C$496,'Stock List'!$E$5:$E$496),"")</f>
        <v/>
      </c>
      <c r="F303" s="197" t="str">
        <f t="array" ref="F303">IFERROR(XLOOKUP(C303,'Stock List'!$C$5:$C$496,'Stock List'!$M$5:$M$496),"")</f>
        <v/>
      </c>
      <c r="G303" s="198" t="str">
        <f t="shared" si="13"/>
        <v/>
      </c>
      <c r="H303" s="205"/>
      <c r="M303" s="206"/>
      <c r="N303" s="202"/>
    </row>
    <row r="304" outlineLevel="1">
      <c r="A304" s="202"/>
      <c r="B304" s="182">
        <v>13.0</v>
      </c>
      <c r="C304" s="209"/>
      <c r="D304" s="210"/>
      <c r="E304" s="196" t="str">
        <f t="array" ref="E304">IFERROR(XLOOKUP(C304,'Stock List'!$C$5:$C$496,'Stock List'!$E$5:$E$496),"")</f>
        <v/>
      </c>
      <c r="F304" s="197" t="str">
        <f t="array" ref="F304">IFERROR(XLOOKUP(C304,'Stock List'!$C$5:$C$496,'Stock List'!$M$5:$M$496),"")</f>
        <v/>
      </c>
      <c r="G304" s="198" t="str">
        <f t="shared" si="13"/>
        <v/>
      </c>
      <c r="H304" s="205"/>
      <c r="M304" s="206"/>
      <c r="N304" s="202"/>
    </row>
    <row r="305" outlineLevel="1">
      <c r="A305" s="202"/>
      <c r="B305" s="214" t="s">
        <v>596</v>
      </c>
      <c r="C305" s="215"/>
      <c r="D305" s="216">
        <v>1.0</v>
      </c>
      <c r="E305" s="217"/>
      <c r="F305" s="218" t="s">
        <v>597</v>
      </c>
      <c r="G305" s="219">
        <f>SUM(G292:G304)</f>
        <v>2.28021308</v>
      </c>
      <c r="H305" s="205"/>
      <c r="M305" s="206"/>
      <c r="N305" s="202"/>
    </row>
    <row r="306" outlineLevel="1">
      <c r="A306" s="202"/>
      <c r="B306" s="221" t="s">
        <v>598</v>
      </c>
      <c r="C306" s="222"/>
      <c r="D306" s="223">
        <v>0.7</v>
      </c>
      <c r="E306" s="224"/>
      <c r="F306" s="225"/>
      <c r="G306" s="226"/>
      <c r="H306" s="205"/>
      <c r="M306" s="206"/>
      <c r="N306" s="202"/>
    </row>
    <row r="307" outlineLevel="1">
      <c r="A307" s="202"/>
      <c r="B307" s="228" t="s">
        <v>599</v>
      </c>
      <c r="C307" s="189"/>
      <c r="D307" s="229"/>
      <c r="E307" s="230"/>
      <c r="F307" s="231"/>
      <c r="G307" s="232">
        <f>(I291/(1+Settings!$D$6))</f>
        <v>8.181818182</v>
      </c>
      <c r="H307" s="205"/>
      <c r="M307" s="206"/>
      <c r="N307" s="202"/>
    </row>
    <row r="308" outlineLevel="1">
      <c r="A308" s="202"/>
      <c r="B308" s="234" t="s">
        <v>600</v>
      </c>
      <c r="C308" s="189"/>
      <c r="D308" s="229"/>
      <c r="E308" s="230"/>
      <c r="F308" s="231"/>
      <c r="G308" s="235">
        <v>9.0</v>
      </c>
      <c r="H308" s="205"/>
      <c r="M308" s="206"/>
      <c r="N308" s="202"/>
    </row>
    <row r="309" outlineLevel="1">
      <c r="A309" s="202"/>
      <c r="B309" s="237" t="s">
        <v>601</v>
      </c>
      <c r="C309" s="189"/>
      <c r="D309" s="238"/>
      <c r="E309" s="230"/>
      <c r="F309" s="231"/>
      <c r="G309" s="239">
        <f>iferror(if(and(Settings!$D$8=true,Settings!$D$9=true),(roundup(($G305/(1-$D306))/$D305*(1+Settings!$D$6),0)-0.1),if(Settings!$D$9=true,ceiling(($G305/(1-$D306))/$D305*(1+Settings!$D$6),1),if(Settings!$D$8=true,CEILING((($G305/(1-$D306)))/$D305*(1+Settings!$D$6),0.5)-0.01,(($G305/(1-$D306)))/$D305*(1+Settings!$D$6)))),"")</f>
        <v>8.9</v>
      </c>
      <c r="H309" s="205"/>
      <c r="M309" s="206"/>
      <c r="N309" s="202"/>
    </row>
    <row r="310" outlineLevel="1">
      <c r="A310" s="202"/>
      <c r="B310" s="240" t="s">
        <v>602</v>
      </c>
      <c r="C310" s="189"/>
      <c r="D310" s="224"/>
      <c r="E310" s="241"/>
      <c r="F310" s="242">
        <f>iferror(G305/D305,"")</f>
        <v>2.28021308</v>
      </c>
      <c r="G310" s="243">
        <f>iferror(F310/G307,0)</f>
        <v>0.2786927098</v>
      </c>
      <c r="H310" s="205"/>
      <c r="M310" s="206"/>
      <c r="N310" s="202"/>
    </row>
    <row r="311" outlineLevel="1">
      <c r="A311" s="202"/>
      <c r="B311" s="246" t="s">
        <v>603</v>
      </c>
      <c r="C311" s="247"/>
      <c r="D311" s="248"/>
      <c r="E311" s="249"/>
      <c r="F311" s="250">
        <f>$G307-$F310</f>
        <v>5.901605102</v>
      </c>
      <c r="G311" s="251">
        <f>iferror((G307-F310)/G307,0)</f>
        <v>0.7213072902</v>
      </c>
      <c r="H311" s="252"/>
      <c r="I311" s="253"/>
      <c r="J311" s="253"/>
      <c r="K311" s="253"/>
      <c r="L311" s="253"/>
      <c r="M311" s="254"/>
      <c r="N311" s="202"/>
    </row>
    <row r="312">
      <c r="A312" s="202"/>
      <c r="B312" s="256"/>
      <c r="C312" s="202"/>
      <c r="D312" s="256"/>
      <c r="E312" s="202"/>
      <c r="F312" s="202"/>
      <c r="G312" s="256"/>
      <c r="H312" s="256"/>
      <c r="I312" s="202"/>
      <c r="J312" s="256"/>
      <c r="K312" s="256"/>
      <c r="L312" s="256"/>
      <c r="M312" s="256"/>
      <c r="N312" s="202"/>
    </row>
    <row r="313">
      <c r="A313" s="202"/>
      <c r="B313" s="256"/>
      <c r="C313" s="202"/>
      <c r="D313" s="256"/>
      <c r="E313" s="202"/>
      <c r="F313" s="202"/>
      <c r="G313" s="256"/>
      <c r="H313" s="256"/>
      <c r="I313" s="202"/>
      <c r="J313" s="256"/>
      <c r="K313" s="256"/>
      <c r="L313" s="256"/>
      <c r="M313" s="256"/>
      <c r="N313" s="202"/>
    </row>
  </sheetData>
  <mergeCells count="156">
    <mergeCell ref="B19:C19"/>
    <mergeCell ref="B20:C20"/>
    <mergeCell ref="B2:C2"/>
    <mergeCell ref="D2:G2"/>
    <mergeCell ref="B3:C3"/>
    <mergeCell ref="H4:M4"/>
    <mergeCell ref="H5:M23"/>
    <mergeCell ref="B17:C17"/>
    <mergeCell ref="B18:C18"/>
    <mergeCell ref="B23:C23"/>
    <mergeCell ref="B41:C41"/>
    <mergeCell ref="B42:C42"/>
    <mergeCell ref="B43:C43"/>
    <mergeCell ref="B44:C44"/>
    <mergeCell ref="B65:C65"/>
    <mergeCell ref="B66:C66"/>
    <mergeCell ref="B67:C67"/>
    <mergeCell ref="B68:C68"/>
    <mergeCell ref="B69:C69"/>
    <mergeCell ref="B70:C70"/>
    <mergeCell ref="B21:C21"/>
    <mergeCell ref="B22:C22"/>
    <mergeCell ref="B26:C26"/>
    <mergeCell ref="D26:G26"/>
    <mergeCell ref="B27:C27"/>
    <mergeCell ref="H28:M28"/>
    <mergeCell ref="H29:M47"/>
    <mergeCell ref="B47:C47"/>
    <mergeCell ref="B45:C45"/>
    <mergeCell ref="B46:C46"/>
    <mergeCell ref="B50:C50"/>
    <mergeCell ref="D50:G50"/>
    <mergeCell ref="B51:C51"/>
    <mergeCell ref="H52:M52"/>
    <mergeCell ref="H53:M71"/>
    <mergeCell ref="B90:C90"/>
    <mergeCell ref="B91:C91"/>
    <mergeCell ref="B92:C92"/>
    <mergeCell ref="B93:C93"/>
    <mergeCell ref="B113:C113"/>
    <mergeCell ref="B114:C114"/>
    <mergeCell ref="B115:C115"/>
    <mergeCell ref="B116:C116"/>
    <mergeCell ref="B117:C117"/>
    <mergeCell ref="B118:C118"/>
    <mergeCell ref="B71:C71"/>
    <mergeCell ref="B74:C74"/>
    <mergeCell ref="D74:G74"/>
    <mergeCell ref="B75:C75"/>
    <mergeCell ref="H76:M76"/>
    <mergeCell ref="H77:M95"/>
    <mergeCell ref="B89:C89"/>
    <mergeCell ref="B94:C94"/>
    <mergeCell ref="B95:C95"/>
    <mergeCell ref="B98:C98"/>
    <mergeCell ref="D98:G98"/>
    <mergeCell ref="B99:C99"/>
    <mergeCell ref="H100:M100"/>
    <mergeCell ref="H101:M119"/>
    <mergeCell ref="B138:C138"/>
    <mergeCell ref="B139:C139"/>
    <mergeCell ref="B140:C140"/>
    <mergeCell ref="B141:C141"/>
    <mergeCell ref="B161:C161"/>
    <mergeCell ref="B162:C162"/>
    <mergeCell ref="B163:C163"/>
    <mergeCell ref="B164:C164"/>
    <mergeCell ref="B165:C165"/>
    <mergeCell ref="B166:C166"/>
    <mergeCell ref="B119:C119"/>
    <mergeCell ref="B122:C122"/>
    <mergeCell ref="D122:G122"/>
    <mergeCell ref="B123:C123"/>
    <mergeCell ref="H124:M124"/>
    <mergeCell ref="H125:M143"/>
    <mergeCell ref="B137:C137"/>
    <mergeCell ref="B142:C142"/>
    <mergeCell ref="B143:C143"/>
    <mergeCell ref="B146:C146"/>
    <mergeCell ref="D146:G146"/>
    <mergeCell ref="B147:C147"/>
    <mergeCell ref="H148:M148"/>
    <mergeCell ref="H149:M167"/>
    <mergeCell ref="B186:C186"/>
    <mergeCell ref="B187:C187"/>
    <mergeCell ref="B188:C188"/>
    <mergeCell ref="B189:C189"/>
    <mergeCell ref="B209:C209"/>
    <mergeCell ref="B210:C210"/>
    <mergeCell ref="B211:C211"/>
    <mergeCell ref="B212:C212"/>
    <mergeCell ref="B213:C213"/>
    <mergeCell ref="B214:C214"/>
    <mergeCell ref="B167:C167"/>
    <mergeCell ref="B170:C170"/>
    <mergeCell ref="D170:G170"/>
    <mergeCell ref="B171:C171"/>
    <mergeCell ref="H172:M172"/>
    <mergeCell ref="H173:M191"/>
    <mergeCell ref="B185:C185"/>
    <mergeCell ref="B190:C190"/>
    <mergeCell ref="B191:C191"/>
    <mergeCell ref="B194:C194"/>
    <mergeCell ref="D194:G194"/>
    <mergeCell ref="B195:C195"/>
    <mergeCell ref="H196:M196"/>
    <mergeCell ref="H197:M215"/>
    <mergeCell ref="B234:C234"/>
    <mergeCell ref="B235:C235"/>
    <mergeCell ref="B236:C236"/>
    <mergeCell ref="B237:C237"/>
    <mergeCell ref="B257:C257"/>
    <mergeCell ref="B258:C258"/>
    <mergeCell ref="B259:C259"/>
    <mergeCell ref="B260:C260"/>
    <mergeCell ref="B261:C261"/>
    <mergeCell ref="B262:C262"/>
    <mergeCell ref="B263:C263"/>
    <mergeCell ref="B266:C266"/>
    <mergeCell ref="D266:G266"/>
    <mergeCell ref="B267:C267"/>
    <mergeCell ref="H268:M268"/>
    <mergeCell ref="H269:M287"/>
    <mergeCell ref="B281:C281"/>
    <mergeCell ref="B286:C286"/>
    <mergeCell ref="B287:C287"/>
    <mergeCell ref="B290:C290"/>
    <mergeCell ref="D290:G290"/>
    <mergeCell ref="B291:C291"/>
    <mergeCell ref="H292:M292"/>
    <mergeCell ref="H293:M311"/>
    <mergeCell ref="B311:C311"/>
    <mergeCell ref="B215:C215"/>
    <mergeCell ref="B218:C218"/>
    <mergeCell ref="D218:G218"/>
    <mergeCell ref="B219:C219"/>
    <mergeCell ref="H220:M220"/>
    <mergeCell ref="H221:M239"/>
    <mergeCell ref="B233:C233"/>
    <mergeCell ref="B238:C238"/>
    <mergeCell ref="B239:C239"/>
    <mergeCell ref="B242:C242"/>
    <mergeCell ref="D242:G242"/>
    <mergeCell ref="B243:C243"/>
    <mergeCell ref="H244:M244"/>
    <mergeCell ref="H245:M263"/>
    <mergeCell ref="B282:C282"/>
    <mergeCell ref="B283:C283"/>
    <mergeCell ref="B284:C284"/>
    <mergeCell ref="B285:C285"/>
    <mergeCell ref="B305:C305"/>
    <mergeCell ref="B306:C306"/>
    <mergeCell ref="B307:C307"/>
    <mergeCell ref="B308:C308"/>
    <mergeCell ref="B309:C309"/>
    <mergeCell ref="B310:C310"/>
  </mergeCells>
  <conditionalFormatting sqref="H24 H144 H264">
    <cfRule type="colorScale" priority="1">
      <colorScale>
        <cfvo type="min"/>
        <cfvo type="max"/>
        <color rgb="FFFFFFFF"/>
        <color rgb="FF57BB8A"/>
      </colorScale>
    </cfRule>
  </conditionalFormatting>
  <conditionalFormatting sqref="G22 G46 G70 G94 G118 G142 G166 G190 G214 G238 G262 G286 G310">
    <cfRule type="colorScale" priority="2">
      <colorScale>
        <cfvo type="formula" val="0.28"/>
        <cfvo type="formula" val="0.33"/>
        <cfvo type="formula" val="0.38"/>
        <color rgb="FF93C47D"/>
        <color rgb="FFFFD966"/>
        <color rgb="FFE06666"/>
      </colorScale>
    </cfRule>
  </conditionalFormatting>
  <conditionalFormatting sqref="G23 G47 G71 G95 G119 G143 G167 G191 G215 G239 G263 G287 G311">
    <cfRule type="colorScale" priority="3">
      <colorScale>
        <cfvo type="formula" val="0.61"/>
        <cfvo type="formula" val="0.66"/>
        <cfvo type="formula" val="0.71"/>
        <color rgb="FFE06666"/>
        <color rgb="FFFFD966"/>
        <color rgb="FF93C47D"/>
      </colorScale>
    </cfRule>
  </conditionalFormatting>
  <dataValidations>
    <dataValidation type="list" allowBlank="1" showDropDown="1" showErrorMessage="1" sqref="C4:C16 A17 C28:C40 C52:C64 C76:C88 C100:C112 C124:C136 C148:C160 C172:C184 C196:C208 C220:C232 C244:C256 C268:C280 C292:C304">
      <formula1>ingredients</formula1>
    </dataValidation>
  </dataValidations>
  <printOptions/>
  <pageMargins bottom="0.29" footer="0.0" header="0.0" left="0.31" right="0.3" top="0.46"/>
  <pageSetup paperSize="9" orientation="landscape"/>
  <rowBreaks count="1" manualBreakCount="1">
    <brk id="25" man="1"/>
  </rowBreaks>
  <drawing r:id="rId2"/>
  <legacyDrawing r:id="rId3"/>
  <tableParts count="13">
    <tablePart r:id="rId17"/>
    <tablePart r:id="rId18"/>
    <tablePart r:id="rId19"/>
    <tablePart r:id="rId20"/>
    <tablePart r:id="rId21"/>
    <tablePart r:id="rId22"/>
    <tablePart r:id="rId23"/>
    <tablePart r:id="rId24"/>
    <tablePart r:id="rId25"/>
    <tablePart r:id="rId26"/>
    <tablePart r:id="rId27"/>
    <tablePart r:id="rId28"/>
    <tablePart r:id="rId29"/>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showGridLines="0" workbookViewId="0"/>
  </sheetViews>
  <sheetFormatPr customHeight="1" defaultColWidth="12.63" defaultRowHeight="15.0"/>
  <cols>
    <col customWidth="1" min="1" max="1" width="5.75"/>
    <col customWidth="1" min="2" max="2" width="6.63"/>
    <col customWidth="1" min="3" max="3" width="18.63"/>
    <col customWidth="1" min="4" max="4" width="11.75"/>
    <col customWidth="1" min="5" max="5" width="13.13"/>
    <col customWidth="1" min="6" max="6" width="11.75"/>
    <col customWidth="1" hidden="1" min="7" max="7" width="17.13"/>
    <col customWidth="1" min="8" max="9" width="11.75"/>
    <col customWidth="1" min="10" max="10" width="12.63"/>
    <col customWidth="1" hidden="1" min="11" max="13" width="17.13"/>
    <col customWidth="1" min="14" max="15" width="13.25"/>
    <col customWidth="1" min="16" max="16" width="17.75"/>
    <col customWidth="1" min="17" max="17" width="14.75"/>
  </cols>
  <sheetData>
    <row r="1">
      <c r="A1" s="67"/>
      <c r="B1" s="67"/>
      <c r="C1" s="19"/>
      <c r="D1" s="19"/>
      <c r="E1" s="19"/>
      <c r="F1" s="19"/>
      <c r="G1" s="19"/>
      <c r="H1" s="19"/>
      <c r="I1" s="19"/>
      <c r="J1" s="19"/>
      <c r="K1" s="19"/>
      <c r="L1" s="19"/>
      <c r="M1" s="19"/>
      <c r="N1" s="19"/>
      <c r="O1" s="19"/>
      <c r="P1" s="19"/>
      <c r="Q1" s="15"/>
    </row>
    <row r="2">
      <c r="A2" s="67"/>
      <c r="B2" s="261"/>
      <c r="C2" s="19"/>
      <c r="D2" s="19"/>
      <c r="E2" s="19"/>
      <c r="F2" s="19"/>
      <c r="G2" s="19"/>
      <c r="H2" s="19"/>
      <c r="I2" s="19"/>
      <c r="J2" s="19"/>
      <c r="K2" s="19"/>
      <c r="L2" s="19"/>
      <c r="M2" s="19"/>
      <c r="N2" s="19"/>
      <c r="O2" s="19"/>
      <c r="P2" s="19"/>
      <c r="Q2" s="15"/>
    </row>
    <row r="3" ht="54.75" customHeight="1">
      <c r="A3" s="67"/>
      <c r="B3" s="67"/>
      <c r="C3" s="262" t="s">
        <v>615</v>
      </c>
      <c r="D3" s="263" t="s">
        <v>616</v>
      </c>
      <c r="E3" s="264" t="s">
        <v>617</v>
      </c>
      <c r="F3" s="265" t="s">
        <v>618</v>
      </c>
      <c r="G3" s="265" t="s">
        <v>619</v>
      </c>
      <c r="H3" s="265" t="s">
        <v>620</v>
      </c>
      <c r="I3" s="265" t="s">
        <v>603</v>
      </c>
      <c r="J3" s="265" t="s">
        <v>621</v>
      </c>
      <c r="K3" s="265" t="s">
        <v>622</v>
      </c>
      <c r="L3" s="265" t="s">
        <v>623</v>
      </c>
      <c r="M3" s="265" t="s">
        <v>624</v>
      </c>
      <c r="N3" s="265" t="s">
        <v>625</v>
      </c>
      <c r="O3" s="265" t="s">
        <v>626</v>
      </c>
      <c r="P3" s="266" t="s">
        <v>627</v>
      </c>
      <c r="Q3" s="15"/>
    </row>
    <row r="4" ht="33.75" customHeight="1">
      <c r="A4" s="67"/>
      <c r="B4" s="67"/>
      <c r="C4" s="267" t="str">
        <f t="array" ref="C4">INDIRECT("Cogs Recipes!D"&amp;((ROW()-ROW($J$4:$J$16))*24)+2)</f>
        <v>Double Cheese Burger</v>
      </c>
      <c r="D4" s="268">
        <v>175.0</v>
      </c>
      <c r="E4" s="269">
        <f t="array" ref="E4:E16">IF((D4:D16)="","",(D4:D16)/sum(Dashboard[Number Sold]))</f>
        <v>0.1084934904</v>
      </c>
      <c r="F4" s="270">
        <f t="shared" ref="F4:F16" si="1">IFERROR(INDIRECT("COGS Recipes!j"&amp;(MATCH($C4,INDIRECT("COGS Recipes!D:D"),0)+1)),"")</f>
        <v>10.39109018</v>
      </c>
      <c r="G4" s="271">
        <f t="array" ref="G4:G16">IF(C4:C16="","",H4:H16*D4:D16)</f>
        <v>7175</v>
      </c>
      <c r="H4" s="272">
        <f t="shared" ref="H4:H16" si="2">IFERROR(INDIRECT("COGS Recipes!I"&amp;(MATCH($C4,INDIRECT("COGS Recipes!D:D"),0)+1)),"")</f>
        <v>41</v>
      </c>
      <c r="I4" s="273">
        <f t="shared" ref="I4:I16" si="3">IFERROR(INDIRECT("COGS Recipes!M"&amp;(MATCH($C4,INDIRECT("COGS Recipes!D:D"),0)+1)),"")</f>
        <v>0.7212146536</v>
      </c>
      <c r="J4" s="272">
        <f t="array" ref="J4:J16">IF(C4:C16="","",H4:H16/1.1-F4:F16)</f>
        <v>26.88163709</v>
      </c>
      <c r="K4" s="274">
        <f t="array" ref="K4:K16">IF(C4:C16="","",F4:F16*D4:D16)</f>
        <v>1818.440782</v>
      </c>
      <c r="L4" s="275">
        <f t="array" ref="L4:L16">IF(C4:C16="","",H4:H16/1.1*D4:D16)</f>
        <v>6522.727273</v>
      </c>
      <c r="M4" s="275">
        <f t="array" ref="M4:M16">IF(C4:C16="","",J4:J16*D4:D16)</f>
        <v>4704.286491</v>
      </c>
      <c r="N4" s="276" t="str">
        <f t="array" ref="N4:N16">if((C4:C16)="","",(IF((J4:J16)&gt;Dashboard!B7,"High","Low")))</f>
        <v>High</v>
      </c>
      <c r="O4" s="276" t="str">
        <f t="array" ref="O4:O16">if(C4:C16="","",IF(E4:E16&gt;AVERAGE(E4:E16),"High","Low"))</f>
        <v>High</v>
      </c>
      <c r="P4" s="277" t="str">
        <f t="array" ref="P4:P16">IF(C4:C16="","",IF(N4:N16="high",IF(O4:O16="high","Chef's Kiss",IF(O4:O16="low","Hidden Gem",1)),IF(O4:O16="high","Bargain Bucket","Burnt Toast")))</f>
        <v>Chef's Kiss</v>
      </c>
      <c r="Q4" s="15"/>
    </row>
    <row r="5" ht="33.75" customHeight="1">
      <c r="A5" s="67"/>
      <c r="B5" s="67"/>
      <c r="C5" s="278" t="str">
        <f t="shared" ref="C5:C16" si="4">INDIRECT("Cogs Recipes!D"&amp;((ROW()-ROW($J$4))*24)+2)</f>
        <v>Hot Dog</v>
      </c>
      <c r="D5" s="279">
        <v>162.0</v>
      </c>
      <c r="E5" s="280">
        <v>0.10043397396156231</v>
      </c>
      <c r="F5" s="281">
        <f t="shared" si="1"/>
        <v>5.486472483</v>
      </c>
      <c r="G5" s="282">
        <v>3547.7999999999997</v>
      </c>
      <c r="H5" s="283">
        <f t="shared" si="2"/>
        <v>21.9</v>
      </c>
      <c r="I5" s="284">
        <f t="shared" si="3"/>
        <v>0.7244237565</v>
      </c>
      <c r="J5" s="283">
        <v>14.422618425757573</v>
      </c>
      <c r="K5" s="285">
        <v>888.8085423</v>
      </c>
      <c r="L5" s="286">
        <v>3225.272727272727</v>
      </c>
      <c r="M5" s="286">
        <v>2336.464184972727</v>
      </c>
      <c r="N5" s="287" t="s">
        <v>628</v>
      </c>
      <c r="O5" s="287" t="s">
        <v>628</v>
      </c>
      <c r="P5" s="277" t="s">
        <v>629</v>
      </c>
      <c r="Q5" s="15"/>
    </row>
    <row r="6" ht="33.75" customHeight="1">
      <c r="A6" s="67"/>
      <c r="B6" s="67"/>
      <c r="C6" s="267" t="str">
        <f t="shared" si="4"/>
        <v>Steak and Chips</v>
      </c>
      <c r="D6" s="268">
        <v>159.0</v>
      </c>
      <c r="E6" s="269">
        <v>0.09857408555486671</v>
      </c>
      <c r="F6" s="270">
        <f t="shared" si="1"/>
        <v>9.699246</v>
      </c>
      <c r="G6" s="276">
        <v>5708.099999999999</v>
      </c>
      <c r="H6" s="272">
        <f t="shared" si="2"/>
        <v>35.9</v>
      </c>
      <c r="I6" s="273">
        <f t="shared" si="3"/>
        <v>0.7028086184</v>
      </c>
      <c r="J6" s="276">
        <v>22.937117636363634</v>
      </c>
      <c r="K6" s="288">
        <v>1542.1801139999998</v>
      </c>
      <c r="L6" s="288">
        <v>5189.181818181818</v>
      </c>
      <c r="M6" s="288">
        <v>3647.001704181818</v>
      </c>
      <c r="N6" s="289" t="s">
        <v>628</v>
      </c>
      <c r="O6" s="289" t="s">
        <v>628</v>
      </c>
      <c r="P6" s="290" t="s">
        <v>629</v>
      </c>
      <c r="Q6" s="15"/>
    </row>
    <row r="7" ht="33.75" customHeight="1">
      <c r="A7" s="67"/>
      <c r="B7" s="15"/>
      <c r="C7" s="278" t="str">
        <f t="shared" si="4"/>
        <v>Chicken Parmy</v>
      </c>
      <c r="D7" s="279">
        <v>158.0</v>
      </c>
      <c r="E7" s="280">
        <v>0.09795412275263485</v>
      </c>
      <c r="F7" s="281">
        <f t="shared" si="1"/>
        <v>8.320894067</v>
      </c>
      <c r="G7" s="282">
        <v>4882.2</v>
      </c>
      <c r="H7" s="283">
        <f t="shared" si="2"/>
        <v>30.9</v>
      </c>
      <c r="I7" s="284">
        <f t="shared" si="3"/>
        <v>0.7037869426</v>
      </c>
      <c r="J7" s="283">
        <v>19.77001502424242</v>
      </c>
      <c r="K7" s="285">
        <v>1314.7012625333332</v>
      </c>
      <c r="L7" s="286">
        <v>4438.363636363636</v>
      </c>
      <c r="M7" s="286">
        <v>3123.662373830302</v>
      </c>
      <c r="N7" s="287" t="s">
        <v>628</v>
      </c>
      <c r="O7" s="287" t="s">
        <v>628</v>
      </c>
      <c r="P7" s="277" t="s">
        <v>629</v>
      </c>
      <c r="Q7" s="15"/>
    </row>
    <row r="8" ht="33.75" customHeight="1">
      <c r="A8" s="67"/>
      <c r="B8" s="67"/>
      <c r="C8" s="267" t="str">
        <f t="shared" si="4"/>
        <v>Chefs Burger</v>
      </c>
      <c r="D8" s="268">
        <v>150.0</v>
      </c>
      <c r="E8" s="269">
        <v>0.0929944203347799</v>
      </c>
      <c r="F8" s="270">
        <f t="shared" si="1"/>
        <v>6.897037594</v>
      </c>
      <c r="G8" s="276">
        <v>3885.0</v>
      </c>
      <c r="H8" s="272">
        <f t="shared" si="2"/>
        <v>25.9</v>
      </c>
      <c r="I8" s="273">
        <f t="shared" si="3"/>
        <v>0.7070756234</v>
      </c>
      <c r="J8" s="276">
        <v>16.64841695180375</v>
      </c>
      <c r="K8" s="288">
        <v>1034.5556390476193</v>
      </c>
      <c r="L8" s="288">
        <v>3531.8181818181815</v>
      </c>
      <c r="M8" s="288">
        <v>2497.2625427705625</v>
      </c>
      <c r="N8" s="289" t="s">
        <v>628</v>
      </c>
      <c r="O8" s="289" t="s">
        <v>628</v>
      </c>
      <c r="P8" s="290" t="s">
        <v>629</v>
      </c>
      <c r="Q8" s="15"/>
    </row>
    <row r="9" ht="33.75" customHeight="1">
      <c r="A9" s="67"/>
      <c r="B9" s="67"/>
      <c r="C9" s="278" t="str">
        <f t="shared" si="4"/>
        <v>Pizza Hawaii</v>
      </c>
      <c r="D9" s="279">
        <v>139.0</v>
      </c>
      <c r="E9" s="280">
        <v>0.08617482951022938</v>
      </c>
      <c r="F9" s="281">
        <f t="shared" si="1"/>
        <v>3.774418913</v>
      </c>
      <c r="G9" s="287">
        <v>1932.1000000000001</v>
      </c>
      <c r="H9" s="283">
        <f t="shared" si="2"/>
        <v>13.9</v>
      </c>
      <c r="I9" s="284">
        <f t="shared" si="3"/>
        <v>0.7013049781</v>
      </c>
      <c r="J9" s="287">
        <v>8.861944723218095</v>
      </c>
      <c r="K9" s="291">
        <v>524.6442289272301</v>
      </c>
      <c r="L9" s="291">
        <v>1756.4545454545453</v>
      </c>
      <c r="M9" s="291">
        <v>1231.810316527315</v>
      </c>
      <c r="N9" s="292" t="s">
        <v>630</v>
      </c>
      <c r="O9" s="292" t="s">
        <v>628</v>
      </c>
      <c r="P9" s="293" t="s">
        <v>631</v>
      </c>
      <c r="Q9" s="15"/>
    </row>
    <row r="10" ht="33.75" customHeight="1">
      <c r="A10" s="67"/>
      <c r="B10" s="1"/>
      <c r="C10" s="267" t="str">
        <f t="shared" si="4"/>
        <v>Arrancini</v>
      </c>
      <c r="D10" s="268">
        <v>121.0</v>
      </c>
      <c r="E10" s="269">
        <v>0.0750154990700558</v>
      </c>
      <c r="F10" s="270">
        <f t="shared" si="1"/>
        <v>2.98980124</v>
      </c>
      <c r="G10" s="276">
        <v>1318.9</v>
      </c>
      <c r="H10" s="272">
        <f t="shared" si="2"/>
        <v>10.9</v>
      </c>
      <c r="I10" s="273">
        <f t="shared" si="3"/>
        <v>0.6982769391</v>
      </c>
      <c r="J10" s="276">
        <v>6.919289669090908</v>
      </c>
      <c r="K10" s="288">
        <v>361.76595004</v>
      </c>
      <c r="L10" s="288">
        <v>1199.0</v>
      </c>
      <c r="M10" s="288">
        <v>837.2340499599999</v>
      </c>
      <c r="N10" s="289" t="s">
        <v>630</v>
      </c>
      <c r="O10" s="289" t="s">
        <v>630</v>
      </c>
      <c r="P10" s="294" t="s">
        <v>632</v>
      </c>
      <c r="Q10" s="15"/>
    </row>
    <row r="11" ht="33.75" customHeight="1">
      <c r="A11" s="67"/>
      <c r="B11" s="1"/>
      <c r="C11" s="278" t="str">
        <f t="shared" si="4"/>
        <v>Dumplings</v>
      </c>
      <c r="D11" s="279">
        <v>106.0</v>
      </c>
      <c r="E11" s="280">
        <v>0.0657160570365778</v>
      </c>
      <c r="F11" s="281">
        <f t="shared" si="1"/>
        <v>1.259205</v>
      </c>
      <c r="G11" s="287">
        <v>519.4000000000001</v>
      </c>
      <c r="H11" s="283">
        <f t="shared" si="2"/>
        <v>4.9</v>
      </c>
      <c r="I11" s="284">
        <f t="shared" si="3"/>
        <v>0.7173213265</v>
      </c>
      <c r="J11" s="287">
        <v>3.1953404545454545</v>
      </c>
      <c r="K11" s="291">
        <v>133.47573</v>
      </c>
      <c r="L11" s="291">
        <v>472.18181818181813</v>
      </c>
      <c r="M11" s="291">
        <v>338.7060881818182</v>
      </c>
      <c r="N11" s="292" t="s">
        <v>630</v>
      </c>
      <c r="O11" s="292" t="s">
        <v>630</v>
      </c>
      <c r="P11" s="294" t="s">
        <v>632</v>
      </c>
      <c r="Q11" s="15"/>
    </row>
    <row r="12" ht="33.75" customHeight="1">
      <c r="A12" s="67"/>
      <c r="B12" s="1"/>
      <c r="C12" s="267" t="str">
        <f t="shared" si="4"/>
        <v>Spring Rolls</v>
      </c>
      <c r="D12" s="268">
        <v>105.0</v>
      </c>
      <c r="E12" s="269">
        <v>0.06509609423434594</v>
      </c>
      <c r="F12" s="270">
        <f t="shared" si="1"/>
        <v>1.888241733</v>
      </c>
      <c r="G12" s="295">
        <v>724.5</v>
      </c>
      <c r="H12" s="272">
        <f t="shared" si="2"/>
        <v>6.9</v>
      </c>
      <c r="I12" s="273">
        <f t="shared" si="3"/>
        <v>0.6989759556</v>
      </c>
      <c r="J12" s="272">
        <v>4.384485539393939</v>
      </c>
      <c r="K12" s="296">
        <v>198.265382</v>
      </c>
      <c r="L12" s="275">
        <v>658.6363636363636</v>
      </c>
      <c r="M12" s="275">
        <v>460.3709816363636</v>
      </c>
      <c r="N12" s="276" t="s">
        <v>630</v>
      </c>
      <c r="O12" s="276" t="s">
        <v>630</v>
      </c>
      <c r="P12" s="297" t="s">
        <v>632</v>
      </c>
      <c r="Q12" s="15"/>
    </row>
    <row r="13" ht="33.75" customHeight="1">
      <c r="A13" s="67"/>
      <c r="B13" s="1"/>
      <c r="C13" s="278" t="str">
        <f t="shared" si="4"/>
        <v>Mo Mos</v>
      </c>
      <c r="D13" s="279">
        <v>101.0</v>
      </c>
      <c r="E13" s="280">
        <v>0.06261624302541847</v>
      </c>
      <c r="F13" s="281">
        <f t="shared" si="1"/>
        <v>1.617961</v>
      </c>
      <c r="G13" s="287">
        <v>707.0</v>
      </c>
      <c r="H13" s="283">
        <f t="shared" si="2"/>
        <v>7</v>
      </c>
      <c r="I13" s="284">
        <f t="shared" si="3"/>
        <v>0.7457489857</v>
      </c>
      <c r="J13" s="287">
        <v>4.745675363636363</v>
      </c>
      <c r="K13" s="291">
        <v>163.41406100000003</v>
      </c>
      <c r="L13" s="291">
        <v>642.7272727272727</v>
      </c>
      <c r="M13" s="291">
        <v>479.3132117272727</v>
      </c>
      <c r="N13" s="292" t="s">
        <v>630</v>
      </c>
      <c r="O13" s="292" t="s">
        <v>630</v>
      </c>
      <c r="P13" s="294" t="s">
        <v>632</v>
      </c>
      <c r="Q13" s="15"/>
    </row>
    <row r="14" ht="33.75" customHeight="1">
      <c r="A14" s="67"/>
      <c r="B14" s="1"/>
      <c r="C14" s="267" t="str">
        <f t="shared" si="4"/>
        <v>Chicken Burger</v>
      </c>
      <c r="D14" s="268">
        <v>97.0</v>
      </c>
      <c r="E14" s="269">
        <v>0.06013639181649101</v>
      </c>
      <c r="F14" s="270">
        <f t="shared" si="1"/>
        <v>4.91222023</v>
      </c>
      <c r="G14" s="276">
        <v>1843.0</v>
      </c>
      <c r="H14" s="272">
        <f t="shared" si="2"/>
        <v>19</v>
      </c>
      <c r="I14" s="273">
        <f t="shared" si="3"/>
        <v>0.7156083025</v>
      </c>
      <c r="J14" s="276">
        <v>12.36050704299331</v>
      </c>
      <c r="K14" s="288">
        <v>476.4853622841941</v>
      </c>
      <c r="L14" s="288">
        <v>1675.4545454545453</v>
      </c>
      <c r="M14" s="288">
        <v>1198.969183170351</v>
      </c>
      <c r="N14" s="289" t="s">
        <v>630</v>
      </c>
      <c r="O14" s="289" t="s">
        <v>630</v>
      </c>
      <c r="P14" s="294" t="s">
        <v>632</v>
      </c>
      <c r="Q14" s="15"/>
    </row>
    <row r="15" ht="33.75" customHeight="1">
      <c r="A15" s="67"/>
      <c r="B15" s="1"/>
      <c r="C15" s="278" t="str">
        <f t="shared" si="4"/>
        <v>Steak Sandwich</v>
      </c>
      <c r="D15" s="279">
        <v>80.0</v>
      </c>
      <c r="E15" s="280">
        <v>0.04959702417854929</v>
      </c>
      <c r="F15" s="281">
        <f t="shared" si="1"/>
        <v>8.55953711</v>
      </c>
      <c r="G15" s="282">
        <v>2560.0</v>
      </c>
      <c r="H15" s="283">
        <f t="shared" si="2"/>
        <v>32</v>
      </c>
      <c r="I15" s="284">
        <f t="shared" si="3"/>
        <v>0.7057659118</v>
      </c>
      <c r="J15" s="283">
        <v>20.531371981049936</v>
      </c>
      <c r="K15" s="285">
        <v>684.7629687887325</v>
      </c>
      <c r="L15" s="286">
        <v>2327.272727272727</v>
      </c>
      <c r="M15" s="286">
        <v>1642.509758483995</v>
      </c>
      <c r="N15" s="287" t="s">
        <v>628</v>
      </c>
      <c r="O15" s="287" t="s">
        <v>630</v>
      </c>
      <c r="P15" s="298" t="s">
        <v>633</v>
      </c>
      <c r="Q15" s="15"/>
    </row>
    <row r="16" ht="33.75" customHeight="1">
      <c r="A16" s="299"/>
      <c r="B16" s="1"/>
      <c r="C16" s="300" t="str">
        <f t="shared" si="4"/>
        <v>Sausage Roll</v>
      </c>
      <c r="D16" s="301">
        <v>60.0</v>
      </c>
      <c r="E16" s="302">
        <v>0.037197768133911964</v>
      </c>
      <c r="F16" s="303">
        <f t="shared" si="1"/>
        <v>2.28021308</v>
      </c>
      <c r="G16" s="304">
        <v>540.0</v>
      </c>
      <c r="H16" s="305">
        <f t="shared" si="2"/>
        <v>9</v>
      </c>
      <c r="I16" s="306">
        <f t="shared" si="3"/>
        <v>0.7213072902</v>
      </c>
      <c r="J16" s="304">
        <v>5.901605101818181</v>
      </c>
      <c r="K16" s="307">
        <v>136.8127848</v>
      </c>
      <c r="L16" s="307">
        <v>490.9090909090909</v>
      </c>
      <c r="M16" s="307">
        <v>354.0963061090909</v>
      </c>
      <c r="N16" s="308" t="s">
        <v>630</v>
      </c>
      <c r="O16" s="308" t="s">
        <v>630</v>
      </c>
      <c r="P16" s="309" t="s">
        <v>632</v>
      </c>
      <c r="Q16" s="15"/>
    </row>
    <row r="17">
      <c r="A17" s="299"/>
      <c r="B17" s="1"/>
      <c r="C17" s="19"/>
      <c r="D17" s="19"/>
      <c r="E17" s="19"/>
      <c r="F17" s="19"/>
      <c r="G17" s="19"/>
      <c r="H17" s="19"/>
      <c r="I17" s="19"/>
      <c r="J17" s="19"/>
      <c r="K17" s="19"/>
      <c r="L17" s="19"/>
      <c r="M17" s="19"/>
      <c r="N17" s="19"/>
      <c r="O17" s="19"/>
      <c r="P17" s="310"/>
      <c r="Q17" s="15"/>
    </row>
    <row r="18">
      <c r="A18" s="299"/>
      <c r="B18" s="1"/>
      <c r="C18" s="19"/>
      <c r="D18" s="19"/>
      <c r="E18" s="19"/>
      <c r="F18" s="19"/>
      <c r="G18" s="19"/>
      <c r="H18" s="19"/>
      <c r="I18" s="19"/>
      <c r="J18" s="19"/>
      <c r="K18" s="19"/>
      <c r="L18" s="19"/>
      <c r="M18" s="19"/>
      <c r="N18" s="19"/>
      <c r="O18" s="19"/>
      <c r="P18" s="310"/>
      <c r="Q18" s="15"/>
    </row>
  </sheetData>
  <conditionalFormatting sqref="P4:P16">
    <cfRule type="containsText" dxfId="8" priority="1" operator="containsText" text="Burnt">
      <formula>NOT(ISERROR(SEARCH(("Burnt"),(P4))))</formula>
    </cfRule>
  </conditionalFormatting>
  <conditionalFormatting sqref="P4:P16">
    <cfRule type="containsText" dxfId="9" priority="2" operator="containsText" text="Kiss">
      <formula>NOT(ISERROR(SEARCH(("Kiss"),(P4))))</formula>
    </cfRule>
  </conditionalFormatting>
  <conditionalFormatting sqref="P4:P16">
    <cfRule type="containsText" dxfId="10" priority="3" operator="containsText" text="gem">
      <formula>NOT(ISERROR(SEARCH(("gem"),(P4))))</formula>
    </cfRule>
  </conditionalFormatting>
  <conditionalFormatting sqref="P4:P16">
    <cfRule type="containsText" dxfId="11" priority="4" operator="containsText" text="Bucket">
      <formula>NOT(ISERROR(SEARCH(("Bucket"),(P4))))</formula>
    </cfRule>
  </conditionalFormatting>
  <dataValidations>
    <dataValidation type="custom" allowBlank="1" showDropDown="1" sqref="D4:I16 K4:M16">
      <formula1>AND(ISNUMBER(D4),(NOT(OR(NOT(ISERROR(DATEVALUE(D4))), AND(ISNUMBER(D4), LEFT(CELL("format", D4))="D")))))</formula1>
    </dataValidation>
    <dataValidation allowBlank="1" showDropDown="1" sqref="C4:C16"/>
  </dataValidations>
  <printOptions/>
  <pageMargins bottom="0.7480314960629921" footer="0.0" header="0.0" left="0.7086614173228347" right="0.7086614173228347" top="0.7480314960629921"/>
  <pageSetup paperSize="9" scale="85" orientation="portrait"/>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showGridLines="0" workbookViewId="0"/>
  </sheetViews>
  <sheetFormatPr customHeight="1" defaultColWidth="12.63" defaultRowHeight="15.0"/>
  <cols>
    <col customWidth="1" min="1" max="1" width="5.88"/>
    <col customWidth="1" min="4" max="4" width="7.38"/>
    <col customWidth="1" min="5" max="5" width="2.25"/>
    <col customWidth="1" min="7" max="8" width="11.75"/>
    <col customWidth="1" min="9" max="9" width="1.88"/>
    <col customWidth="1" min="10" max="12" width="11.75"/>
  </cols>
  <sheetData>
    <row r="1">
      <c r="A1" s="1"/>
      <c r="B1" s="1"/>
      <c r="C1" s="1"/>
      <c r="D1" s="1"/>
      <c r="E1" s="1"/>
      <c r="F1" s="1"/>
      <c r="G1" s="1"/>
      <c r="H1" s="1"/>
      <c r="I1" s="1"/>
      <c r="J1" s="1"/>
      <c r="K1" s="1"/>
      <c r="L1" s="1"/>
      <c r="M1" s="1"/>
      <c r="N1" s="1"/>
      <c r="O1" s="1"/>
      <c r="P1" s="1"/>
      <c r="Q1" s="1"/>
      <c r="R1" s="1"/>
      <c r="S1" s="1"/>
      <c r="T1" s="1"/>
    </row>
    <row r="2">
      <c r="A2" s="1"/>
      <c r="B2" s="311" t="s">
        <v>634</v>
      </c>
      <c r="C2" s="312"/>
      <c r="D2" s="313"/>
      <c r="E2" s="1"/>
      <c r="F2" s="314" t="s">
        <v>635</v>
      </c>
      <c r="G2" s="315"/>
      <c r="H2" s="315"/>
      <c r="I2" s="316"/>
      <c r="J2" s="317" t="s">
        <v>636</v>
      </c>
      <c r="K2" s="315"/>
      <c r="L2" s="318"/>
      <c r="M2" s="1"/>
      <c r="N2" s="1"/>
      <c r="O2" s="1"/>
      <c r="P2" s="1"/>
      <c r="Q2" s="1"/>
      <c r="R2" s="1"/>
      <c r="S2" s="1"/>
      <c r="T2" s="1"/>
    </row>
    <row r="3">
      <c r="A3" s="1"/>
      <c r="B3" s="319">
        <f>1-Dashboard!B5</f>
        <v>0.7112258697</v>
      </c>
      <c r="C3" s="320"/>
      <c r="D3" s="321"/>
      <c r="E3" s="1"/>
      <c r="F3" s="322"/>
      <c r="G3" s="323" t="s">
        <v>617</v>
      </c>
      <c r="H3" s="323" t="s">
        <v>637</v>
      </c>
      <c r="I3" s="324"/>
      <c r="J3" s="324"/>
      <c r="K3" s="323" t="s">
        <v>617</v>
      </c>
      <c r="L3" s="325" t="s">
        <v>637</v>
      </c>
      <c r="M3" s="1"/>
      <c r="N3" s="1"/>
      <c r="O3" s="1"/>
      <c r="P3" s="1"/>
      <c r="Q3" s="1"/>
      <c r="R3" s="1"/>
      <c r="S3" s="1"/>
      <c r="T3" s="1"/>
    </row>
    <row r="4">
      <c r="A4" s="1"/>
      <c r="B4" s="326" t="s">
        <v>638</v>
      </c>
      <c r="D4" s="327"/>
      <c r="E4" s="1"/>
      <c r="F4" s="328" t="str">
        <f>IFERROR(__xludf.DUMMYFUNCTION("iferror(array_constrain(FILTER(Dashboard[Dish],Dashboard[Menu Item Class]=""Chef's Kiss""),5,1), ""YOU CURRENTLY HAVE NO STARS!"")"),"Double Cheese Burger")</f>
        <v>Double Cheese Burger</v>
      </c>
      <c r="G4" s="329">
        <f t="array" ref="G4">iferror(XLOOKUP($F4,Dashboard[Dish],Dashboard[Number Sold]),"")</f>
        <v>175</v>
      </c>
      <c r="H4" s="330">
        <f t="array" ref="H4">iferror(XLOOKUP($F4,Dashboard[Dish],Dashboard[Item Gross Profit excl. GST]),"")</f>
        <v>26.88163709</v>
      </c>
      <c r="I4" s="329"/>
      <c r="J4" s="331" t="str">
        <f>IFERROR(__xludf.DUMMYFUNCTION("array_constrain(FILTER(Dashboard[Dish],Dashboard[Menu Item Class]=""Bargain Bucket""),5,1)"),"Pizza Hawaii")</f>
        <v>Pizza Hawaii</v>
      </c>
      <c r="K4" s="329">
        <f t="array" ref="K4">iferror(XLOOKUP($J4,Dashboard[Dish],Dashboard[Number Sold]),"")</f>
        <v>139</v>
      </c>
      <c r="L4" s="332">
        <f t="array" ref="L4">iferror(XLOOKUP($J4,Dashboard[Dish],Dashboard[Item Gross Profit excl. GST]),"")</f>
        <v>8.861944723</v>
      </c>
      <c r="M4" s="1"/>
      <c r="N4" s="1"/>
      <c r="O4" s="1"/>
      <c r="P4" s="1"/>
      <c r="Q4" s="1"/>
      <c r="R4" s="1"/>
      <c r="S4" s="1"/>
      <c r="T4" s="1"/>
    </row>
    <row r="5">
      <c r="A5" s="1"/>
      <c r="B5" s="319">
        <f>sum(Dashboard[Total Cost])/sum(Dashboard[Total Revenue     ex GST])</f>
        <v>0.2887741303</v>
      </c>
      <c r="C5" s="320"/>
      <c r="D5" s="321"/>
      <c r="E5" s="1"/>
      <c r="F5" s="333" t="str">
        <f>IFERROR(__xludf.DUMMYFUNCTION("""COMPUTED_VALUE"""),"Hot Dog")</f>
        <v>Hot Dog</v>
      </c>
      <c r="G5" s="334">
        <f t="array" ref="G5">iferror(XLOOKUP($F5,Dashboard[Dish],Dashboard[Number Sold]),"")</f>
        <v>162</v>
      </c>
      <c r="H5" s="335">
        <f t="array" ref="H5">iferror(XLOOKUP($F5,Dashboard[Dish],Dashboard[Item Gross Profit excl. GST]),"")</f>
        <v>14.42261843</v>
      </c>
      <c r="I5" s="334"/>
      <c r="J5" s="336"/>
      <c r="K5" s="334" t="str">
        <f t="array" ref="K5">iferror(XLOOKUP($J5,Dashboard[Dish],Dashboard[Number Sold]),"")</f>
        <v/>
      </c>
      <c r="L5" s="337" t="str">
        <f t="array" ref="L5">iferror(XLOOKUP($J5,Dashboard[Dish],Dashboard[Item Gross Profit excl. GST]),"")</f>
        <v/>
      </c>
      <c r="M5" s="1"/>
      <c r="N5" s="1"/>
      <c r="O5" s="1"/>
      <c r="P5" s="1"/>
      <c r="Q5" s="1"/>
      <c r="R5" s="1"/>
      <c r="S5" s="1"/>
      <c r="T5" s="1"/>
    </row>
    <row r="6">
      <c r="A6" s="1"/>
      <c r="B6" s="338" t="s">
        <v>639</v>
      </c>
      <c r="C6" s="312"/>
      <c r="D6" s="313"/>
      <c r="E6" s="1"/>
      <c r="F6" s="328" t="str">
        <f>IFERROR(__xludf.DUMMYFUNCTION("""COMPUTED_VALUE"""),"Steak and Chips")</f>
        <v>Steak and Chips</v>
      </c>
      <c r="G6" s="329">
        <f t="array" ref="G6">iferror(XLOOKUP($F6,Dashboard[Dish],Dashboard[Number Sold]),"")</f>
        <v>159</v>
      </c>
      <c r="H6" s="330">
        <f t="array" ref="H6">iferror(XLOOKUP($F6,Dashboard[Dish],Dashboard[Item Gross Profit excl. GST]),"")</f>
        <v>22.93711764</v>
      </c>
      <c r="I6" s="329"/>
      <c r="J6" s="339"/>
      <c r="K6" s="329" t="str">
        <f t="array" ref="K6">iferror(XLOOKUP($J6,Dashboard[Dish],Dashboard[Number Sold]),"")</f>
        <v/>
      </c>
      <c r="L6" s="332" t="str">
        <f t="array" ref="L6">iferror(XLOOKUP($J6,Dashboard[Dish],Dashboard[Item Gross Profit excl. GST]),"")</f>
        <v/>
      </c>
      <c r="M6" s="1"/>
      <c r="N6" s="1"/>
      <c r="O6" s="1"/>
      <c r="P6" s="1"/>
      <c r="Q6" s="1"/>
      <c r="R6" s="1"/>
      <c r="S6" s="1"/>
      <c r="T6" s="1"/>
    </row>
    <row r="7">
      <c r="A7" s="1"/>
      <c r="B7" s="340">
        <f>sum(Dashboard[Total Profit ex GST])/sum(Dashboard[Number Sold])</f>
        <v>14.16719603</v>
      </c>
      <c r="C7" s="320"/>
      <c r="D7" s="321"/>
      <c r="E7" s="1"/>
      <c r="F7" s="333" t="str">
        <f>IFERROR(__xludf.DUMMYFUNCTION("""COMPUTED_VALUE"""),"Chicken Parmy")</f>
        <v>Chicken Parmy</v>
      </c>
      <c r="G7" s="334">
        <f t="array" ref="G7">iferror(XLOOKUP($F7,Dashboard[Dish],Dashboard[Number Sold]),"")</f>
        <v>158</v>
      </c>
      <c r="H7" s="335">
        <f t="array" ref="H7">iferror(XLOOKUP($F7,Dashboard[Dish],Dashboard[Item Gross Profit excl. GST]),"")</f>
        <v>19.77001502</v>
      </c>
      <c r="I7" s="334"/>
      <c r="J7" s="336"/>
      <c r="K7" s="334" t="str">
        <f t="array" ref="K7">iferror(XLOOKUP($J7,Dashboard[Dish],Dashboard[Number Sold]),"")</f>
        <v/>
      </c>
      <c r="L7" s="337" t="str">
        <f t="array" ref="L7">iferror(XLOOKUP($J7,Dashboard[Dish],Dashboard[Item Gross Profit excl. GST]),"")</f>
        <v/>
      </c>
      <c r="M7" s="1"/>
      <c r="N7" s="1"/>
      <c r="O7" s="1"/>
      <c r="P7" s="1"/>
      <c r="Q7" s="1"/>
      <c r="R7" s="1"/>
      <c r="S7" s="1"/>
      <c r="T7" s="1"/>
    </row>
    <row r="8">
      <c r="A8" s="1"/>
      <c r="B8" s="341" t="s">
        <v>640</v>
      </c>
      <c r="C8" s="312"/>
      <c r="D8" s="313"/>
      <c r="E8" s="1"/>
      <c r="F8" s="328" t="str">
        <f>IFERROR(__xludf.DUMMYFUNCTION("""COMPUTED_VALUE"""),"Chefs Burger")</f>
        <v>Chefs Burger</v>
      </c>
      <c r="G8" s="329">
        <f t="array" ref="G8">iferror(XLOOKUP($F8,Dashboard[Dish],Dashboard[Number Sold]),"")</f>
        <v>150</v>
      </c>
      <c r="H8" s="330">
        <f t="array" ref="H8">iferror(XLOOKUP($F8,Dashboard[Dish],Dashboard[Item Gross Profit excl. GST]),"")</f>
        <v>16.64841695</v>
      </c>
      <c r="I8" s="329"/>
      <c r="J8" s="339"/>
      <c r="K8" s="329" t="str">
        <f t="array" ref="K8">iferror(XLOOKUP($J8,Dashboard[Dish],Dashboard[Number Sold]),"")</f>
        <v/>
      </c>
      <c r="L8" s="332" t="str">
        <f t="array" ref="L8">iferror(XLOOKUP($J8,Dashboard[Dish],Dashboard[Item Gross Profit excl. GST]),"")</f>
        <v/>
      </c>
      <c r="M8" s="1"/>
      <c r="N8" s="1"/>
      <c r="O8" s="1"/>
      <c r="P8" s="1"/>
      <c r="Q8" s="1"/>
      <c r="R8" s="1"/>
      <c r="S8" s="1"/>
      <c r="T8" s="1"/>
    </row>
    <row r="9">
      <c r="A9" s="1"/>
      <c r="B9" s="342">
        <f>SUM(Dashboard[Total Sales Inc. GST])/sum(Dashboard[Number Sold])</f>
        <v>21.91134532</v>
      </c>
      <c r="C9" s="320"/>
      <c r="D9" s="321"/>
      <c r="E9" s="1"/>
      <c r="F9" s="343"/>
      <c r="G9" s="343"/>
      <c r="H9" s="343"/>
      <c r="I9" s="343"/>
      <c r="J9" s="343"/>
      <c r="K9" s="343"/>
      <c r="L9" s="1"/>
      <c r="M9" s="1"/>
      <c r="N9" s="1"/>
      <c r="O9" s="1"/>
      <c r="P9" s="1"/>
      <c r="Q9" s="1"/>
      <c r="R9" s="1"/>
      <c r="S9" s="1"/>
      <c r="T9" s="1"/>
    </row>
    <row r="10">
      <c r="A10" s="1"/>
      <c r="B10" s="1"/>
      <c r="C10" s="1"/>
      <c r="D10" s="1"/>
      <c r="E10" s="1"/>
      <c r="F10" s="1"/>
      <c r="G10" s="1"/>
      <c r="H10" s="1"/>
      <c r="I10" s="1"/>
      <c r="J10" s="1"/>
      <c r="K10" s="1"/>
      <c r="L10" s="1"/>
      <c r="M10" s="1"/>
      <c r="N10" s="1"/>
      <c r="O10" s="1"/>
      <c r="P10" s="1"/>
      <c r="Q10" s="1"/>
      <c r="R10" s="1"/>
      <c r="S10" s="1"/>
      <c r="T10" s="1"/>
    </row>
    <row r="11">
      <c r="A11" s="1"/>
      <c r="B11" s="1"/>
      <c r="C11" s="1"/>
      <c r="D11" s="1"/>
      <c r="E11" s="1"/>
      <c r="F11" s="1"/>
      <c r="G11" s="1"/>
      <c r="H11" s="1"/>
      <c r="I11" s="1"/>
      <c r="J11" s="1"/>
      <c r="K11" s="1"/>
      <c r="L11" s="1"/>
      <c r="M11" s="1"/>
      <c r="N11" s="1"/>
      <c r="O11" s="1"/>
      <c r="P11" s="1"/>
      <c r="Q11" s="1"/>
      <c r="R11" s="1"/>
      <c r="S11" s="1"/>
      <c r="T11" s="1"/>
    </row>
    <row r="12">
      <c r="A12" s="1"/>
      <c r="B12" s="1"/>
      <c r="C12" s="1"/>
      <c r="D12" s="1"/>
      <c r="E12" s="1"/>
      <c r="F12" s="1"/>
      <c r="G12" s="1"/>
      <c r="H12" s="1"/>
      <c r="I12" s="1"/>
      <c r="J12" s="1"/>
      <c r="K12" s="1"/>
      <c r="L12" s="1"/>
      <c r="M12" s="1"/>
      <c r="N12" s="1"/>
      <c r="O12" s="1"/>
      <c r="P12" s="1"/>
      <c r="Q12" s="1"/>
      <c r="R12" s="1"/>
      <c r="S12" s="1"/>
      <c r="T12" s="1"/>
    </row>
    <row r="13">
      <c r="A13" s="1"/>
      <c r="B13" s="1"/>
      <c r="C13" s="1"/>
      <c r="D13" s="1"/>
      <c r="E13" s="1"/>
      <c r="F13" s="1"/>
      <c r="G13" s="1"/>
      <c r="H13" s="1"/>
      <c r="I13" s="1"/>
      <c r="J13" s="1"/>
      <c r="K13" s="1"/>
      <c r="L13" s="1"/>
      <c r="M13" s="1"/>
      <c r="N13" s="1"/>
      <c r="O13" s="1"/>
      <c r="P13" s="1"/>
      <c r="Q13" s="1"/>
      <c r="R13" s="1"/>
      <c r="S13" s="1"/>
      <c r="T13" s="1"/>
    </row>
    <row r="14">
      <c r="A14" s="1"/>
      <c r="B14" s="1"/>
      <c r="C14" s="1"/>
      <c r="D14" s="1"/>
      <c r="E14" s="1"/>
      <c r="F14" s="1"/>
      <c r="G14" s="1"/>
      <c r="H14" s="1"/>
      <c r="I14" s="1"/>
      <c r="J14" s="1"/>
      <c r="K14" s="1"/>
      <c r="L14" s="1"/>
      <c r="M14" s="1"/>
      <c r="N14" s="1"/>
      <c r="O14" s="1"/>
      <c r="P14" s="1"/>
      <c r="Q14" s="1"/>
      <c r="R14" s="1"/>
      <c r="S14" s="1"/>
      <c r="T14" s="1"/>
    </row>
    <row r="15">
      <c r="A15" s="1"/>
      <c r="B15" s="1"/>
      <c r="C15" s="1"/>
      <c r="D15" s="1"/>
      <c r="E15" s="1"/>
      <c r="F15" s="1"/>
      <c r="G15" s="1"/>
      <c r="H15" s="1"/>
      <c r="I15" s="1"/>
      <c r="J15" s="1"/>
      <c r="K15" s="1"/>
      <c r="L15" s="1"/>
      <c r="M15" s="1"/>
      <c r="N15" s="1"/>
      <c r="O15" s="1"/>
      <c r="P15" s="1"/>
      <c r="Q15" s="1"/>
      <c r="R15" s="1"/>
      <c r="S15" s="1"/>
      <c r="T15" s="1"/>
    </row>
    <row r="16">
      <c r="A16" s="1"/>
      <c r="B16" s="1"/>
      <c r="C16" s="1"/>
      <c r="D16" s="1"/>
      <c r="E16" s="1"/>
      <c r="F16" s="1"/>
      <c r="G16" s="1"/>
      <c r="H16" s="1"/>
      <c r="I16" s="1"/>
      <c r="J16" s="1"/>
      <c r="K16" s="1"/>
      <c r="L16" s="1"/>
      <c r="M16" s="1"/>
      <c r="N16" s="1"/>
      <c r="O16" s="1"/>
      <c r="P16" s="1"/>
      <c r="Q16" s="1"/>
      <c r="R16" s="1"/>
      <c r="S16" s="1"/>
      <c r="T16" s="1"/>
    </row>
    <row r="17">
      <c r="A17" s="1"/>
      <c r="B17" s="1"/>
      <c r="C17" s="1"/>
      <c r="D17" s="1"/>
      <c r="E17" s="1"/>
      <c r="F17" s="1"/>
      <c r="G17" s="1"/>
      <c r="H17" s="1"/>
      <c r="I17" s="1"/>
      <c r="J17" s="1"/>
      <c r="K17" s="1"/>
      <c r="L17" s="1"/>
      <c r="M17" s="1"/>
      <c r="N17" s="1"/>
      <c r="O17" s="1"/>
      <c r="P17" s="1"/>
      <c r="Q17" s="1"/>
      <c r="R17" s="1"/>
      <c r="S17" s="1"/>
      <c r="T17" s="1"/>
    </row>
    <row r="18">
      <c r="A18" s="1"/>
      <c r="B18" s="1"/>
      <c r="C18" s="1"/>
      <c r="D18" s="1"/>
      <c r="E18" s="1"/>
      <c r="F18" s="1"/>
      <c r="G18" s="1"/>
      <c r="H18" s="1"/>
      <c r="I18" s="1"/>
      <c r="J18" s="1"/>
      <c r="K18" s="1"/>
      <c r="L18" s="1"/>
      <c r="M18" s="1"/>
      <c r="N18" s="1"/>
      <c r="O18" s="1"/>
      <c r="P18" s="1"/>
      <c r="Q18" s="1"/>
      <c r="R18" s="1"/>
      <c r="S18" s="1"/>
      <c r="T18" s="1"/>
    </row>
    <row r="19">
      <c r="A19" s="1"/>
      <c r="B19" s="1"/>
      <c r="C19" s="1"/>
      <c r="D19" s="1"/>
      <c r="E19" s="1"/>
      <c r="F19" s="1"/>
      <c r="G19" s="1"/>
      <c r="H19" s="1"/>
      <c r="I19" s="1"/>
      <c r="J19" s="1"/>
      <c r="K19" s="1"/>
      <c r="L19" s="1"/>
      <c r="M19" s="1"/>
      <c r="N19" s="1"/>
      <c r="O19" s="1"/>
      <c r="P19" s="1"/>
      <c r="Q19" s="1"/>
      <c r="R19" s="1"/>
      <c r="S19" s="1"/>
      <c r="T19" s="1"/>
    </row>
    <row r="20">
      <c r="A20" s="1"/>
      <c r="B20" s="1"/>
      <c r="C20" s="1"/>
      <c r="D20" s="1"/>
      <c r="E20" s="1"/>
      <c r="F20" s="1"/>
      <c r="G20" s="1"/>
      <c r="H20" s="1"/>
      <c r="I20" s="1"/>
      <c r="J20" s="1"/>
      <c r="K20" s="1"/>
      <c r="L20" s="1"/>
      <c r="M20" s="1"/>
      <c r="N20" s="1"/>
      <c r="O20" s="1"/>
      <c r="P20" s="1"/>
      <c r="Q20" s="1"/>
      <c r="R20" s="1"/>
      <c r="S20" s="1"/>
      <c r="T20" s="1"/>
    </row>
    <row r="21">
      <c r="A21" s="1"/>
      <c r="B21" s="1"/>
      <c r="C21" s="1"/>
      <c r="D21" s="1"/>
      <c r="E21" s="1"/>
      <c r="F21" s="1"/>
      <c r="G21" s="1"/>
      <c r="H21" s="1"/>
      <c r="I21" s="1"/>
      <c r="J21" s="1"/>
      <c r="K21" s="1"/>
      <c r="L21" s="1"/>
      <c r="M21" s="1"/>
      <c r="N21" s="1"/>
      <c r="O21" s="1"/>
      <c r="P21" s="1"/>
      <c r="Q21" s="1"/>
      <c r="R21" s="1"/>
      <c r="S21" s="1"/>
      <c r="T21" s="1"/>
    </row>
    <row r="22">
      <c r="A22" s="1"/>
      <c r="B22" s="1"/>
      <c r="C22" s="1"/>
      <c r="D22" s="1"/>
      <c r="E22" s="1"/>
      <c r="F22" s="1"/>
      <c r="G22" s="1"/>
      <c r="H22" s="1"/>
      <c r="I22" s="1"/>
      <c r="J22" s="1"/>
      <c r="K22" s="1"/>
      <c r="L22" s="1"/>
      <c r="M22" s="1"/>
      <c r="N22" s="1"/>
      <c r="O22" s="1"/>
      <c r="P22" s="1"/>
      <c r="Q22" s="1"/>
      <c r="R22" s="1"/>
      <c r="S22" s="1"/>
      <c r="T22" s="1"/>
    </row>
    <row r="23">
      <c r="A23" s="1"/>
      <c r="B23" s="1"/>
      <c r="C23" s="1"/>
      <c r="D23" s="1"/>
      <c r="E23" s="1"/>
      <c r="F23" s="1"/>
      <c r="G23" s="1"/>
      <c r="H23" s="1"/>
      <c r="I23" s="1"/>
      <c r="J23" s="1"/>
      <c r="K23" s="1"/>
      <c r="L23" s="1"/>
      <c r="M23" s="1"/>
      <c r="N23" s="1"/>
      <c r="O23" s="1"/>
      <c r="P23" s="1"/>
      <c r="Q23" s="1"/>
      <c r="R23" s="1"/>
      <c r="S23" s="1"/>
      <c r="T23" s="1"/>
    </row>
    <row r="24">
      <c r="A24" s="1"/>
      <c r="B24" s="1"/>
      <c r="C24" s="1"/>
      <c r="D24" s="1"/>
      <c r="E24" s="1"/>
      <c r="F24" s="1"/>
      <c r="G24" s="1"/>
      <c r="H24" s="1"/>
      <c r="I24" s="1"/>
      <c r="J24" s="1"/>
      <c r="K24" s="1"/>
      <c r="L24" s="1"/>
      <c r="M24" s="1"/>
      <c r="N24" s="1"/>
      <c r="O24" s="1"/>
      <c r="P24" s="1"/>
      <c r="Q24" s="1"/>
      <c r="R24" s="1"/>
      <c r="S24" s="1"/>
      <c r="T24" s="1"/>
    </row>
    <row r="25">
      <c r="A25" s="1"/>
      <c r="B25" s="1"/>
      <c r="C25" s="1"/>
      <c r="D25" s="1"/>
      <c r="E25" s="1"/>
      <c r="F25" s="1"/>
      <c r="G25" s="1"/>
      <c r="H25" s="1"/>
      <c r="I25" s="1"/>
      <c r="J25" s="1"/>
      <c r="K25" s="1"/>
      <c r="L25" s="1"/>
      <c r="M25" s="1"/>
      <c r="N25" s="1"/>
      <c r="O25" s="1"/>
      <c r="P25" s="1"/>
      <c r="Q25" s="1"/>
      <c r="R25" s="1"/>
      <c r="S25" s="1"/>
      <c r="T25" s="1"/>
    </row>
    <row r="26">
      <c r="A26" s="1"/>
      <c r="B26" s="1"/>
      <c r="C26" s="1"/>
      <c r="D26" s="1"/>
      <c r="E26" s="1"/>
      <c r="F26" s="1"/>
      <c r="G26" s="1"/>
      <c r="H26" s="1"/>
      <c r="I26" s="1"/>
      <c r="J26" s="1"/>
      <c r="K26" s="1"/>
      <c r="L26" s="1"/>
      <c r="M26" s="1"/>
      <c r="N26" s="1"/>
      <c r="O26" s="1"/>
      <c r="P26" s="1"/>
      <c r="Q26" s="1"/>
      <c r="R26" s="1"/>
      <c r="S26" s="1"/>
      <c r="T26" s="1"/>
    </row>
    <row r="27">
      <c r="A27" s="1"/>
      <c r="B27" s="1"/>
      <c r="C27" s="1"/>
      <c r="D27" s="1"/>
      <c r="E27" s="1"/>
      <c r="F27" s="1"/>
      <c r="G27" s="1"/>
      <c r="H27" s="1"/>
      <c r="I27" s="1"/>
      <c r="J27" s="1"/>
      <c r="K27" s="1"/>
      <c r="L27" s="1"/>
      <c r="M27" s="1"/>
      <c r="N27" s="1"/>
      <c r="O27" s="1"/>
      <c r="P27" s="1"/>
      <c r="Q27" s="1"/>
      <c r="R27" s="1"/>
      <c r="S27" s="1"/>
      <c r="T27" s="1"/>
    </row>
    <row r="28">
      <c r="A28" s="1"/>
      <c r="B28" s="1"/>
      <c r="C28" s="1"/>
      <c r="D28" s="1"/>
      <c r="E28" s="1"/>
      <c r="F28" s="1"/>
      <c r="G28" s="1"/>
      <c r="H28" s="1"/>
      <c r="I28" s="1"/>
      <c r="J28" s="1"/>
      <c r="K28" s="1"/>
      <c r="L28" s="1"/>
      <c r="M28" s="1"/>
      <c r="N28" s="1"/>
      <c r="O28" s="1"/>
      <c r="P28" s="1"/>
      <c r="Q28" s="1"/>
      <c r="R28" s="1"/>
      <c r="S28" s="1"/>
      <c r="T28" s="1"/>
    </row>
    <row r="29">
      <c r="A29" s="1"/>
      <c r="B29" s="1"/>
      <c r="C29" s="1"/>
      <c r="D29" s="1"/>
      <c r="E29" s="1"/>
      <c r="F29" s="1"/>
      <c r="G29" s="1"/>
      <c r="H29" s="1"/>
      <c r="I29" s="1"/>
      <c r="J29" s="1"/>
      <c r="K29" s="1"/>
      <c r="L29" s="1"/>
      <c r="M29" s="1"/>
      <c r="N29" s="1"/>
      <c r="O29" s="1"/>
      <c r="P29" s="1"/>
      <c r="Q29" s="1"/>
      <c r="R29" s="1"/>
      <c r="S29" s="1"/>
      <c r="T29" s="1"/>
    </row>
    <row r="30">
      <c r="A30" s="1"/>
      <c r="B30" s="1"/>
      <c r="C30" s="1"/>
      <c r="D30" s="1"/>
      <c r="E30" s="1"/>
      <c r="F30" s="1"/>
      <c r="G30" s="1"/>
      <c r="H30" s="1"/>
      <c r="I30" s="1"/>
      <c r="J30" s="1"/>
      <c r="K30" s="1"/>
      <c r="L30" s="1"/>
      <c r="M30" s="1"/>
      <c r="N30" s="1"/>
      <c r="O30" s="1"/>
      <c r="P30" s="1"/>
      <c r="Q30" s="1"/>
      <c r="R30" s="1"/>
      <c r="S30" s="1"/>
      <c r="T30" s="1"/>
    </row>
    <row r="31">
      <c r="A31" s="1"/>
      <c r="B31" s="1"/>
      <c r="C31" s="1"/>
      <c r="D31" s="1"/>
      <c r="E31" s="1"/>
      <c r="F31" s="1"/>
      <c r="G31" s="1"/>
      <c r="H31" s="1"/>
      <c r="I31" s="1"/>
      <c r="J31" s="1"/>
      <c r="K31" s="1"/>
      <c r="L31" s="1"/>
      <c r="M31" s="1"/>
      <c r="N31" s="1"/>
      <c r="O31" s="1"/>
      <c r="P31" s="1"/>
      <c r="Q31" s="1"/>
      <c r="R31" s="1"/>
      <c r="S31" s="1"/>
      <c r="T31" s="1"/>
    </row>
    <row r="32">
      <c r="A32" s="1"/>
      <c r="B32" s="1"/>
      <c r="C32" s="1"/>
      <c r="D32" s="1"/>
      <c r="E32" s="1"/>
      <c r="F32" s="1"/>
      <c r="G32" s="1"/>
      <c r="H32" s="1"/>
      <c r="I32" s="1"/>
      <c r="J32" s="1"/>
      <c r="K32" s="1"/>
      <c r="L32" s="1"/>
      <c r="M32" s="1"/>
      <c r="N32" s="1"/>
      <c r="O32" s="1"/>
      <c r="P32" s="1"/>
      <c r="Q32" s="1"/>
      <c r="R32" s="1"/>
      <c r="S32" s="1"/>
      <c r="T32" s="1"/>
    </row>
    <row r="33">
      <c r="A33" s="1"/>
      <c r="B33" s="1"/>
      <c r="C33" s="1"/>
      <c r="D33" s="1"/>
      <c r="E33" s="1"/>
      <c r="F33" s="1"/>
      <c r="G33" s="1"/>
      <c r="H33" s="1"/>
      <c r="I33" s="1"/>
      <c r="J33" s="1"/>
      <c r="K33" s="1"/>
      <c r="L33" s="1"/>
      <c r="M33" s="1"/>
      <c r="N33" s="1"/>
      <c r="O33" s="1"/>
      <c r="P33" s="1"/>
      <c r="Q33" s="1"/>
      <c r="R33" s="1"/>
      <c r="S33" s="1"/>
      <c r="T33" s="1"/>
    </row>
    <row r="34">
      <c r="A34" s="1"/>
      <c r="B34" s="1"/>
      <c r="C34" s="1"/>
      <c r="D34" s="1"/>
      <c r="E34" s="1"/>
      <c r="F34" s="1"/>
      <c r="G34" s="1"/>
      <c r="H34" s="1"/>
      <c r="I34" s="1"/>
      <c r="J34" s="1"/>
      <c r="K34" s="1"/>
      <c r="L34" s="1"/>
      <c r="M34" s="1"/>
      <c r="N34" s="1"/>
      <c r="O34" s="1"/>
      <c r="P34" s="1"/>
      <c r="Q34" s="1"/>
      <c r="R34" s="1"/>
      <c r="S34" s="1"/>
      <c r="T34" s="1"/>
    </row>
    <row r="35">
      <c r="A35" s="1"/>
      <c r="B35" s="1"/>
      <c r="C35" s="1"/>
      <c r="D35" s="1"/>
      <c r="E35" s="1"/>
      <c r="F35" s="1"/>
      <c r="G35" s="1"/>
      <c r="H35" s="1"/>
      <c r="I35" s="1"/>
      <c r="J35" s="1"/>
      <c r="K35" s="1"/>
      <c r="L35" s="1"/>
      <c r="M35" s="1"/>
      <c r="N35" s="1"/>
      <c r="O35" s="1"/>
      <c r="P35" s="1"/>
      <c r="Q35" s="1"/>
      <c r="R35" s="1"/>
      <c r="S35" s="1"/>
      <c r="T35" s="1"/>
    </row>
    <row r="36">
      <c r="A36" s="1"/>
      <c r="B36" s="1"/>
      <c r="C36" s="1"/>
      <c r="D36" s="1"/>
      <c r="E36" s="1"/>
      <c r="F36" s="1"/>
      <c r="G36" s="1"/>
      <c r="H36" s="1"/>
      <c r="I36" s="1"/>
      <c r="J36" s="1"/>
      <c r="K36" s="1"/>
      <c r="L36" s="1"/>
      <c r="M36" s="1"/>
      <c r="N36" s="1"/>
      <c r="O36" s="1"/>
      <c r="P36" s="1"/>
      <c r="Q36" s="1"/>
      <c r="R36" s="1"/>
      <c r="S36" s="1"/>
      <c r="T36" s="1"/>
    </row>
  </sheetData>
  <mergeCells count="10">
    <mergeCell ref="B7:D7"/>
    <mergeCell ref="B8:D8"/>
    <mergeCell ref="B9:D9"/>
    <mergeCell ref="B2:D2"/>
    <mergeCell ref="F2:H2"/>
    <mergeCell ref="J2:L2"/>
    <mergeCell ref="B3:D3"/>
    <mergeCell ref="B4:D4"/>
    <mergeCell ref="B5:D5"/>
    <mergeCell ref="B6:D6"/>
  </mergeCells>
  <drawing r:id="rId1"/>
</worksheet>
</file>