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kumarraghav/Desktop/Main/College/Sem 3/FSA/Project/"/>
    </mc:Choice>
  </mc:AlternateContent>
  <xr:revisionPtr revIDLastSave="0" documentId="13_ncr:1_{DCC31F98-CB18-4A41-A16C-E313828E070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rofit &amp; Loss" sheetId="2" r:id="rId1"/>
    <sheet name="Schedules" sheetId="9" r:id="rId2"/>
    <sheet name="FCFF" sheetId="10" r:id="rId3"/>
    <sheet name="FCFE" sheetId="11" r:id="rId4"/>
    <sheet name="CCM" sheetId="12" r:id="rId5"/>
  </sheets>
  <externalReferences>
    <externalReference r:id="rId6"/>
    <externalReference r:id="rId7"/>
  </externalReferences>
  <calcPr calcId="191029" concurrentCalc="0"/>
</workbook>
</file>

<file path=xl/calcChain.xml><?xml version="1.0" encoding="utf-8"?>
<calcChain xmlns="http://schemas.openxmlformats.org/spreadsheetml/2006/main">
  <c r="I7" i="12" l="1"/>
  <c r="M7" i="12"/>
  <c r="N7" i="12"/>
  <c r="O7" i="12"/>
  <c r="R7" i="12"/>
  <c r="E8" i="12"/>
  <c r="I8" i="12"/>
  <c r="M8" i="12"/>
  <c r="N8" i="12"/>
  <c r="O8" i="12"/>
  <c r="R8" i="12"/>
  <c r="M9" i="12"/>
  <c r="N9" i="12"/>
  <c r="O9" i="12"/>
  <c r="R9" i="12"/>
  <c r="I10" i="12"/>
  <c r="M10" i="12"/>
  <c r="N10" i="12"/>
  <c r="O10" i="12"/>
  <c r="R10" i="12"/>
  <c r="M11" i="12"/>
  <c r="N11" i="12"/>
  <c r="O11" i="12"/>
  <c r="Q11" i="12"/>
  <c r="R11" i="12"/>
  <c r="M12" i="12"/>
  <c r="N12" i="12"/>
  <c r="O12" i="12"/>
  <c r="Q12" i="12"/>
  <c r="R12" i="12"/>
  <c r="C17" i="12"/>
  <c r="D17" i="12"/>
  <c r="E18" i="12"/>
  <c r="E19" i="12"/>
  <c r="E20" i="12"/>
  <c r="E21" i="12"/>
  <c r="C26" i="12"/>
  <c r="D26" i="12"/>
  <c r="E27" i="12"/>
  <c r="E28" i="12"/>
  <c r="E29" i="12"/>
  <c r="E30" i="12"/>
  <c r="C35" i="12"/>
  <c r="D35" i="12"/>
  <c r="E35" i="12"/>
  <c r="D39" i="12"/>
  <c r="E40" i="12"/>
  <c r="E43" i="12"/>
  <c r="C48" i="12"/>
  <c r="C49" i="12"/>
  <c r="C50" i="12"/>
  <c r="C51" i="12"/>
  <c r="C52" i="12"/>
  <c r="C53" i="12"/>
  <c r="B28" i="9"/>
  <c r="C18" i="10"/>
  <c r="D22" i="9"/>
  <c r="D23" i="9"/>
  <c r="D24" i="9"/>
  <c r="D25" i="9"/>
  <c r="C22" i="9"/>
  <c r="C23" i="9"/>
  <c r="C24" i="9"/>
  <c r="C25" i="9"/>
  <c r="D26" i="9"/>
  <c r="E22" i="9"/>
  <c r="E23" i="9"/>
  <c r="E24" i="9"/>
  <c r="E25" i="9"/>
  <c r="E26" i="9"/>
  <c r="B22" i="9"/>
  <c r="B23" i="9"/>
  <c r="B24" i="9"/>
  <c r="B25" i="9"/>
  <c r="C26" i="9"/>
  <c r="E5" i="9"/>
  <c r="E8" i="9"/>
  <c r="E9" i="9"/>
  <c r="F5" i="9"/>
  <c r="F9" i="9"/>
  <c r="G5" i="9"/>
  <c r="G9" i="9"/>
  <c r="C13" i="9"/>
  <c r="D13" i="9"/>
  <c r="E13" i="9"/>
  <c r="B13" i="9"/>
  <c r="L5" i="2"/>
  <c r="G14" i="9"/>
  <c r="H14" i="9"/>
  <c r="I14" i="9"/>
  <c r="J14" i="9"/>
  <c r="F14" i="9"/>
  <c r="E11" i="11"/>
  <c r="F11" i="11"/>
  <c r="G11" i="11"/>
  <c r="H11" i="11"/>
  <c r="D11" i="11"/>
  <c r="M16" i="2"/>
  <c r="N16" i="2"/>
  <c r="O16" i="2"/>
  <c r="P16" i="2"/>
  <c r="L16" i="2"/>
  <c r="E8" i="11"/>
  <c r="F8" i="11"/>
  <c r="G8" i="11"/>
  <c r="H8" i="11"/>
  <c r="D8" i="11"/>
  <c r="E9" i="11"/>
  <c r="F9" i="11"/>
  <c r="G9" i="11"/>
  <c r="H9" i="11"/>
  <c r="D9" i="11"/>
  <c r="E9" i="10"/>
  <c r="F9" i="10"/>
  <c r="G9" i="10"/>
  <c r="H9" i="10"/>
  <c r="D9" i="10"/>
  <c r="C17" i="9"/>
  <c r="C18" i="9"/>
  <c r="D17" i="9"/>
  <c r="D18" i="9"/>
  <c r="E17" i="9"/>
  <c r="E18" i="9"/>
  <c r="B17" i="9"/>
  <c r="B18" i="9"/>
  <c r="B16" i="9"/>
  <c r="B15" i="9"/>
  <c r="C16" i="9"/>
  <c r="E16" i="9"/>
  <c r="F13" i="9"/>
  <c r="C8" i="9"/>
  <c r="D8" i="9"/>
  <c r="B8" i="9"/>
  <c r="C5" i="9"/>
  <c r="C9" i="9"/>
  <c r="C10" i="9"/>
  <c r="D5" i="9"/>
  <c r="D9" i="9"/>
  <c r="D10" i="9"/>
  <c r="B5" i="9"/>
  <c r="B9" i="9"/>
  <c r="B10" i="9"/>
  <c r="D16" i="9"/>
  <c r="D14" i="9"/>
  <c r="C17" i="10"/>
  <c r="E10" i="9"/>
  <c r="C15" i="9"/>
  <c r="C13" i="10"/>
  <c r="C6" i="10"/>
  <c r="G13" i="10"/>
  <c r="H13" i="10"/>
  <c r="E13" i="10"/>
  <c r="D13" i="10"/>
  <c r="F13" i="10"/>
  <c r="L20" i="2"/>
  <c r="M5" i="2"/>
  <c r="N5" i="2"/>
  <c r="O5" i="2"/>
  <c r="P5" i="2"/>
  <c r="C11" i="2"/>
  <c r="D11" i="2"/>
  <c r="E11" i="2"/>
  <c r="F11" i="2"/>
  <c r="G11" i="2"/>
  <c r="H11" i="2"/>
  <c r="I11" i="2"/>
  <c r="J11" i="2"/>
  <c r="K11" i="2"/>
  <c r="B11" i="2"/>
  <c r="B38" i="9"/>
  <c r="B36" i="9"/>
  <c r="C14" i="11"/>
  <c r="G14" i="11"/>
  <c r="F14" i="11"/>
  <c r="E14" i="11"/>
  <c r="D14" i="11"/>
  <c r="H14" i="11"/>
  <c r="L13" i="2"/>
  <c r="L10" i="2"/>
  <c r="M8" i="2"/>
  <c r="L8" i="2"/>
  <c r="L12" i="2"/>
  <c r="L9" i="2"/>
  <c r="L11" i="2"/>
  <c r="L15" i="2"/>
  <c r="L17" i="2"/>
  <c r="M20" i="2"/>
  <c r="M10" i="2"/>
  <c r="M13" i="2"/>
  <c r="M9" i="2"/>
  <c r="M12" i="2"/>
  <c r="M11" i="2"/>
  <c r="D5" i="10"/>
  <c r="D6" i="10"/>
  <c r="D7" i="10"/>
  <c r="M15" i="2"/>
  <c r="M17" i="2"/>
  <c r="N20" i="2"/>
  <c r="N13" i="2"/>
  <c r="N10" i="2"/>
  <c r="N8" i="2"/>
  <c r="N12" i="2"/>
  <c r="N9" i="2"/>
  <c r="E5" i="10"/>
  <c r="E6" i="10"/>
  <c r="E7" i="10"/>
  <c r="N11" i="2"/>
  <c r="N15" i="2"/>
  <c r="N17" i="2"/>
  <c r="O20" i="2"/>
  <c r="O13" i="2"/>
  <c r="O10" i="2"/>
  <c r="O9" i="2"/>
  <c r="O8" i="2"/>
  <c r="O12" i="2"/>
  <c r="F5" i="10"/>
  <c r="O11" i="2"/>
  <c r="O15" i="2"/>
  <c r="O17" i="2"/>
  <c r="P20" i="2"/>
  <c r="P10" i="2"/>
  <c r="P13" i="2"/>
  <c r="P9" i="2"/>
  <c r="P12" i="2"/>
  <c r="P8" i="2"/>
  <c r="G5" i="10"/>
  <c r="F6" i="10"/>
  <c r="F7" i="10"/>
  <c r="P11" i="2"/>
  <c r="P15" i="2"/>
  <c r="P17" i="2"/>
  <c r="H5" i="10"/>
  <c r="G6" i="10"/>
  <c r="G7" i="10"/>
  <c r="H6" i="10"/>
  <c r="H7" i="10"/>
  <c r="O19" i="2"/>
  <c r="N19" i="2"/>
  <c r="N21" i="2"/>
  <c r="F6" i="11"/>
  <c r="L19" i="2"/>
  <c r="P19" i="2"/>
  <c r="H5" i="11"/>
  <c r="M19" i="2"/>
  <c r="M21" i="2"/>
  <c r="M22" i="2"/>
  <c r="E6" i="11"/>
  <c r="N22" i="2"/>
  <c r="F5" i="11"/>
  <c r="F7" i="11"/>
  <c r="P21" i="2"/>
  <c r="E5" i="11"/>
  <c r="E7" i="11"/>
  <c r="G5" i="11"/>
  <c r="O21" i="2"/>
  <c r="G6" i="11"/>
  <c r="L21" i="2"/>
  <c r="D6" i="11"/>
  <c r="D5" i="11"/>
  <c r="P22" i="2"/>
  <c r="L22" i="2"/>
  <c r="G7" i="11"/>
  <c r="D7" i="11"/>
  <c r="O22" i="2"/>
  <c r="H6" i="11"/>
  <c r="H7" i="11"/>
  <c r="F16" i="9"/>
  <c r="F17" i="9"/>
  <c r="G13" i="9"/>
  <c r="G16" i="9"/>
  <c r="H13" i="9"/>
  <c r="H16" i="9"/>
  <c r="G17" i="9"/>
  <c r="I13" i="9"/>
  <c r="I16" i="9"/>
  <c r="H17" i="9"/>
  <c r="D8" i="10"/>
  <c r="J13" i="9"/>
  <c r="J16" i="9"/>
  <c r="I17" i="9"/>
  <c r="E8" i="10"/>
  <c r="J17" i="9"/>
  <c r="H5" i="9"/>
  <c r="H9" i="9"/>
  <c r="F8" i="10"/>
  <c r="I5" i="9"/>
  <c r="I9" i="9"/>
  <c r="G8" i="10"/>
  <c r="J5" i="9"/>
  <c r="J9" i="9"/>
  <c r="H8" i="10"/>
  <c r="G22" i="9"/>
  <c r="H22" i="9"/>
  <c r="I22" i="9"/>
  <c r="J22" i="9"/>
  <c r="F22" i="9"/>
  <c r="F24" i="9"/>
  <c r="G24" i="9"/>
  <c r="F23" i="9"/>
  <c r="F25" i="9"/>
  <c r="F26" i="9"/>
  <c r="H24" i="9"/>
  <c r="D10" i="10"/>
  <c r="D11" i="10"/>
  <c r="D14" i="10"/>
  <c r="D10" i="11"/>
  <c r="D12" i="11"/>
  <c r="D15" i="11"/>
  <c r="G23" i="9"/>
  <c r="G25" i="9"/>
  <c r="G26" i="9"/>
  <c r="I24" i="9"/>
  <c r="E10" i="10"/>
  <c r="E11" i="10"/>
  <c r="E14" i="10"/>
  <c r="E10" i="11"/>
  <c r="E12" i="11"/>
  <c r="E15" i="11"/>
  <c r="H23" i="9"/>
  <c r="H25" i="9"/>
  <c r="H26" i="9"/>
  <c r="J24" i="9"/>
  <c r="F10" i="10"/>
  <c r="F11" i="10"/>
  <c r="F14" i="10"/>
  <c r="F10" i="11"/>
  <c r="F12" i="11"/>
  <c r="F15" i="11"/>
  <c r="I23" i="9"/>
  <c r="I25" i="9"/>
  <c r="I26" i="9"/>
  <c r="G10" i="10"/>
  <c r="G11" i="10"/>
  <c r="G14" i="10"/>
  <c r="G10" i="11"/>
  <c r="G12" i="11"/>
  <c r="G15" i="11"/>
  <c r="J23" i="9"/>
  <c r="J25" i="9"/>
  <c r="J26" i="9"/>
  <c r="H10" i="10"/>
  <c r="H11" i="10"/>
  <c r="H12" i="10"/>
  <c r="H14" i="10"/>
  <c r="C16" i="10"/>
  <c r="C20" i="10"/>
  <c r="H10" i="11"/>
  <c r="H12" i="11"/>
  <c r="H13" i="11"/>
  <c r="H15" i="11"/>
  <c r="C17" i="11"/>
</calcChain>
</file>

<file path=xl/sharedStrings.xml><?xml version="1.0" encoding="utf-8"?>
<sst xmlns="http://schemas.openxmlformats.org/spreadsheetml/2006/main" count="233" uniqueCount="154">
  <si>
    <t>Industry : Cement - Major - North India</t>
  </si>
  <si>
    <t> Year</t>
  </si>
  <si>
    <t>Mar 18 (12) </t>
  </si>
  <si>
    <t>Mar 17 (12) </t>
  </si>
  <si>
    <t>Mar 16 (12) </t>
  </si>
  <si>
    <t>Mar 15 (12) </t>
  </si>
  <si>
    <t>Mar 14 (12) </t>
  </si>
  <si>
    <t>Mar 13 (12) </t>
  </si>
  <si>
    <t>Mar 12 (12) </t>
  </si>
  <si>
    <t>Mar 11 (12) </t>
  </si>
  <si>
    <t>Mar 10 (12) </t>
  </si>
  <si>
    <t>Mar 09 (12) </t>
  </si>
  <si>
    <t>   Net Sales</t>
  </si>
  <si>
    <t>Total Tax Expense</t>
  </si>
  <si>
    <t>Tax Rate</t>
  </si>
  <si>
    <t>Company : UltraTech Cement Ltd (All figures in Rs. Crore)</t>
  </si>
  <si>
    <t>Mar 19 E</t>
  </si>
  <si>
    <t>Mar 20 E</t>
  </si>
  <si>
    <t>Mar 21 E</t>
  </si>
  <si>
    <t>Mar 22 E</t>
  </si>
  <si>
    <t>Mar 23 E</t>
  </si>
  <si>
    <t>Asset Schedule:</t>
  </si>
  <si>
    <t>Particulars (INR in Crores)</t>
  </si>
  <si>
    <t>FY2015A</t>
  </si>
  <si>
    <t>FY2016A</t>
  </si>
  <si>
    <t>FY2017A</t>
  </si>
  <si>
    <t>FY2019P</t>
  </si>
  <si>
    <t>FY2020P</t>
  </si>
  <si>
    <t>FY2021P</t>
  </si>
  <si>
    <t>FY2022P</t>
  </si>
  <si>
    <t>Opening Net Block</t>
  </si>
  <si>
    <t>Add: Additions</t>
  </si>
  <si>
    <t>Less: Deletions</t>
  </si>
  <si>
    <t>Closing Net Block</t>
  </si>
  <si>
    <t>Debt Schedule:</t>
  </si>
  <si>
    <t>Opening Debt</t>
  </si>
  <si>
    <t>Add: Debt Raised</t>
  </si>
  <si>
    <t>Less: Debt Repayed</t>
  </si>
  <si>
    <t>Closing Debt</t>
  </si>
  <si>
    <t>Working Capital Schedule:</t>
  </si>
  <si>
    <t>Accounts Receivables</t>
  </si>
  <si>
    <t>Inventory</t>
  </si>
  <si>
    <t>Accounts Payables</t>
  </si>
  <si>
    <t>Working Capital</t>
  </si>
  <si>
    <t>Changes in Working Capital</t>
  </si>
  <si>
    <t>Cash &amp; Cash Equivalents (INR in Crores)</t>
  </si>
  <si>
    <t>Surplus Investments (INR in Crores)</t>
  </si>
  <si>
    <t>Valuation Related Assumptions:</t>
  </si>
  <si>
    <t>Risk Free Rate</t>
  </si>
  <si>
    <t>Market Return</t>
  </si>
  <si>
    <t>Beta</t>
  </si>
  <si>
    <t>Cost of Equity (Ke)</t>
  </si>
  <si>
    <t>Cost of Debt (Kd) - Pre Tax</t>
  </si>
  <si>
    <t>Cost of Debt (Kd) - Post Tax</t>
  </si>
  <si>
    <t>Debt/ Equity Ratio</t>
  </si>
  <si>
    <t>WACC</t>
  </si>
  <si>
    <t>Terminal Growth Rate</t>
  </si>
  <si>
    <t>FY2023P</t>
  </si>
  <si>
    <t>FY2018A</t>
  </si>
  <si>
    <t>COGS:</t>
  </si>
  <si>
    <t>GROSS PROFIT</t>
  </si>
  <si>
    <t>EBITDA</t>
  </si>
  <si>
    <t>EBIT</t>
  </si>
  <si>
    <t>PBT</t>
  </si>
  <si>
    <t>PAT</t>
  </si>
  <si>
    <t>   INCOME :</t>
  </si>
  <si>
    <t>-</t>
  </si>
  <si>
    <t>Free Cash Flows to Firm</t>
  </si>
  <si>
    <t>Less: Tax</t>
  </si>
  <si>
    <t>Operating Profit After Tax</t>
  </si>
  <si>
    <t>Add: Depreciation</t>
  </si>
  <si>
    <t>Less: Capital Expenditure</t>
  </si>
  <si>
    <t>Add/Less: Changes in Working Capital</t>
  </si>
  <si>
    <t>Net Cash Flows</t>
  </si>
  <si>
    <t>Terminal value</t>
  </si>
  <si>
    <t>WACC / Discount Factor</t>
  </si>
  <si>
    <t>Discounted Cash Flows</t>
  </si>
  <si>
    <t>Enterprise Value (INR in Crores)</t>
  </si>
  <si>
    <t>Less: Debt (INR in Crores)</t>
  </si>
  <si>
    <t>Add: Cash and Cash Equivalents (INR in Crores)</t>
  </si>
  <si>
    <t>Add: Surplus Assets (INR in Crores)</t>
  </si>
  <si>
    <t>Equity Value (INR in Crores)</t>
  </si>
  <si>
    <t>Cost of Equity / Discount Factor</t>
  </si>
  <si>
    <t>Terminal Value</t>
  </si>
  <si>
    <t>Add/Less: Changes in Debt</t>
  </si>
  <si>
    <t>Profit After Tax</t>
  </si>
  <si>
    <t>Less: Taxes</t>
  </si>
  <si>
    <t>Profit Before Tax</t>
  </si>
  <si>
    <t>Free Cash Flows to Equity</t>
  </si>
  <si>
    <t>Interest Cost @ 7%</t>
  </si>
  <si>
    <t>Depreciation @ 4%</t>
  </si>
  <si>
    <t>Operating Cost for 2014</t>
  </si>
  <si>
    <t>Average</t>
  </si>
  <si>
    <t>EV/MTPA</t>
  </si>
  <si>
    <t>P/E Multiple</t>
  </si>
  <si>
    <t>EV/EBITDA Multiple</t>
  </si>
  <si>
    <t>EV/Sales Multiple</t>
  </si>
  <si>
    <t>Equity Value</t>
  </si>
  <si>
    <t>Particulars</t>
  </si>
  <si>
    <t>All Figures in INR Crores</t>
  </si>
  <si>
    <t>Summary</t>
  </si>
  <si>
    <t>V.</t>
  </si>
  <si>
    <t>Add: Cash &amp; Cash Equivalents</t>
  </si>
  <si>
    <t>Less: Debt</t>
  </si>
  <si>
    <t>Enterprise Value</t>
  </si>
  <si>
    <t>FY2018</t>
  </si>
  <si>
    <t>Value</t>
  </si>
  <si>
    <t>Multiple</t>
  </si>
  <si>
    <t>MTPA</t>
  </si>
  <si>
    <t>Relative Valuation on the basis of EV/MTPA</t>
  </si>
  <si>
    <t>IV.</t>
  </si>
  <si>
    <t>Relative Valuation on the basis of P/E Multiple</t>
  </si>
  <si>
    <t>III.</t>
  </si>
  <si>
    <t>Relative Valuation on the basis of EBITDA Multiple</t>
  </si>
  <si>
    <t>II.</t>
  </si>
  <si>
    <t>Sales</t>
  </si>
  <si>
    <t>Relative Valuation on the basis of Sales Multiple</t>
  </si>
  <si>
    <t>I.</t>
  </si>
  <si>
    <t>JK Cements</t>
  </si>
  <si>
    <t>Shree Cement</t>
  </si>
  <si>
    <t>India Cement</t>
  </si>
  <si>
    <t>Ambuja Cement</t>
  </si>
  <si>
    <t>Current Maturities
(INR Crores)</t>
  </si>
  <si>
    <t>Short term borrowings
(INR Crores)</t>
  </si>
  <si>
    <t>Long term borrowings
(INR Crores)</t>
  </si>
  <si>
    <t>P/E</t>
  </si>
  <si>
    <t>EV/EBITDA</t>
  </si>
  <si>
    <t>EV/Sales</t>
  </si>
  <si>
    <t>PAT
(INR Crores)</t>
  </si>
  <si>
    <t>EBITDA
(INR Crores)</t>
  </si>
  <si>
    <t>Revenue
(INR Crores)</t>
  </si>
  <si>
    <t>Enterprise Value
(INR Crores)</t>
  </si>
  <si>
    <t>Cash &amp; Cash Equivalents
(INR Crores)</t>
  </si>
  <si>
    <t>Minority Interest
(INR Crores)</t>
  </si>
  <si>
    <t>Debt
(INR Crores)</t>
  </si>
  <si>
    <t>Market Capital
(INR Crores)</t>
  </si>
  <si>
    <t xml:space="preserve">O/s Shares </t>
  </si>
  <si>
    <t>6 months average price</t>
  </si>
  <si>
    <t>Comparables</t>
  </si>
  <si>
    <t>Sr No</t>
  </si>
  <si>
    <t>EQUITY VALUE</t>
  </si>
  <si>
    <t>Debt</t>
  </si>
  <si>
    <t>Market Approach - Comparable Companies Methodology</t>
  </si>
  <si>
    <t>Valuation of Ultratech Cement Ltd.</t>
  </si>
  <si>
    <t xml:space="preserve"> Stock Adjustments </t>
  </si>
  <si>
    <t xml:space="preserve"> Raw Materials </t>
  </si>
  <si>
    <t> Power &amp; Fuel Cost</t>
  </si>
  <si>
    <t xml:space="preserve"> Other Manufacturing Expenses </t>
  </si>
  <si>
    <t xml:space="preserve"> Employee Cost </t>
  </si>
  <si>
    <t xml:space="preserve"> Selling and Administration Expenses </t>
  </si>
  <si>
    <t xml:space="preserve"> Miscellaneous Expenses </t>
  </si>
  <si>
    <t> Depreciation</t>
  </si>
  <si>
    <t xml:space="preserve"> Interest </t>
  </si>
  <si>
    <t xml:space="preserve"> Other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</si>
</sst>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0.000%"/>
    <numFmt numFmtId="167" formatCode="0.00\x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rgb="FF000000"/>
      <name val="Verdana"/>
      <family val="2"/>
    </font>
    <font>
      <u/>
      <sz val="10"/>
      <color theme="1"/>
      <name val="Calibri"/>
      <family val="2"/>
      <scheme val="minor"/>
    </font>
    <font>
      <sz val="8"/>
      <color theme="1"/>
      <name val="Verdana"/>
      <family val="2"/>
    </font>
    <font>
      <b/>
      <u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2">
    <xf numFmtId="0" fontId="0" fillId="0" borderId="0" xfId="0"/>
    <xf numFmtId="0" fontId="22" fillId="34" borderId="12" xfId="0" applyFont="1" applyFill="1" applyBorder="1" applyAlignment="1">
      <alignment horizontal="center"/>
    </xf>
    <xf numFmtId="0" fontId="22" fillId="34" borderId="13" xfId="0" applyFont="1" applyFill="1" applyBorder="1" applyAlignment="1">
      <alignment horizontal="center"/>
    </xf>
    <xf numFmtId="165" fontId="21" fillId="35" borderId="0" xfId="44" applyNumberFormat="1" applyFont="1" applyFill="1" applyBorder="1"/>
    <xf numFmtId="165" fontId="21" fillId="35" borderId="0" xfId="0" applyNumberFormat="1" applyFont="1" applyFill="1" applyBorder="1"/>
    <xf numFmtId="165" fontId="21" fillId="38" borderId="0" xfId="44" applyNumberFormat="1" applyFont="1" applyFill="1" applyBorder="1"/>
    <xf numFmtId="165" fontId="21" fillId="38" borderId="0" xfId="44" applyNumberFormat="1" applyFont="1" applyFill="1" applyBorder="1" applyAlignment="1"/>
    <xf numFmtId="4" fontId="23" fillId="35" borderId="0" xfId="0" applyNumberFormat="1" applyFont="1" applyFill="1" applyBorder="1" applyAlignment="1">
      <alignment horizontal="right" vertical="center" wrapText="1"/>
    </xf>
    <xf numFmtId="0" fontId="0" fillId="35" borderId="0" xfId="0" applyFill="1" applyBorder="1"/>
    <xf numFmtId="0" fontId="22" fillId="34" borderId="12" xfId="0" applyFont="1" applyFill="1" applyBorder="1"/>
    <xf numFmtId="10" fontId="0" fillId="0" borderId="0" xfId="1" applyNumberFormat="1" applyFont="1" applyBorder="1"/>
    <xf numFmtId="0" fontId="0" fillId="0" borderId="0" xfId="0" applyBorder="1"/>
    <xf numFmtId="0" fontId="25" fillId="38" borderId="0" xfId="0" applyFont="1" applyFill="1" applyBorder="1"/>
    <xf numFmtId="164" fontId="0" fillId="38" borderId="0" xfId="0" applyNumberFormat="1" applyFill="1" applyBorder="1"/>
    <xf numFmtId="0" fontId="22" fillId="34" borderId="0" xfId="0" applyFont="1" applyFill="1" applyBorder="1" applyAlignment="1">
      <alignment horizontal="center" wrapText="1"/>
    </xf>
    <xf numFmtId="0" fontId="0" fillId="36" borderId="0" xfId="0" applyFill="1" applyBorder="1"/>
    <xf numFmtId="9" fontId="16" fillId="36" borderId="0" xfId="1" applyFont="1" applyFill="1" applyBorder="1"/>
    <xf numFmtId="10" fontId="0" fillId="37" borderId="0" xfId="1" applyNumberFormat="1" applyFont="1" applyFill="1" applyBorder="1"/>
    <xf numFmtId="2" fontId="0" fillId="37" borderId="0" xfId="0" applyNumberFormat="1" applyFill="1" applyBorder="1"/>
    <xf numFmtId="10" fontId="16" fillId="36" borderId="0" xfId="0" applyNumberFormat="1" applyFont="1" applyFill="1" applyBorder="1"/>
    <xf numFmtId="2" fontId="16" fillId="36" borderId="0" xfId="1" applyNumberFormat="1" applyFont="1" applyFill="1" applyBorder="1"/>
    <xf numFmtId="2" fontId="0" fillId="37" borderId="0" xfId="0" applyNumberFormat="1" applyFill="1" applyBorder="1" applyAlignment="1">
      <alignment horizontal="center"/>
    </xf>
    <xf numFmtId="2" fontId="0" fillId="0" borderId="0" xfId="0" applyNumberFormat="1" applyBorder="1"/>
    <xf numFmtId="2" fontId="0" fillId="37" borderId="0" xfId="0" applyNumberFormat="1" applyFont="1" applyFill="1" applyBorder="1"/>
    <xf numFmtId="164" fontId="21" fillId="37" borderId="0" xfId="0" applyNumberFormat="1" applyFont="1" applyFill="1" applyBorder="1"/>
    <xf numFmtId="0" fontId="16" fillId="0" borderId="0" xfId="0" applyFont="1" applyBorder="1"/>
    <xf numFmtId="9" fontId="16" fillId="0" borderId="0" xfId="1" applyNumberFormat="1" applyFont="1" applyBorder="1"/>
    <xf numFmtId="0" fontId="22" fillId="34" borderId="0" xfId="0" applyFont="1" applyFill="1" applyBorder="1"/>
    <xf numFmtId="0" fontId="22" fillId="34" borderId="0" xfId="0" applyFont="1" applyFill="1" applyBorder="1" applyAlignment="1">
      <alignment horizontal="center"/>
    </xf>
    <xf numFmtId="164" fontId="21" fillId="35" borderId="0" xfId="44" applyNumberFormat="1" applyFont="1" applyFill="1" applyBorder="1"/>
    <xf numFmtId="0" fontId="23" fillId="35" borderId="0" xfId="0" applyFont="1" applyFill="1" applyBorder="1" applyAlignment="1">
      <alignment horizontal="right" vertical="center" wrapText="1"/>
    </xf>
    <xf numFmtId="164" fontId="21" fillId="38" borderId="0" xfId="0" applyNumberFormat="1" applyFont="1" applyFill="1" applyBorder="1"/>
    <xf numFmtId="164" fontId="21" fillId="35" borderId="0" xfId="44" applyFont="1" applyFill="1" applyBorder="1"/>
    <xf numFmtId="0" fontId="21" fillId="39" borderId="0" xfId="0" applyFont="1" applyFill="1" applyBorder="1"/>
    <xf numFmtId="0" fontId="0" fillId="39" borderId="0" xfId="0" applyFill="1" applyBorder="1"/>
    <xf numFmtId="165" fontId="0" fillId="39" borderId="0" xfId="0" applyNumberFormat="1" applyFill="1" applyBorder="1"/>
    <xf numFmtId="164" fontId="0" fillId="39" borderId="0" xfId="0" applyNumberFormat="1" applyFill="1" applyBorder="1"/>
    <xf numFmtId="10" fontId="0" fillId="39" borderId="0" xfId="1" applyNumberFormat="1" applyFont="1" applyFill="1" applyBorder="1"/>
    <xf numFmtId="9" fontId="21" fillId="39" borderId="0" xfId="1" applyFont="1" applyFill="1" applyBorder="1"/>
    <xf numFmtId="165" fontId="21" fillId="39" borderId="0" xfId="0" applyNumberFormat="1" applyFont="1" applyFill="1" applyBorder="1"/>
    <xf numFmtId="0" fontId="24" fillId="41" borderId="0" xfId="0" applyFont="1" applyFill="1" applyBorder="1"/>
    <xf numFmtId="0" fontId="0" fillId="41" borderId="0" xfId="0" applyFill="1" applyBorder="1"/>
    <xf numFmtId="0" fontId="21" fillId="41" borderId="0" xfId="0" applyFont="1" applyFill="1" applyBorder="1"/>
    <xf numFmtId="166" fontId="0" fillId="41" borderId="0" xfId="1" applyNumberFormat="1" applyFont="1" applyFill="1" applyBorder="1"/>
    <xf numFmtId="2" fontId="0" fillId="41" borderId="0" xfId="1" applyNumberFormat="1" applyFont="1" applyFill="1" applyBorder="1"/>
    <xf numFmtId="2" fontId="0" fillId="41" borderId="0" xfId="0" applyNumberFormat="1" applyFill="1" applyBorder="1"/>
    <xf numFmtId="165" fontId="21" fillId="41" borderId="0" xfId="44" applyNumberFormat="1" applyFont="1" applyFill="1" applyBorder="1"/>
    <xf numFmtId="164" fontId="0" fillId="41" borderId="0" xfId="0" applyNumberFormat="1" applyFill="1" applyBorder="1"/>
    <xf numFmtId="164" fontId="21" fillId="41" borderId="0" xfId="44" applyFont="1" applyFill="1" applyBorder="1"/>
    <xf numFmtId="0" fontId="0" fillId="41" borderId="0" xfId="0" applyFill="1" applyBorder="1" applyAlignment="1"/>
    <xf numFmtId="10" fontId="0" fillId="41" borderId="0" xfId="0" applyNumberFormat="1" applyFill="1" applyBorder="1"/>
    <xf numFmtId="9" fontId="0" fillId="41" borderId="0" xfId="1" applyFont="1" applyFill="1" applyBorder="1"/>
    <xf numFmtId="9" fontId="0" fillId="41" borderId="0" xfId="0" applyNumberFormat="1" applyFill="1" applyBorder="1"/>
    <xf numFmtId="0" fontId="21" fillId="41" borderId="0" xfId="0" applyFont="1" applyFill="1" applyBorder="1" applyAlignment="1">
      <alignment horizontal="left"/>
    </xf>
    <xf numFmtId="165" fontId="21" fillId="41" borderId="0" xfId="45" applyNumberFormat="1" applyFont="1" applyFill="1" applyBorder="1" applyAlignment="1">
      <alignment horizontal="center"/>
    </xf>
    <xf numFmtId="165" fontId="21" fillId="41" borderId="0" xfId="45" applyNumberFormat="1" applyFont="1" applyFill="1" applyBorder="1"/>
    <xf numFmtId="165" fontId="21" fillId="41" borderId="0" xfId="0" applyNumberFormat="1" applyFont="1" applyFill="1" applyBorder="1"/>
    <xf numFmtId="9" fontId="21" fillId="41" borderId="0" xfId="0" applyNumberFormat="1" applyFont="1" applyFill="1" applyBorder="1"/>
    <xf numFmtId="164" fontId="21" fillId="41" borderId="0" xfId="45" applyNumberFormat="1" applyFont="1" applyFill="1" applyBorder="1"/>
    <xf numFmtId="0" fontId="18" fillId="41" borderId="0" xfId="0" applyFont="1" applyFill="1" applyBorder="1"/>
    <xf numFmtId="0" fontId="21" fillId="41" borderId="10" xfId="0" applyFont="1" applyFill="1" applyBorder="1"/>
    <xf numFmtId="164" fontId="21" fillId="41" borderId="10" xfId="44" applyFont="1" applyFill="1" applyBorder="1"/>
    <xf numFmtId="10" fontId="16" fillId="41" borderId="0" xfId="1" applyNumberFormat="1" applyFont="1" applyFill="1" applyBorder="1"/>
    <xf numFmtId="0" fontId="18" fillId="41" borderId="17" xfId="0" applyFont="1" applyFill="1" applyBorder="1"/>
    <xf numFmtId="166" fontId="0" fillId="41" borderId="17" xfId="1" applyNumberFormat="1" applyFont="1" applyFill="1" applyBorder="1"/>
    <xf numFmtId="2" fontId="0" fillId="41" borderId="17" xfId="1" applyNumberFormat="1" applyFont="1" applyFill="1" applyBorder="1"/>
    <xf numFmtId="166" fontId="16" fillId="41" borderId="17" xfId="1" applyNumberFormat="1" applyFont="1" applyFill="1" applyBorder="1"/>
    <xf numFmtId="2" fontId="16" fillId="41" borderId="17" xfId="1" applyNumberFormat="1" applyFont="1" applyFill="1" applyBorder="1"/>
    <xf numFmtId="0" fontId="26" fillId="41" borderId="0" xfId="0" applyFont="1" applyFill="1" applyBorder="1"/>
    <xf numFmtId="164" fontId="27" fillId="34" borderId="0" xfId="44" applyFont="1" applyFill="1" applyBorder="1"/>
    <xf numFmtId="0" fontId="0" fillId="41" borderId="0" xfId="0" applyFill="1"/>
    <xf numFmtId="2" fontId="21" fillId="41" borderId="0" xfId="0" applyNumberFormat="1" applyFont="1" applyFill="1" applyBorder="1"/>
    <xf numFmtId="164" fontId="21" fillId="41" borderId="15" xfId="44" applyFont="1" applyFill="1" applyBorder="1"/>
    <xf numFmtId="0" fontId="21" fillId="41" borderId="17" xfId="0" applyFont="1" applyFill="1" applyBorder="1"/>
    <xf numFmtId="164" fontId="21" fillId="41" borderId="17" xfId="44" applyFont="1" applyFill="1" applyBorder="1"/>
    <xf numFmtId="0" fontId="21" fillId="41" borderId="0" xfId="0" applyFont="1" applyFill="1"/>
    <xf numFmtId="164" fontId="21" fillId="41" borderId="0" xfId="0" applyNumberFormat="1" applyFont="1" applyFill="1"/>
    <xf numFmtId="0" fontId="21" fillId="41" borderId="12" xfId="0" applyFont="1" applyFill="1" applyBorder="1"/>
    <xf numFmtId="2" fontId="21" fillId="41" borderId="12" xfId="0" applyNumberFormat="1" applyFont="1" applyFill="1" applyBorder="1"/>
    <xf numFmtId="9" fontId="18" fillId="41" borderId="0" xfId="0" applyNumberFormat="1" applyFont="1" applyFill="1" applyBorder="1"/>
    <xf numFmtId="10" fontId="18" fillId="41" borderId="0" xfId="0" applyNumberFormat="1" applyFont="1" applyFill="1" applyBorder="1"/>
    <xf numFmtId="0" fontId="18" fillId="41" borderId="16" xfId="0" applyFont="1" applyFill="1" applyBorder="1"/>
    <xf numFmtId="0" fontId="18" fillId="41" borderId="11" xfId="0" applyFont="1" applyFill="1" applyBorder="1"/>
    <xf numFmtId="0" fontId="18" fillId="41" borderId="18" xfId="0" applyFont="1" applyFill="1" applyBorder="1"/>
    <xf numFmtId="0" fontId="21" fillId="41" borderId="19" xfId="0" applyFont="1" applyFill="1" applyBorder="1"/>
    <xf numFmtId="164" fontId="21" fillId="41" borderId="19" xfId="44" applyFont="1" applyFill="1" applyBorder="1"/>
    <xf numFmtId="164" fontId="21" fillId="41" borderId="20" xfId="44" applyFont="1" applyFill="1" applyBorder="1"/>
    <xf numFmtId="164" fontId="27" fillId="34" borderId="13" xfId="44" applyFont="1" applyFill="1" applyBorder="1"/>
    <xf numFmtId="0" fontId="27" fillId="34" borderId="11" xfId="0" applyFont="1" applyFill="1" applyBorder="1"/>
    <xf numFmtId="0" fontId="26" fillId="41" borderId="0" xfId="0" applyFont="1" applyFill="1"/>
    <xf numFmtId="0" fontId="18" fillId="41" borderId="14" xfId="0" applyFont="1" applyFill="1" applyBorder="1"/>
    <xf numFmtId="164" fontId="22" fillId="34" borderId="0" xfId="0" applyNumberFormat="1" applyFont="1" applyFill="1" applyBorder="1"/>
    <xf numFmtId="164" fontId="22" fillId="34" borderId="0" xfId="45" applyNumberFormat="1" applyFont="1" applyFill="1" applyBorder="1" applyAlignment="1">
      <alignment horizontal="center"/>
    </xf>
    <xf numFmtId="164" fontId="22" fillId="34" borderId="0" xfId="0" applyNumberFormat="1" applyFont="1" applyFill="1" applyBorder="1" applyAlignment="1">
      <alignment horizontal="center"/>
    </xf>
    <xf numFmtId="165" fontId="22" fillId="34" borderId="0" xfId="45" applyNumberFormat="1" applyFont="1" applyFill="1" applyBorder="1" applyAlignment="1">
      <alignment horizontal="center"/>
    </xf>
    <xf numFmtId="0" fontId="23" fillId="41" borderId="0" xfId="0" applyFont="1" applyFill="1" applyBorder="1"/>
    <xf numFmtId="43" fontId="0" fillId="41" borderId="0" xfId="0" applyNumberFormat="1" applyFill="1" applyBorder="1"/>
    <xf numFmtId="0" fontId="0" fillId="41" borderId="0" xfId="0" applyFill="1" applyBorder="1" applyAlignment="1">
      <alignment wrapText="1"/>
    </xf>
    <xf numFmtId="0" fontId="21" fillId="41" borderId="0" xfId="0" applyFont="1" applyFill="1" applyBorder="1" applyAlignment="1">
      <alignment horizontal="center"/>
    </xf>
    <xf numFmtId="0" fontId="0" fillId="41" borderId="0" xfId="0" applyFill="1" applyBorder="1" applyAlignment="1">
      <alignment horizontal="center"/>
    </xf>
    <xf numFmtId="164" fontId="21" fillId="41" borderId="0" xfId="0" applyNumberFormat="1" applyFont="1" applyFill="1" applyBorder="1"/>
    <xf numFmtId="167" fontId="21" fillId="41" borderId="0" xfId="0" applyNumberFormat="1" applyFont="1" applyFill="1" applyBorder="1"/>
    <xf numFmtId="165" fontId="0" fillId="41" borderId="0" xfId="0" applyNumberFormat="1" applyFill="1" applyBorder="1"/>
    <xf numFmtId="0" fontId="13" fillId="34" borderId="0" xfId="0" applyFont="1" applyFill="1" applyBorder="1" applyAlignment="1">
      <alignment horizontal="center"/>
    </xf>
    <xf numFmtId="0" fontId="27" fillId="34" borderId="0" xfId="0" applyFont="1" applyFill="1" applyBorder="1"/>
    <xf numFmtId="0" fontId="28" fillId="34" borderId="0" xfId="0" applyFont="1" applyFill="1" applyBorder="1" applyAlignment="1">
      <alignment horizontal="center"/>
    </xf>
    <xf numFmtId="0" fontId="18" fillId="41" borderId="0" xfId="0" applyFont="1" applyFill="1" applyBorder="1" applyAlignment="1">
      <alignment horizontal="center"/>
    </xf>
    <xf numFmtId="164" fontId="21" fillId="41" borderId="17" xfId="0" applyNumberFormat="1" applyFont="1" applyFill="1" applyBorder="1"/>
    <xf numFmtId="165" fontId="21" fillId="41" borderId="17" xfId="0" applyNumberFormat="1" applyFont="1" applyFill="1" applyBorder="1"/>
    <xf numFmtId="164" fontId="21" fillId="41" borderId="17" xfId="45" applyNumberFormat="1" applyFont="1" applyFill="1" applyBorder="1"/>
    <xf numFmtId="165" fontId="21" fillId="41" borderId="17" xfId="45" applyNumberFormat="1" applyFont="1" applyFill="1" applyBorder="1"/>
    <xf numFmtId="167" fontId="21" fillId="41" borderId="17" xfId="0" applyNumberFormat="1" applyFont="1" applyFill="1" applyBorder="1"/>
    <xf numFmtId="164" fontId="21" fillId="41" borderId="12" xfId="0" applyNumberFormat="1" applyFont="1" applyFill="1" applyBorder="1"/>
    <xf numFmtId="164" fontId="21" fillId="41" borderId="12" xfId="45" applyNumberFormat="1" applyFont="1" applyFill="1" applyBorder="1"/>
    <xf numFmtId="2" fontId="21" fillId="41" borderId="17" xfId="1" applyNumberFormat="1" applyFont="1" applyFill="1" applyBorder="1"/>
    <xf numFmtId="2" fontId="27" fillId="34" borderId="0" xfId="0" applyNumberFormat="1" applyFont="1" applyFill="1" applyBorder="1"/>
    <xf numFmtId="165" fontId="27" fillId="34" borderId="0" xfId="0" applyNumberFormat="1" applyFont="1" applyFill="1" applyBorder="1" applyAlignment="1">
      <alignment horizontal="center"/>
    </xf>
    <xf numFmtId="0" fontId="0" fillId="36" borderId="17" xfId="0" applyFill="1" applyBorder="1"/>
    <xf numFmtId="2" fontId="0" fillId="37" borderId="17" xfId="0" applyNumberFormat="1" applyFill="1" applyBorder="1"/>
    <xf numFmtId="0" fontId="16" fillId="40" borderId="21" xfId="0" applyFont="1" applyFill="1" applyBorder="1"/>
    <xf numFmtId="0" fontId="16" fillId="36" borderId="22" xfId="0" applyFont="1" applyFill="1" applyBorder="1"/>
    <xf numFmtId="0" fontId="20" fillId="37" borderId="22" xfId="0" applyFont="1" applyFill="1" applyBorder="1"/>
    <xf numFmtId="0" fontId="20" fillId="37" borderId="23" xfId="0" applyFont="1" applyFill="1" applyBorder="1"/>
    <xf numFmtId="0" fontId="16" fillId="33" borderId="24" xfId="0" applyFont="1" applyFill="1" applyBorder="1"/>
    <xf numFmtId="10" fontId="0" fillId="37" borderId="25" xfId="1" applyNumberFormat="1" applyFont="1" applyFill="1" applyBorder="1"/>
    <xf numFmtId="0" fontId="0" fillId="33" borderId="26" xfId="0" applyFill="1" applyBorder="1"/>
    <xf numFmtId="2" fontId="0" fillId="37" borderId="27" xfId="0" applyNumberFormat="1" applyFill="1" applyBorder="1"/>
    <xf numFmtId="0" fontId="16" fillId="33" borderId="24" xfId="0" applyFont="1" applyFill="1" applyBorder="1" applyAlignment="1">
      <alignment horizontal="left" indent="1"/>
    </xf>
    <xf numFmtId="2" fontId="0" fillId="37" borderId="25" xfId="0" applyNumberFormat="1" applyFill="1" applyBorder="1"/>
    <xf numFmtId="0" fontId="1" fillId="33" borderId="24" xfId="43" applyFont="1" applyFill="1" applyBorder="1"/>
    <xf numFmtId="2" fontId="0" fillId="37" borderId="25" xfId="0" applyNumberFormat="1" applyFill="1" applyBorder="1" applyAlignment="1">
      <alignment horizontal="center"/>
    </xf>
    <xf numFmtId="0" fontId="16" fillId="0" borderId="26" xfId="0" applyFont="1" applyBorder="1" applyAlignment="1">
      <alignment horizontal="left" indent="1"/>
    </xf>
    <xf numFmtId="0" fontId="16" fillId="33" borderId="26" xfId="0" applyFont="1" applyFill="1" applyBorder="1" applyAlignment="1">
      <alignment horizontal="left" indent="1"/>
    </xf>
    <xf numFmtId="2" fontId="0" fillId="37" borderId="25" xfId="0" applyNumberFormat="1" applyFont="1" applyFill="1" applyBorder="1"/>
    <xf numFmtId="164" fontId="21" fillId="37" borderId="25" xfId="0" applyNumberFormat="1" applyFont="1" applyFill="1" applyBorder="1"/>
    <xf numFmtId="0" fontId="16" fillId="33" borderId="28" xfId="0" applyFont="1" applyFill="1" applyBorder="1" applyAlignment="1">
      <alignment horizontal="left" indent="1"/>
    </xf>
    <xf numFmtId="0" fontId="0" fillId="36" borderId="29" xfId="0" applyFill="1" applyBorder="1"/>
    <xf numFmtId="2" fontId="0" fillId="37" borderId="29" xfId="0" applyNumberFormat="1" applyFill="1" applyBorder="1"/>
    <xf numFmtId="2" fontId="0" fillId="37" borderId="30" xfId="0" applyNumberFormat="1" applyFill="1" applyBorder="1"/>
    <xf numFmtId="0" fontId="20" fillId="40" borderId="0" xfId="0" applyFont="1" applyFill="1" applyBorder="1" applyAlignment="1">
      <alignment horizontal="center" wrapText="1"/>
    </xf>
    <xf numFmtId="0" fontId="20" fillId="40" borderId="29" xfId="0" applyFont="1" applyFill="1" applyBorder="1" applyAlignment="1">
      <alignment horizontal="center" wrapText="1"/>
    </xf>
    <xf numFmtId="0" fontId="17" fillId="34" borderId="0" xfId="0" applyFont="1" applyFill="1" applyBorder="1"/>
    <xf numFmtId="165" fontId="21" fillId="38" borderId="0" xfId="0" applyNumberFormat="1" applyFont="1" applyFill="1" applyBorder="1"/>
    <xf numFmtId="9" fontId="21" fillId="38" borderId="0" xfId="0" applyNumberFormat="1" applyFont="1" applyFill="1" applyBorder="1"/>
    <xf numFmtId="10" fontId="21" fillId="38" borderId="0" xfId="0" applyNumberFormat="1" applyFont="1" applyFill="1" applyBorder="1"/>
    <xf numFmtId="0" fontId="21" fillId="38" borderId="0" xfId="0" applyFont="1" applyFill="1" applyBorder="1"/>
    <xf numFmtId="10" fontId="21" fillId="38" borderId="0" xfId="1" applyNumberFormat="1" applyFont="1" applyFill="1" applyBorder="1"/>
    <xf numFmtId="2" fontId="21" fillId="38" borderId="0" xfId="0" applyNumberFormat="1" applyFont="1" applyFill="1" applyBorder="1"/>
    <xf numFmtId="0" fontId="0" fillId="38" borderId="0" xfId="0" applyFill="1" applyBorder="1"/>
    <xf numFmtId="0" fontId="18" fillId="39" borderId="0" xfId="0" applyFont="1" applyFill="1" applyBorder="1"/>
    <xf numFmtId="166" fontId="16" fillId="38" borderId="0" xfId="1" applyNumberFormat="1" applyFont="1" applyFill="1" applyBorder="1"/>
    <xf numFmtId="9" fontId="18" fillId="38" borderId="0" xfId="0" applyNumberFormat="1" applyFont="1" applyFill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4" builtinId="3"/>
    <cellStyle name="Comma 2 5" xfId="45" xr:uid="{5F4A5F4B-679F-4D31-B2EC-CB5260D24136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andni/Desktop/Ultratech%20Cement/Balance%20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andni/Downloads/ULTC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3">
          <cell r="C13">
            <v>4992.66</v>
          </cell>
          <cell r="D13">
            <v>4896.59</v>
          </cell>
          <cell r="E13">
            <v>6370.84</v>
          </cell>
          <cell r="F13">
            <v>15863.47</v>
          </cell>
        </row>
        <row r="17">
          <cell r="C17">
            <v>7983.4</v>
          </cell>
          <cell r="D17">
            <v>7623.99</v>
          </cell>
          <cell r="E17">
            <v>9488.69</v>
          </cell>
          <cell r="F17">
            <v>19421.580000000002</v>
          </cell>
        </row>
        <row r="19">
          <cell r="C19">
            <v>2563.9299999999998</v>
          </cell>
          <cell r="D19">
            <v>2475.79</v>
          </cell>
          <cell r="E19">
            <v>1079.18</v>
          </cell>
          <cell r="F19">
            <v>2763.44</v>
          </cell>
        </row>
        <row r="20">
          <cell r="C20">
            <v>2912.4</v>
          </cell>
          <cell r="D20">
            <v>1717.25</v>
          </cell>
          <cell r="E20">
            <v>1848.64</v>
          </cell>
          <cell r="F20">
            <v>2504.0500000000002</v>
          </cell>
          <cell r="G20">
            <v>3479.173809315067</v>
          </cell>
          <cell r="H20">
            <v>5534.2319989041098</v>
          </cell>
          <cell r="I20">
            <v>5281.8549709589042</v>
          </cell>
          <cell r="J20">
            <v>9229.7283802739694</v>
          </cell>
          <cell r="K20">
            <v>7458.5924736438355</v>
          </cell>
        </row>
        <row r="31">
          <cell r="C31">
            <v>24539.75</v>
          </cell>
          <cell r="D31">
            <v>25672.27</v>
          </cell>
          <cell r="E31">
            <v>25740.12</v>
          </cell>
          <cell r="F31">
            <v>40190.21</v>
          </cell>
        </row>
        <row r="39">
          <cell r="C39">
            <v>2949.12</v>
          </cell>
          <cell r="D39">
            <v>2454.58</v>
          </cell>
          <cell r="E39">
            <v>2400.64</v>
          </cell>
          <cell r="F39">
            <v>3267.59</v>
          </cell>
          <cell r="G39">
            <v>5527.6514246575334</v>
          </cell>
          <cell r="H39">
            <v>4987.9886849315062</v>
          </cell>
          <cell r="I39">
            <v>7630.7794465753432</v>
          </cell>
          <cell r="J39">
            <v>6880.8039046575304</v>
          </cell>
          <cell r="K39">
            <v>9807.5169492602745</v>
          </cell>
        </row>
        <row r="40">
          <cell r="C40">
            <v>1658.82</v>
          </cell>
          <cell r="D40">
            <v>1928.21</v>
          </cell>
          <cell r="E40">
            <v>1757.09</v>
          </cell>
          <cell r="F40">
            <v>2227.96</v>
          </cell>
          <cell r="G40">
            <v>5283.2533797260276</v>
          </cell>
          <cell r="H40">
            <v>3730.1524284931493</v>
          </cell>
          <cell r="I40">
            <v>7085.9345413698647</v>
          </cell>
          <cell r="J40">
            <v>5352.5654739725996</v>
          </cell>
          <cell r="K40">
            <v>8951.7095436712352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"/>
      <sheetName val="BS"/>
      <sheetName val="Valuations"/>
      <sheetName val="Sheet3"/>
      <sheetName val="Beta and WACC"/>
      <sheetName val="FFCF"/>
      <sheetName val="FFCE"/>
      <sheetName val="CCM"/>
    </sheetNames>
    <sheetDataSet>
      <sheetData sheetId="0">
        <row r="5">
          <cell r="B5">
            <v>31410.799999999999</v>
          </cell>
        </row>
        <row r="18">
          <cell r="B18">
            <v>6382.15</v>
          </cell>
        </row>
        <row r="32">
          <cell r="B32">
            <v>2375.96</v>
          </cell>
        </row>
      </sheetData>
      <sheetData sheetId="1">
        <row r="37">
          <cell r="B37">
            <v>218.77</v>
          </cell>
        </row>
        <row r="59">
          <cell r="B59">
            <v>19220.21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showGridLines="0" zoomScale="114" zoomScaleNormal="100" workbookViewId="0">
      <selection activeCell="E31" sqref="E31"/>
    </sheetView>
  </sheetViews>
  <sheetFormatPr baseColWidth="10" defaultColWidth="9.1640625" defaultRowHeight="15" x14ac:dyDescent="0.2"/>
  <cols>
    <col min="1" max="1" width="49.5" style="11" bestFit="1" customWidth="1"/>
    <col min="2" max="2" width="11.5" style="11" bestFit="1" customWidth="1"/>
    <col min="3" max="6" width="11.1640625" style="11" bestFit="1" customWidth="1"/>
    <col min="7" max="7" width="12.1640625" style="11" bestFit="1" customWidth="1"/>
    <col min="8" max="11" width="11.1640625" style="11" bestFit="1" customWidth="1"/>
    <col min="12" max="15" width="9.5" style="11" bestFit="1" customWidth="1"/>
    <col min="16" max="16" width="9.83203125" style="11" bestFit="1" customWidth="1"/>
    <col min="17" max="16384" width="9.1640625" style="11"/>
  </cols>
  <sheetData>
    <row r="1" spans="1:21" ht="16" x14ac:dyDescent="0.2">
      <c r="A1" s="139" t="s">
        <v>15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21" ht="17" thickBot="1" x14ac:dyDescent="0.2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</row>
    <row r="3" spans="1:21" ht="16" x14ac:dyDescent="0.2">
      <c r="A3" s="119" t="s">
        <v>1</v>
      </c>
      <c r="B3" s="120" t="s">
        <v>11</v>
      </c>
      <c r="C3" s="120" t="s">
        <v>10</v>
      </c>
      <c r="D3" s="120" t="s">
        <v>9</v>
      </c>
      <c r="E3" s="120" t="s">
        <v>8</v>
      </c>
      <c r="F3" s="120" t="s">
        <v>7</v>
      </c>
      <c r="G3" s="120" t="s">
        <v>6</v>
      </c>
      <c r="H3" s="120" t="s">
        <v>5</v>
      </c>
      <c r="I3" s="120" t="s">
        <v>4</v>
      </c>
      <c r="J3" s="120" t="s">
        <v>3</v>
      </c>
      <c r="K3" s="120" t="s">
        <v>2</v>
      </c>
      <c r="L3" s="121" t="s">
        <v>16</v>
      </c>
      <c r="M3" s="121" t="s">
        <v>17</v>
      </c>
      <c r="N3" s="121" t="s">
        <v>18</v>
      </c>
      <c r="O3" s="121" t="s">
        <v>19</v>
      </c>
      <c r="P3" s="122" t="s">
        <v>20</v>
      </c>
    </row>
    <row r="4" spans="1:21" x14ac:dyDescent="0.2">
      <c r="A4" s="123" t="s">
        <v>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24"/>
    </row>
    <row r="5" spans="1:21" x14ac:dyDescent="0.2">
      <c r="A5" s="125" t="s">
        <v>12</v>
      </c>
      <c r="B5" s="117">
        <v>6563.64</v>
      </c>
      <c r="C5" s="117">
        <v>7175.13</v>
      </c>
      <c r="D5" s="117">
        <v>13798.1</v>
      </c>
      <c r="E5" s="117">
        <v>19232.419999999998</v>
      </c>
      <c r="F5" s="117">
        <v>21324.11</v>
      </c>
      <c r="G5" s="117">
        <v>21651.5</v>
      </c>
      <c r="H5" s="117">
        <v>24339.98</v>
      </c>
      <c r="I5" s="117">
        <v>25153.24</v>
      </c>
      <c r="J5" s="117">
        <v>25374.94</v>
      </c>
      <c r="K5" s="117">
        <v>31410.799999999999</v>
      </c>
      <c r="L5" s="118">
        <f>K5*1.2</f>
        <v>37692.959999999999</v>
      </c>
      <c r="M5" s="118">
        <f t="shared" ref="M5:N5" si="0">L5*1.2</f>
        <v>45231.551999999996</v>
      </c>
      <c r="N5" s="118">
        <f t="shared" si="0"/>
        <v>54277.862399999991</v>
      </c>
      <c r="O5" s="118">
        <f>N5*1.15</f>
        <v>62419.541759999986</v>
      </c>
      <c r="P5" s="126">
        <f>O5*1.15</f>
        <v>71782.473023999977</v>
      </c>
    </row>
    <row r="6" spans="1:21" x14ac:dyDescent="0.2">
      <c r="A6" s="127" t="s">
        <v>59</v>
      </c>
      <c r="B6" s="19"/>
      <c r="C6" s="19"/>
      <c r="D6" s="19"/>
      <c r="E6" s="19"/>
      <c r="F6" s="19"/>
      <c r="G6" s="20"/>
      <c r="H6" s="20"/>
      <c r="I6" s="20"/>
      <c r="J6" s="20"/>
      <c r="K6" s="20"/>
      <c r="L6" s="18"/>
      <c r="M6" s="18"/>
      <c r="N6" s="18"/>
      <c r="O6" s="18"/>
      <c r="P6" s="128"/>
    </row>
    <row r="7" spans="1:21" x14ac:dyDescent="0.2">
      <c r="A7" s="129" t="s">
        <v>144</v>
      </c>
      <c r="B7" s="15">
        <v>97.51</v>
      </c>
      <c r="C7" s="15">
        <v>-15.3</v>
      </c>
      <c r="D7" s="15">
        <v>87.61</v>
      </c>
      <c r="E7" s="15">
        <v>-28.4</v>
      </c>
      <c r="F7" s="15">
        <v>115.2</v>
      </c>
      <c r="G7" s="15">
        <v>-98.76</v>
      </c>
      <c r="H7" s="15">
        <v>100.88</v>
      </c>
      <c r="I7" s="15">
        <v>18.61</v>
      </c>
      <c r="J7" s="15">
        <v>-75.69</v>
      </c>
      <c r="K7" s="15">
        <v>111.2</v>
      </c>
      <c r="L7" s="21" t="s">
        <v>66</v>
      </c>
      <c r="M7" s="21" t="s">
        <v>66</v>
      </c>
      <c r="N7" s="21" t="s">
        <v>66</v>
      </c>
      <c r="O7" s="21" t="s">
        <v>66</v>
      </c>
      <c r="P7" s="130" t="s">
        <v>66</v>
      </c>
    </row>
    <row r="8" spans="1:21" x14ac:dyDescent="0.2">
      <c r="A8" s="129" t="s">
        <v>145</v>
      </c>
      <c r="B8" s="15">
        <v>855.34</v>
      </c>
      <c r="C8" s="15">
        <v>1099.22</v>
      </c>
      <c r="D8" s="15">
        <v>2149.9299999999998</v>
      </c>
      <c r="E8" s="15">
        <v>2842.66</v>
      </c>
      <c r="F8" s="15">
        <v>3383.58</v>
      </c>
      <c r="G8" s="15">
        <v>3649.78</v>
      </c>
      <c r="H8" s="15">
        <v>4151.05</v>
      </c>
      <c r="I8" s="15">
        <v>4436.12</v>
      </c>
      <c r="J8" s="15">
        <v>4416.8999999999996</v>
      </c>
      <c r="K8" s="15">
        <v>5399.98</v>
      </c>
      <c r="L8" s="18">
        <f>L5*0.22</f>
        <v>8292.4511999999995</v>
      </c>
      <c r="M8" s="18">
        <f>M5*0.22</f>
        <v>9950.9414399999987</v>
      </c>
      <c r="N8" s="18">
        <f>N5*0.22</f>
        <v>11941.129727999998</v>
      </c>
      <c r="O8" s="18">
        <f>O5*0.22</f>
        <v>13732.299187199997</v>
      </c>
      <c r="P8" s="128">
        <f>P5*0.22</f>
        <v>15792.144065279996</v>
      </c>
    </row>
    <row r="9" spans="1:21" x14ac:dyDescent="0.2">
      <c r="A9" s="129" t="s">
        <v>146</v>
      </c>
      <c r="B9" s="15">
        <v>1730.24</v>
      </c>
      <c r="C9" s="15">
        <v>1433.51</v>
      </c>
      <c r="D9" s="15">
        <v>3279.78</v>
      </c>
      <c r="E9" s="15">
        <v>4639.3599999999997</v>
      </c>
      <c r="F9" s="15">
        <v>4645.71</v>
      </c>
      <c r="G9" s="15">
        <v>4523.12</v>
      </c>
      <c r="H9" s="15">
        <v>5115.68</v>
      </c>
      <c r="I9" s="15">
        <v>4579.25</v>
      </c>
      <c r="J9" s="15">
        <v>4271.9799999999996</v>
      </c>
      <c r="K9" s="15">
        <v>6334.07</v>
      </c>
      <c r="L9" s="18">
        <f>L5*0.21</f>
        <v>7915.5215999999991</v>
      </c>
      <c r="M9" s="18">
        <f>M5*0.21</f>
        <v>9498.6259199999986</v>
      </c>
      <c r="N9" s="18">
        <f>N5*0.21</f>
        <v>11398.351103999998</v>
      </c>
      <c r="O9" s="18">
        <f>O5*0.21</f>
        <v>13108.103769599997</v>
      </c>
      <c r="P9" s="128">
        <f>P5*0.21</f>
        <v>15074.319335039994</v>
      </c>
    </row>
    <row r="10" spans="1:21" x14ac:dyDescent="0.2">
      <c r="A10" s="129" t="s">
        <v>147</v>
      </c>
      <c r="B10" s="15">
        <v>694.77</v>
      </c>
      <c r="C10" s="15">
        <v>721.96</v>
      </c>
      <c r="D10" s="15">
        <v>1365.73</v>
      </c>
      <c r="E10" s="15">
        <v>1825.32</v>
      </c>
      <c r="F10" s="15">
        <v>2058.4899999999998</v>
      </c>
      <c r="G10" s="15">
        <v>2240.62</v>
      </c>
      <c r="H10" s="15">
        <v>1908.68</v>
      </c>
      <c r="I10" s="15">
        <v>1933.88</v>
      </c>
      <c r="J10" s="15">
        <v>1991.28</v>
      </c>
      <c r="K10" s="15">
        <v>2289.5300000000002</v>
      </c>
      <c r="L10" s="18">
        <f>L5*0.06</f>
        <v>2261.5776000000001</v>
      </c>
      <c r="M10" s="18">
        <f>M5*0.06</f>
        <v>2713.8931199999997</v>
      </c>
      <c r="N10" s="18">
        <f>N5*0.06</f>
        <v>3256.6717439999993</v>
      </c>
      <c r="O10" s="18">
        <f>O5*0.06</f>
        <v>3745.1725055999991</v>
      </c>
      <c r="P10" s="128">
        <f>P5*0.06</f>
        <v>4306.9483814399982</v>
      </c>
    </row>
    <row r="11" spans="1:21" x14ac:dyDescent="0.2">
      <c r="A11" s="131" t="s">
        <v>60</v>
      </c>
      <c r="B11" s="117">
        <f>B5+B7-B8-B9-B10</f>
        <v>3380.8000000000006</v>
      </c>
      <c r="C11" s="117">
        <f t="shared" ref="C11:K11" si="1">C5+C7-C8-C9-C10</f>
        <v>3905.1399999999994</v>
      </c>
      <c r="D11" s="117">
        <f t="shared" si="1"/>
        <v>7090.27</v>
      </c>
      <c r="E11" s="117">
        <f t="shared" si="1"/>
        <v>9896.6799999999967</v>
      </c>
      <c r="F11" s="117">
        <f t="shared" si="1"/>
        <v>11351.530000000004</v>
      </c>
      <c r="G11" s="117">
        <f t="shared" si="1"/>
        <v>11139.220000000005</v>
      </c>
      <c r="H11" s="117">
        <f t="shared" si="1"/>
        <v>13265.45</v>
      </c>
      <c r="I11" s="117">
        <f t="shared" si="1"/>
        <v>14222.600000000002</v>
      </c>
      <c r="J11" s="117">
        <f t="shared" si="1"/>
        <v>14619.089999999998</v>
      </c>
      <c r="K11" s="117">
        <f t="shared" si="1"/>
        <v>17498.420000000002</v>
      </c>
      <c r="L11" s="118">
        <f>L5-L8-L9-L10</f>
        <v>19223.409599999999</v>
      </c>
      <c r="M11" s="118">
        <f t="shared" ref="M11:P11" si="2">M5-M8-M9-M10</f>
        <v>23068.091520000002</v>
      </c>
      <c r="N11" s="118">
        <f t="shared" si="2"/>
        <v>27681.709823999994</v>
      </c>
      <c r="O11" s="118">
        <f t="shared" si="2"/>
        <v>31833.966297599989</v>
      </c>
      <c r="P11" s="126">
        <f t="shared" si="2"/>
        <v>36609.061242239986</v>
      </c>
      <c r="Q11" s="22"/>
      <c r="R11" s="22"/>
      <c r="S11" s="22"/>
      <c r="T11" s="22"/>
      <c r="U11" s="22"/>
    </row>
    <row r="12" spans="1:21" x14ac:dyDescent="0.2">
      <c r="A12" s="129" t="s">
        <v>148</v>
      </c>
      <c r="B12" s="15">
        <v>220.86</v>
      </c>
      <c r="C12" s="15">
        <v>256.83</v>
      </c>
      <c r="D12" s="15">
        <v>697.67</v>
      </c>
      <c r="E12" s="15">
        <v>889.35</v>
      </c>
      <c r="F12" s="15">
        <v>1042.69</v>
      </c>
      <c r="G12" s="15">
        <v>1102.78</v>
      </c>
      <c r="H12" s="15">
        <v>1308.29</v>
      </c>
      <c r="I12" s="15">
        <v>1444.97</v>
      </c>
      <c r="J12" s="15">
        <v>1522.34</v>
      </c>
      <c r="K12" s="15">
        <v>1810.24</v>
      </c>
      <c r="L12" s="18">
        <f>L5*0.05</f>
        <v>1884.6480000000001</v>
      </c>
      <c r="M12" s="18">
        <f>M5*0.05</f>
        <v>2261.5776000000001</v>
      </c>
      <c r="N12" s="18">
        <f>N5*0.05</f>
        <v>2713.8931199999997</v>
      </c>
      <c r="O12" s="18">
        <f>O5*0.05</f>
        <v>3120.9770879999996</v>
      </c>
      <c r="P12" s="128">
        <f>P5*0.05</f>
        <v>3589.1236511999991</v>
      </c>
    </row>
    <row r="13" spans="1:21" x14ac:dyDescent="0.2">
      <c r="A13" s="129" t="s">
        <v>149</v>
      </c>
      <c r="B13" s="15">
        <v>1375.54</v>
      </c>
      <c r="C13" s="15">
        <v>1615.34</v>
      </c>
      <c r="D13" s="15">
        <v>3243.08</v>
      </c>
      <c r="E13" s="15">
        <v>4386.8100000000004</v>
      </c>
      <c r="F13" s="15">
        <v>5043.99</v>
      </c>
      <c r="G13" s="15">
        <v>5482.68</v>
      </c>
      <c r="H13" s="15">
        <v>6965.5</v>
      </c>
      <c r="I13" s="15">
        <v>7221.99</v>
      </c>
      <c r="J13" s="15">
        <v>7174.55</v>
      </c>
      <c r="K13" s="15">
        <v>8774.0300000000007</v>
      </c>
      <c r="L13" s="18">
        <f>L5*0.27</f>
        <v>10177.099200000001</v>
      </c>
      <c r="M13" s="18">
        <f>M5*0.27</f>
        <v>12212.519039999999</v>
      </c>
      <c r="N13" s="18">
        <f>N5*0.27</f>
        <v>14655.022847999999</v>
      </c>
      <c r="O13" s="18">
        <f>O5*0.27</f>
        <v>16853.276275199998</v>
      </c>
      <c r="P13" s="128">
        <f>P5*0.27</f>
        <v>19381.267716479993</v>
      </c>
    </row>
    <row r="14" spans="1:21" x14ac:dyDescent="0.2">
      <c r="A14" s="129" t="s">
        <v>150</v>
      </c>
      <c r="B14" s="15">
        <v>68.849999999999994</v>
      </c>
      <c r="C14" s="15">
        <v>49.06</v>
      </c>
      <c r="D14" s="15">
        <v>453.64</v>
      </c>
      <c r="E14" s="15">
        <v>426.62</v>
      </c>
      <c r="F14" s="15">
        <v>425.52</v>
      </c>
      <c r="G14" s="15">
        <v>518.59</v>
      </c>
      <c r="H14" s="15">
        <v>566.17999999999995</v>
      </c>
      <c r="I14" s="15">
        <v>654.66999999999996</v>
      </c>
      <c r="J14" s="15">
        <v>709.76</v>
      </c>
      <c r="K14" s="15">
        <v>1115.5899999999999</v>
      </c>
      <c r="L14" s="18">
        <v>1012.4345788401138</v>
      </c>
      <c r="M14" s="18">
        <v>1106.80603255083</v>
      </c>
      <c r="N14" s="18">
        <v>1201.1774862615459</v>
      </c>
      <c r="O14" s="18">
        <v>1295.5489399722619</v>
      </c>
      <c r="P14" s="128">
        <v>1389.9203936829781</v>
      </c>
    </row>
    <row r="15" spans="1:21" x14ac:dyDescent="0.2">
      <c r="A15" s="132" t="s">
        <v>61</v>
      </c>
      <c r="B15" s="117">
        <v>1817.83</v>
      </c>
      <c r="C15" s="117">
        <v>2105.21</v>
      </c>
      <c r="D15" s="117">
        <v>2849.99</v>
      </c>
      <c r="E15" s="117">
        <v>4564.7299999999996</v>
      </c>
      <c r="F15" s="117">
        <v>5142.92</v>
      </c>
      <c r="G15" s="117">
        <v>4357.55</v>
      </c>
      <c r="H15" s="117">
        <v>4775.5600000000004</v>
      </c>
      <c r="I15" s="117">
        <v>5364.78</v>
      </c>
      <c r="J15" s="117">
        <v>5860.56</v>
      </c>
      <c r="K15" s="117">
        <v>6382.15</v>
      </c>
      <c r="L15" s="118">
        <f>L11-L12-L13-L14</f>
        <v>6149.2278211598841</v>
      </c>
      <c r="M15" s="118">
        <f t="shared" ref="M15:P15" si="3">M11-M12-M13-M14</f>
        <v>7487.1888474491716</v>
      </c>
      <c r="N15" s="118">
        <f t="shared" si="3"/>
        <v>9111.6163697384491</v>
      </c>
      <c r="O15" s="118">
        <f t="shared" si="3"/>
        <v>10564.16399442773</v>
      </c>
      <c r="P15" s="126">
        <f t="shared" si="3"/>
        <v>12248.749480877019</v>
      </c>
    </row>
    <row r="16" spans="1:21" x14ac:dyDescent="0.2">
      <c r="A16" s="129" t="s">
        <v>151</v>
      </c>
      <c r="B16" s="15">
        <v>324.39999999999998</v>
      </c>
      <c r="C16" s="15">
        <v>389.65</v>
      </c>
      <c r="D16" s="15">
        <v>812.98</v>
      </c>
      <c r="E16" s="15">
        <v>962.91</v>
      </c>
      <c r="F16" s="15">
        <v>1023.37</v>
      </c>
      <c r="G16" s="15">
        <v>1139</v>
      </c>
      <c r="H16" s="15">
        <v>1203.42</v>
      </c>
      <c r="I16" s="15">
        <v>1377.17</v>
      </c>
      <c r="J16" s="15">
        <v>1348.41</v>
      </c>
      <c r="K16" s="15">
        <v>1847.93</v>
      </c>
      <c r="L16" s="23">
        <f>Schedules!F8</f>
        <v>1773.7863529411766</v>
      </c>
      <c r="M16" s="23">
        <f>Schedules!G8</f>
        <v>2128.5436235294114</v>
      </c>
      <c r="N16" s="23">
        <f>Schedules!H8</f>
        <v>2412.3494399999995</v>
      </c>
      <c r="O16" s="23">
        <f>Schedules!I8</f>
        <v>2774.2018559999992</v>
      </c>
      <c r="P16" s="133">
        <f>Schedules!J8</f>
        <v>2871.2989209599991</v>
      </c>
    </row>
    <row r="17" spans="1:16" x14ac:dyDescent="0.2">
      <c r="A17" s="132" t="s">
        <v>62</v>
      </c>
      <c r="B17" s="117">
        <v>1692.22</v>
      </c>
      <c r="C17" s="117">
        <v>1987.46</v>
      </c>
      <c r="D17" s="117">
        <v>2557.71</v>
      </c>
      <c r="E17" s="117">
        <v>4308.3100000000004</v>
      </c>
      <c r="F17" s="117">
        <v>4890.58</v>
      </c>
      <c r="G17" s="117">
        <v>3996.6</v>
      </c>
      <c r="H17" s="117">
        <v>4189.05</v>
      </c>
      <c r="I17" s="117">
        <v>4798.4799999999996</v>
      </c>
      <c r="J17" s="117">
        <v>5220.46</v>
      </c>
      <c r="K17" s="117">
        <v>5149.3999999999996</v>
      </c>
      <c r="L17" s="118">
        <f>L15-L16</f>
        <v>4375.4414682187071</v>
      </c>
      <c r="M17" s="118">
        <f t="shared" ref="M17:P17" si="4">M15-M16</f>
        <v>5358.6452239197606</v>
      </c>
      <c r="N17" s="118">
        <f t="shared" si="4"/>
        <v>6699.2669297384491</v>
      </c>
      <c r="O17" s="118">
        <f t="shared" si="4"/>
        <v>7789.9621384277307</v>
      </c>
      <c r="P17" s="126">
        <f t="shared" si="4"/>
        <v>9377.4505599170188</v>
      </c>
    </row>
    <row r="18" spans="1:16" x14ac:dyDescent="0.2">
      <c r="A18" s="129" t="s">
        <v>152</v>
      </c>
      <c r="B18" s="15">
        <v>125.61</v>
      </c>
      <c r="C18" s="15">
        <v>117.75</v>
      </c>
      <c r="D18" s="15">
        <v>292.27999999999997</v>
      </c>
      <c r="E18" s="15">
        <v>256.42</v>
      </c>
      <c r="F18" s="15">
        <v>252.34</v>
      </c>
      <c r="G18" s="15">
        <v>360.95</v>
      </c>
      <c r="H18" s="15">
        <v>586.51</v>
      </c>
      <c r="I18" s="15">
        <v>566.29999999999995</v>
      </c>
      <c r="J18" s="15">
        <v>640.1</v>
      </c>
      <c r="K18" s="15">
        <v>1232.75</v>
      </c>
      <c r="L18" s="24">
        <v>632.10642352941204</v>
      </c>
      <c r="M18" s="24">
        <v>1064.8456329411767</v>
      </c>
      <c r="N18" s="24">
        <v>1433.6146983529411</v>
      </c>
      <c r="O18" s="24">
        <v>1894.1997351529412</v>
      </c>
      <c r="P18" s="134">
        <v>2085.4704657129414</v>
      </c>
    </row>
    <row r="19" spans="1:16" x14ac:dyDescent="0.2">
      <c r="A19" s="132" t="s">
        <v>63</v>
      </c>
      <c r="B19" s="117">
        <v>1367.82</v>
      </c>
      <c r="C19" s="117">
        <v>1597.81</v>
      </c>
      <c r="D19" s="117">
        <v>1744.73</v>
      </c>
      <c r="E19" s="117">
        <v>3345.4</v>
      </c>
      <c r="F19" s="117">
        <v>3867.21</v>
      </c>
      <c r="G19" s="117">
        <v>2857.6</v>
      </c>
      <c r="H19" s="117">
        <v>2985.63</v>
      </c>
      <c r="I19" s="117">
        <v>3421.31</v>
      </c>
      <c r="J19" s="117">
        <v>3872.05</v>
      </c>
      <c r="K19" s="117">
        <v>3301.47</v>
      </c>
      <c r="L19" s="118">
        <f>L17-L18</f>
        <v>3743.335044689295</v>
      </c>
      <c r="M19" s="118">
        <f t="shared" ref="M19:P19" si="5">M17-M18</f>
        <v>4293.7995909785841</v>
      </c>
      <c r="N19" s="118">
        <f t="shared" si="5"/>
        <v>5265.6522313855075</v>
      </c>
      <c r="O19" s="118">
        <f t="shared" si="5"/>
        <v>5895.7624032747899</v>
      </c>
      <c r="P19" s="126">
        <f t="shared" si="5"/>
        <v>7291.9800942040774</v>
      </c>
    </row>
    <row r="20" spans="1:16" x14ac:dyDescent="0.2">
      <c r="A20" s="129" t="s">
        <v>153</v>
      </c>
      <c r="B20" s="15">
        <v>102.28</v>
      </c>
      <c r="C20" s="15">
        <v>121.3</v>
      </c>
      <c r="D20" s="15">
        <v>154.11000000000001</v>
      </c>
      <c r="E20" s="15">
        <v>370.83</v>
      </c>
      <c r="F20" s="15">
        <v>303.58999999999997</v>
      </c>
      <c r="G20" s="15">
        <v>322.38</v>
      </c>
      <c r="H20" s="15">
        <v>350.08</v>
      </c>
      <c r="I20" s="15">
        <v>463.81</v>
      </c>
      <c r="J20" s="15">
        <v>648.12</v>
      </c>
      <c r="K20" s="15">
        <v>583.59</v>
      </c>
      <c r="L20" s="18">
        <f>L5*0.017</f>
        <v>640.78032000000007</v>
      </c>
      <c r="M20" s="18">
        <f>M5*0.017</f>
        <v>768.93638399999998</v>
      </c>
      <c r="N20" s="18">
        <f>N5*0.017</f>
        <v>922.72366079999995</v>
      </c>
      <c r="O20" s="18">
        <f>O5*0.017</f>
        <v>1061.1322099199999</v>
      </c>
      <c r="P20" s="128">
        <f>P5*0.017</f>
        <v>1220.3020414079997</v>
      </c>
    </row>
    <row r="21" spans="1:16" ht="15.75" customHeight="1" x14ac:dyDescent="0.2">
      <c r="A21" s="129" t="s">
        <v>13</v>
      </c>
      <c r="B21" s="15">
        <v>388.2</v>
      </c>
      <c r="C21" s="15">
        <v>500.96999999999997</v>
      </c>
      <c r="D21" s="15">
        <v>383.66</v>
      </c>
      <c r="E21" s="15">
        <v>948.14</v>
      </c>
      <c r="F21" s="15">
        <v>1179.1399999999999</v>
      </c>
      <c r="G21" s="15">
        <v>644.82000000000005</v>
      </c>
      <c r="H21" s="15">
        <v>883.52</v>
      </c>
      <c r="I21" s="15">
        <v>941.69</v>
      </c>
      <c r="J21" s="15">
        <v>1158.54</v>
      </c>
      <c r="K21" s="15">
        <v>1077.01</v>
      </c>
      <c r="L21" s="18">
        <f>SUM(L19,L20)*$B$24</f>
        <v>1315.2346094067886</v>
      </c>
      <c r="M21" s="18">
        <f t="shared" ref="M21:P21" si="6">SUM(M19,M20)*$B$24</f>
        <v>1518.820792493575</v>
      </c>
      <c r="N21" s="18">
        <f t="shared" si="6"/>
        <v>1856.5127676556522</v>
      </c>
      <c r="O21" s="18">
        <f t="shared" si="6"/>
        <v>2087.0683839584367</v>
      </c>
      <c r="P21" s="128">
        <f t="shared" si="6"/>
        <v>2553.684640683623</v>
      </c>
    </row>
    <row r="22" spans="1:16" ht="16" thickBot="1" x14ac:dyDescent="0.25">
      <c r="A22" s="135" t="s">
        <v>64</v>
      </c>
      <c r="B22" s="136">
        <v>979.62</v>
      </c>
      <c r="C22" s="136">
        <v>1096.8399999999999</v>
      </c>
      <c r="D22" s="136">
        <v>1361.07</v>
      </c>
      <c r="E22" s="136">
        <v>2397.2600000000002</v>
      </c>
      <c r="F22" s="136">
        <v>2688.07</v>
      </c>
      <c r="G22" s="136">
        <v>2212.7800000000002</v>
      </c>
      <c r="H22" s="136">
        <v>2102.11</v>
      </c>
      <c r="I22" s="136">
        <v>2479.62</v>
      </c>
      <c r="J22" s="136">
        <v>2713.51</v>
      </c>
      <c r="K22" s="136">
        <v>2224.46</v>
      </c>
      <c r="L22" s="137">
        <f>L19-L21</f>
        <v>2428.1004352825066</v>
      </c>
      <c r="M22" s="137">
        <f>M19-M21</f>
        <v>2774.9787984850091</v>
      </c>
      <c r="N22" s="137">
        <f>N19-N21</f>
        <v>3409.1394637298554</v>
      </c>
      <c r="O22" s="137">
        <f>O19-O21</f>
        <v>3808.6940193163532</v>
      </c>
      <c r="P22" s="138">
        <f>P19-P21</f>
        <v>4738.2954535204544</v>
      </c>
    </row>
    <row r="24" spans="1:16" x14ac:dyDescent="0.2">
      <c r="A24" s="25" t="s">
        <v>14</v>
      </c>
      <c r="B24" s="26">
        <v>0.3</v>
      </c>
    </row>
    <row r="25" spans="1:16" x14ac:dyDescent="0.2">
      <c r="G25" s="10"/>
      <c r="H25" s="10"/>
      <c r="I25" s="10"/>
      <c r="J25" s="10"/>
      <c r="K25" s="10"/>
    </row>
  </sheetData>
  <mergeCells count="2">
    <mergeCell ref="A1:P1"/>
    <mergeCell ref="A2:P2"/>
  </mergeCells>
  <hyperlinks>
    <hyperlink ref="A20" display=" Other Income +" xr:uid="{00000000-0004-0000-0000-000001000000}"/>
    <hyperlink ref="A7" display=" Stock Adjustments +" xr:uid="{00000000-0004-0000-0000-000002000000}"/>
    <hyperlink ref="A8" display=" Raw Materials +" xr:uid="{00000000-0004-0000-0000-000003000000}"/>
    <hyperlink ref="A9" display=" Power &amp; Fuel Cost+" xr:uid="{00000000-0004-0000-0000-000004000000}"/>
    <hyperlink ref="A12" display=" Employee Cost +" xr:uid="{00000000-0004-0000-0000-000005000000}"/>
    <hyperlink ref="A10" display=" Other Manufacturing Expenses +" xr:uid="{00000000-0004-0000-0000-000006000000}"/>
    <hyperlink ref="A13" display=" Selling and Administration Expenses +" xr:uid="{00000000-0004-0000-0000-000007000000}"/>
    <hyperlink ref="A14" display=" Miscellaneous Expenses +" xr:uid="{00000000-0004-0000-0000-000008000000}"/>
    <hyperlink ref="A18" display=" Interest +" xr:uid="{00000000-0004-0000-0000-00000A000000}"/>
    <hyperlink ref="A16" display=" Depreciation+" xr:uid="{00000000-0004-0000-0000-00000B000000}"/>
    <hyperlink ref="A22" display=" Deferred Tax+" xr:uid="{00000000-0004-0000-0000-00000E000000}"/>
  </hyperlinks>
  <pageMargins left="0.75" right="0.75" top="1" bottom="1" header="0.5" footer="0.5"/>
  <ignoredErrors>
    <ignoredError sqref="O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B9C3-1E66-4C52-A5F2-A82849DBC2B6}">
  <dimension ref="A3:P43"/>
  <sheetViews>
    <sheetView topLeftCell="A3" zoomScale="116" zoomScaleNormal="116" workbookViewId="0">
      <selection activeCell="N21" sqref="N21"/>
    </sheetView>
  </sheetViews>
  <sheetFormatPr baseColWidth="10" defaultColWidth="8.83203125" defaultRowHeight="15" x14ac:dyDescent="0.2"/>
  <cols>
    <col min="1" max="1" width="33" style="34" bestFit="1" customWidth="1"/>
    <col min="2" max="3" width="9.6640625" style="34" bestFit="1" customWidth="1"/>
    <col min="4" max="4" width="10.1640625" style="34" bestFit="1" customWidth="1"/>
    <col min="5" max="5" width="9.6640625" style="34" bestFit="1" customWidth="1"/>
    <col min="6" max="6" width="12" style="34" bestFit="1" customWidth="1"/>
    <col min="7" max="10" width="9.6640625" style="34" bestFit="1" customWidth="1"/>
    <col min="11" max="16" width="10" style="34" bestFit="1" customWidth="1"/>
    <col min="17" max="16384" width="8.83203125" style="34"/>
  </cols>
  <sheetData>
    <row r="3" spans="1:16" x14ac:dyDescent="0.2">
      <c r="A3" s="149" t="s">
        <v>21</v>
      </c>
    </row>
    <row r="4" spans="1:16" x14ac:dyDescent="0.2">
      <c r="A4" s="27" t="s">
        <v>22</v>
      </c>
      <c r="B4" s="28" t="s">
        <v>23</v>
      </c>
      <c r="C4" s="28" t="s">
        <v>24</v>
      </c>
      <c r="D4" s="28" t="s">
        <v>25</v>
      </c>
      <c r="E4" s="28" t="s">
        <v>58</v>
      </c>
      <c r="F4" s="28" t="s">
        <v>26</v>
      </c>
      <c r="G4" s="28" t="s">
        <v>27</v>
      </c>
      <c r="H4" s="28" t="s">
        <v>28</v>
      </c>
      <c r="I4" s="28" t="s">
        <v>29</v>
      </c>
      <c r="J4" s="28" t="s">
        <v>57</v>
      </c>
    </row>
    <row r="5" spans="1:16" x14ac:dyDescent="0.2">
      <c r="A5" s="33" t="s">
        <v>30</v>
      </c>
      <c r="B5" s="8">
        <f>[1]Sheet1!C31</f>
        <v>24539.75</v>
      </c>
      <c r="C5" s="8">
        <f>[1]Sheet1!D31</f>
        <v>25672.27</v>
      </c>
      <c r="D5" s="8">
        <f>[1]Sheet1!E31</f>
        <v>25740.12</v>
      </c>
      <c r="E5" s="8">
        <f>[1]Sheet1!F31</f>
        <v>40190.21</v>
      </c>
      <c r="F5" s="5">
        <f>E9</f>
        <v>39342</v>
      </c>
      <c r="G5" s="5">
        <f t="shared" ref="G5:J5" si="0">F9</f>
        <v>44344.658823529411</v>
      </c>
      <c r="H5" s="5">
        <f>G9</f>
        <v>53213.590588235289</v>
      </c>
      <c r="I5" s="5">
        <f t="shared" si="0"/>
        <v>60308.73599999999</v>
      </c>
      <c r="J5" s="5">
        <f t="shared" si="0"/>
        <v>69355.046399999977</v>
      </c>
    </row>
    <row r="6" spans="1:16" x14ac:dyDescent="0.2">
      <c r="A6" s="33" t="s">
        <v>31</v>
      </c>
      <c r="B6" s="8">
        <v>2335.9399999999987</v>
      </c>
      <c r="C6" s="8">
        <v>1445.0200000000004</v>
      </c>
      <c r="D6" s="8">
        <v>15798.500000000009</v>
      </c>
      <c r="E6" s="8">
        <v>999.72000000000116</v>
      </c>
      <c r="F6" s="5">
        <v>6776.4451764705882</v>
      </c>
      <c r="G6" s="5">
        <v>10997.475388235289</v>
      </c>
      <c r="H6" s="5">
        <v>9507.494851764699</v>
      </c>
      <c r="I6" s="5">
        <v>11820.512255999987</v>
      </c>
      <c r="J6" s="5">
        <v>5298.7255449600052</v>
      </c>
      <c r="K6" s="35"/>
    </row>
    <row r="7" spans="1:16" x14ac:dyDescent="0.2">
      <c r="A7" s="33" t="s">
        <v>32</v>
      </c>
      <c r="B7" s="3"/>
      <c r="C7" s="3"/>
      <c r="D7" s="3"/>
      <c r="E7" s="3"/>
      <c r="F7" s="5"/>
      <c r="G7" s="5"/>
      <c r="H7" s="5"/>
      <c r="I7" s="6"/>
      <c r="J7" s="6"/>
      <c r="K7" s="35"/>
      <c r="L7" s="35"/>
      <c r="M7" s="35"/>
      <c r="N7" s="35"/>
      <c r="O7" s="35"/>
    </row>
    <row r="8" spans="1:16" x14ac:dyDescent="0.2">
      <c r="A8" s="33" t="s">
        <v>90</v>
      </c>
      <c r="B8" s="7">
        <f>'Profit &amp; Loss'!H16</f>
        <v>1203.42</v>
      </c>
      <c r="C8" s="7">
        <f>'Profit &amp; Loss'!I16</f>
        <v>1377.17</v>
      </c>
      <c r="D8" s="7">
        <f>'Profit &amp; Loss'!J16</f>
        <v>1348.41</v>
      </c>
      <c r="E8" s="7">
        <f>'Profit &amp; Loss'!K16</f>
        <v>1847.93</v>
      </c>
      <c r="F8" s="12">
        <v>1773.7863529411766</v>
      </c>
      <c r="G8" s="12">
        <v>2128.5436235294114</v>
      </c>
      <c r="H8" s="12">
        <v>2412.3494399999995</v>
      </c>
      <c r="I8" s="12">
        <v>2774.2018559999992</v>
      </c>
      <c r="J8" s="12">
        <v>2871.2989209599991</v>
      </c>
      <c r="K8" s="36"/>
      <c r="L8" s="36"/>
      <c r="M8" s="36"/>
      <c r="N8" s="36"/>
      <c r="O8" s="36"/>
      <c r="P8" s="36"/>
    </row>
    <row r="9" spans="1:16" x14ac:dyDescent="0.2">
      <c r="A9" s="33" t="s">
        <v>33</v>
      </c>
      <c r="B9" s="29">
        <f>B5+B6-B7-B8</f>
        <v>25672.269999999997</v>
      </c>
      <c r="C9" s="29">
        <f t="shared" ref="C9:E9" si="1">C5+C6-C7-C8</f>
        <v>25740.120000000003</v>
      </c>
      <c r="D9" s="29">
        <f t="shared" si="1"/>
        <v>40190.210000000006</v>
      </c>
      <c r="E9" s="29">
        <f t="shared" si="1"/>
        <v>39342</v>
      </c>
      <c r="F9" s="13">
        <f>F5+F6-F8</f>
        <v>44344.658823529411</v>
      </c>
      <c r="G9" s="13">
        <f t="shared" ref="G9:J9" si="2">G5+G6-G8</f>
        <v>53213.590588235289</v>
      </c>
      <c r="H9" s="13">
        <f t="shared" si="2"/>
        <v>60308.73599999999</v>
      </c>
      <c r="I9" s="13">
        <f t="shared" si="2"/>
        <v>69355.046399999977</v>
      </c>
      <c r="J9" s="13">
        <f t="shared" si="2"/>
        <v>71782.473023999977</v>
      </c>
      <c r="L9" s="36"/>
      <c r="M9" s="36"/>
      <c r="N9" s="36"/>
      <c r="O9" s="36"/>
      <c r="P9" s="36"/>
    </row>
    <row r="10" spans="1:16" x14ac:dyDescent="0.2">
      <c r="B10" s="36">
        <f>'Profit &amp; Loss'!H5/Schedules!B9</f>
        <v>0.94810392692192791</v>
      </c>
      <c r="C10" s="36">
        <f>'Profit &amp; Loss'!I5/Schedules!C9</f>
        <v>0.97719979549434888</v>
      </c>
      <c r="D10" s="36">
        <f>'Profit &amp; Loss'!J5/Schedules!D9</f>
        <v>0.6313711722332378</v>
      </c>
      <c r="E10" s="36">
        <f>'Profit &amp; Loss'!K5/Schedules!E9</f>
        <v>0.79840374154847238</v>
      </c>
      <c r="F10" s="36">
        <v>0.85</v>
      </c>
      <c r="G10" s="36">
        <v>0.85</v>
      </c>
      <c r="H10" s="36">
        <v>0.9</v>
      </c>
      <c r="I10" s="36">
        <v>0.9</v>
      </c>
      <c r="J10" s="36">
        <v>1</v>
      </c>
      <c r="L10" s="36"/>
      <c r="M10" s="36"/>
      <c r="N10" s="36"/>
      <c r="O10" s="36"/>
      <c r="P10" s="36"/>
    </row>
    <row r="11" spans="1:16" x14ac:dyDescent="0.2">
      <c r="A11" s="149" t="s">
        <v>34</v>
      </c>
      <c r="F11" s="36"/>
      <c r="G11" s="36"/>
      <c r="H11" s="36"/>
      <c r="I11" s="36"/>
      <c r="J11" s="36"/>
      <c r="L11" s="35"/>
      <c r="M11" s="35"/>
      <c r="N11" s="35"/>
      <c r="O11" s="35"/>
      <c r="P11" s="35"/>
    </row>
    <row r="12" spans="1:16" x14ac:dyDescent="0.2">
      <c r="A12" s="27" t="s">
        <v>22</v>
      </c>
      <c r="B12" s="28" t="s">
        <v>23</v>
      </c>
      <c r="C12" s="28" t="s">
        <v>24</v>
      </c>
      <c r="D12" s="28" t="s">
        <v>25</v>
      </c>
      <c r="E12" s="28" t="s">
        <v>58</v>
      </c>
      <c r="F12" s="28" t="s">
        <v>26</v>
      </c>
      <c r="G12" s="28" t="s">
        <v>27</v>
      </c>
      <c r="H12" s="28" t="s">
        <v>28</v>
      </c>
      <c r="I12" s="28" t="s">
        <v>29</v>
      </c>
      <c r="J12" s="28" t="s">
        <v>57</v>
      </c>
      <c r="L12" s="36"/>
      <c r="M12" s="36"/>
      <c r="N12" s="36"/>
      <c r="O12" s="36"/>
      <c r="P12" s="36"/>
    </row>
    <row r="13" spans="1:16" x14ac:dyDescent="0.2">
      <c r="A13" s="33" t="s">
        <v>35</v>
      </c>
      <c r="B13" s="8">
        <f>[1]Sheet1!C13+[1]Sheet1!C19</f>
        <v>7556.59</v>
      </c>
      <c r="C13" s="8">
        <f>[1]Sheet1!D13+[1]Sheet1!D19</f>
        <v>7372.38</v>
      </c>
      <c r="D13" s="8">
        <f>[1]Sheet1!E13+[1]Sheet1!E19</f>
        <v>7450.02</v>
      </c>
      <c r="E13" s="8">
        <f>[1]Sheet1!F13+[1]Sheet1!F19</f>
        <v>18626.91</v>
      </c>
      <c r="F13" s="5">
        <f>E16</f>
        <v>18626.91</v>
      </c>
      <c r="G13" s="5">
        <f>F16</f>
        <v>24048.06614117647</v>
      </c>
      <c r="H13" s="5">
        <f t="shared" ref="H13:J13" si="3">G16</f>
        <v>32846.046451764705</v>
      </c>
      <c r="I13" s="5">
        <f t="shared" si="3"/>
        <v>40452.042333176461</v>
      </c>
      <c r="J13" s="5">
        <f t="shared" si="3"/>
        <v>49908.452137976448</v>
      </c>
      <c r="L13" s="35"/>
    </row>
    <row r="14" spans="1:16" x14ac:dyDescent="0.2">
      <c r="A14" s="33" t="s">
        <v>36</v>
      </c>
      <c r="B14" s="8"/>
      <c r="C14" s="3"/>
      <c r="D14" s="3">
        <f>D16-D13</f>
        <v>11176.89</v>
      </c>
      <c r="E14" s="3"/>
      <c r="F14" s="13">
        <f>F6*0.8</f>
        <v>5421.1561411764706</v>
      </c>
      <c r="G14" s="13">
        <f t="shared" ref="G14:J14" si="4">G6*0.8</f>
        <v>8797.9803105882311</v>
      </c>
      <c r="H14" s="13">
        <f t="shared" si="4"/>
        <v>7605.9958814117599</v>
      </c>
      <c r="I14" s="13">
        <f t="shared" si="4"/>
        <v>9456.4098047999905</v>
      </c>
      <c r="J14" s="13">
        <f t="shared" si="4"/>
        <v>4238.9804359680047</v>
      </c>
    </row>
    <row r="15" spans="1:16" x14ac:dyDescent="0.2">
      <c r="A15" s="33" t="s">
        <v>37</v>
      </c>
      <c r="B15" s="3">
        <f>B13-B16</f>
        <v>184.21000000000004</v>
      </c>
      <c r="C15" s="3">
        <f>C13-C16</f>
        <v>-77.640000000000327</v>
      </c>
      <c r="D15" s="3"/>
      <c r="E15" s="3"/>
      <c r="F15" s="5"/>
      <c r="G15" s="5"/>
      <c r="H15" s="5"/>
      <c r="I15" s="6"/>
      <c r="J15" s="6"/>
    </row>
    <row r="16" spans="1:16" x14ac:dyDescent="0.2">
      <c r="A16" s="33" t="s">
        <v>38</v>
      </c>
      <c r="B16" s="3">
        <f>C13</f>
        <v>7372.38</v>
      </c>
      <c r="C16" s="3">
        <f t="shared" ref="C16:D16" si="5">D13</f>
        <v>7450.02</v>
      </c>
      <c r="D16" s="3">
        <f t="shared" si="5"/>
        <v>18626.91</v>
      </c>
      <c r="E16" s="3">
        <f>E13</f>
        <v>18626.91</v>
      </c>
      <c r="F16" s="5">
        <f>F13+F14-F15</f>
        <v>24048.06614117647</v>
      </c>
      <c r="G16" s="5">
        <f t="shared" ref="G16:J16" si="6">G13+G14-G15</f>
        <v>32846.046451764705</v>
      </c>
      <c r="H16" s="5">
        <f t="shared" si="6"/>
        <v>40452.042333176461</v>
      </c>
      <c r="I16" s="5">
        <f t="shared" si="6"/>
        <v>49908.452137976448</v>
      </c>
      <c r="J16" s="5">
        <f t="shared" si="6"/>
        <v>54147.432573944454</v>
      </c>
      <c r="K16" s="35"/>
      <c r="L16" s="35"/>
      <c r="M16" s="35"/>
      <c r="N16" s="35"/>
      <c r="O16" s="35"/>
    </row>
    <row r="17" spans="1:15" x14ac:dyDescent="0.2">
      <c r="A17" s="33" t="s">
        <v>89</v>
      </c>
      <c r="B17" s="30">
        <f>'Profit &amp; Loss'!H18</f>
        <v>586.51</v>
      </c>
      <c r="C17" s="30">
        <f>'Profit &amp; Loss'!I18</f>
        <v>566.29999999999995</v>
      </c>
      <c r="D17" s="30">
        <f>'Profit &amp; Loss'!J18</f>
        <v>640.1</v>
      </c>
      <c r="E17" s="30">
        <f>'Profit &amp; Loss'!K18</f>
        <v>1232.75</v>
      </c>
      <c r="F17" s="31">
        <f>F16*F18</f>
        <v>1683.364629882353</v>
      </c>
      <c r="G17" s="31">
        <f t="shared" ref="G17:J17" si="7">G16*G18</f>
        <v>2299.2232516235294</v>
      </c>
      <c r="H17" s="31">
        <f t="shared" si="7"/>
        <v>2831.6429633223524</v>
      </c>
      <c r="I17" s="31">
        <f t="shared" si="7"/>
        <v>3493.5916496583518</v>
      </c>
      <c r="J17" s="31">
        <f t="shared" si="7"/>
        <v>3790.3202801761122</v>
      </c>
    </row>
    <row r="18" spans="1:15" x14ac:dyDescent="0.2">
      <c r="B18" s="37">
        <f>B17/[1]Sheet1!C17</f>
        <v>7.3466192349124437E-2</v>
      </c>
      <c r="C18" s="37">
        <f>C17/[1]Sheet1!D17</f>
        <v>7.4278691341410463E-2</v>
      </c>
      <c r="D18" s="37">
        <f>D17/[1]Sheet1!E17</f>
        <v>6.7459259391970866E-2</v>
      </c>
      <c r="E18" s="37">
        <f>E17/[1]Sheet1!F17</f>
        <v>6.3473208667883863E-2</v>
      </c>
      <c r="F18" s="38">
        <v>7.0000000000000007E-2</v>
      </c>
      <c r="G18" s="38">
        <v>7.0000000000000007E-2</v>
      </c>
      <c r="H18" s="38">
        <v>7.0000000000000007E-2</v>
      </c>
      <c r="I18" s="38">
        <v>7.0000000000000007E-2</v>
      </c>
      <c r="J18" s="38">
        <v>7.0000000000000007E-2</v>
      </c>
    </row>
    <row r="19" spans="1:15" x14ac:dyDescent="0.2">
      <c r="C19" s="35"/>
      <c r="D19" s="35"/>
      <c r="E19" s="35"/>
      <c r="F19" s="35"/>
      <c r="G19" s="35"/>
    </row>
    <row r="20" spans="1:15" x14ac:dyDescent="0.2">
      <c r="A20" s="149" t="s">
        <v>39</v>
      </c>
    </row>
    <row r="21" spans="1:15" x14ac:dyDescent="0.2">
      <c r="A21" s="27" t="s">
        <v>22</v>
      </c>
      <c r="B21" s="28" t="s">
        <v>23</v>
      </c>
      <c r="C21" s="28" t="s">
        <v>24</v>
      </c>
      <c r="D21" s="28" t="s">
        <v>25</v>
      </c>
      <c r="E21" s="28" t="s">
        <v>58</v>
      </c>
      <c r="F21" s="28" t="s">
        <v>26</v>
      </c>
      <c r="G21" s="28" t="s">
        <v>27</v>
      </c>
      <c r="H21" s="28" t="s">
        <v>28</v>
      </c>
      <c r="I21" s="28" t="s">
        <v>29</v>
      </c>
      <c r="J21" s="28" t="s">
        <v>57</v>
      </c>
    </row>
    <row r="22" spans="1:15" x14ac:dyDescent="0.2">
      <c r="A22" s="33" t="s">
        <v>40</v>
      </c>
      <c r="B22" s="3">
        <f>[1]Sheet1!C40</f>
        <v>1658.82</v>
      </c>
      <c r="C22" s="3">
        <f>[1]Sheet1!D40</f>
        <v>1928.21</v>
      </c>
      <c r="D22" s="3">
        <f>[1]Sheet1!E40</f>
        <v>1757.09</v>
      </c>
      <c r="E22" s="3">
        <f>[1]Sheet1!F40</f>
        <v>2227.96</v>
      </c>
      <c r="F22" s="5">
        <f>[1]Sheet1!G40</f>
        <v>5283.2533797260276</v>
      </c>
      <c r="G22" s="5">
        <f>[1]Sheet1!H40</f>
        <v>3730.1524284931493</v>
      </c>
      <c r="H22" s="5">
        <f>[1]Sheet1!I40</f>
        <v>7085.9345413698647</v>
      </c>
      <c r="I22" s="5">
        <f>[1]Sheet1!J40</f>
        <v>5352.5654739725996</v>
      </c>
      <c r="J22" s="5">
        <f>[1]Sheet1!K40</f>
        <v>8951.7095436712352</v>
      </c>
    </row>
    <row r="23" spans="1:15" x14ac:dyDescent="0.2">
      <c r="A23" s="33" t="s">
        <v>41</v>
      </c>
      <c r="B23" s="3">
        <f>[1]Sheet1!C39</f>
        <v>2949.12</v>
      </c>
      <c r="C23" s="3">
        <f>[1]Sheet1!D39</f>
        <v>2454.58</v>
      </c>
      <c r="D23" s="3">
        <f>[1]Sheet1!E39</f>
        <v>2400.64</v>
      </c>
      <c r="E23" s="3">
        <f>[1]Sheet1!F39</f>
        <v>3267.59</v>
      </c>
      <c r="F23" s="5">
        <f>[1]Sheet1!G39</f>
        <v>5527.6514246575334</v>
      </c>
      <c r="G23" s="5">
        <f>[1]Sheet1!H39</f>
        <v>4987.9886849315062</v>
      </c>
      <c r="H23" s="5">
        <f>[1]Sheet1!I39</f>
        <v>7630.7794465753432</v>
      </c>
      <c r="I23" s="5">
        <f>[1]Sheet1!J39</f>
        <v>6880.8039046575304</v>
      </c>
      <c r="J23" s="5">
        <f>[1]Sheet1!K39</f>
        <v>9807.5169492602745</v>
      </c>
    </row>
    <row r="24" spans="1:15" x14ac:dyDescent="0.2">
      <c r="A24" s="33" t="s">
        <v>42</v>
      </c>
      <c r="B24" s="3">
        <f>[1]Sheet1!C20</f>
        <v>2912.4</v>
      </c>
      <c r="C24" s="3">
        <f>[1]Sheet1!D20</f>
        <v>1717.25</v>
      </c>
      <c r="D24" s="3">
        <f>[1]Sheet1!E20</f>
        <v>1848.64</v>
      </c>
      <c r="E24" s="3">
        <f>[1]Sheet1!F20</f>
        <v>2504.0500000000002</v>
      </c>
      <c r="F24" s="5">
        <f>[1]Sheet1!G20</f>
        <v>3479.173809315067</v>
      </c>
      <c r="G24" s="5">
        <f>[1]Sheet1!H20</f>
        <v>5534.2319989041098</v>
      </c>
      <c r="H24" s="5">
        <f>[1]Sheet1!I20</f>
        <v>5281.8549709589042</v>
      </c>
      <c r="I24" s="5">
        <f>[1]Sheet1!J20</f>
        <v>9229.7283802739694</v>
      </c>
      <c r="J24" s="5">
        <f>[1]Sheet1!K20</f>
        <v>7458.5924736438355</v>
      </c>
    </row>
    <row r="25" spans="1:15" x14ac:dyDescent="0.2">
      <c r="A25" s="33" t="s">
        <v>43</v>
      </c>
      <c r="B25" s="4">
        <f t="shared" ref="B25:D25" si="8">B22+B23-B24</f>
        <v>1695.5399999999995</v>
      </c>
      <c r="C25" s="4">
        <f t="shared" si="8"/>
        <v>2665.54</v>
      </c>
      <c r="D25" s="4">
        <f t="shared" si="8"/>
        <v>2309.0899999999992</v>
      </c>
      <c r="E25" s="4">
        <f>E22+E23-E24</f>
        <v>2991.5</v>
      </c>
      <c r="F25" s="142">
        <f>F22+F23-F24</f>
        <v>7331.7309950684939</v>
      </c>
      <c r="G25" s="142">
        <f t="shared" ref="G25:J25" si="9">G22+G23-G24</f>
        <v>3183.9091145205457</v>
      </c>
      <c r="H25" s="142">
        <f t="shared" si="9"/>
        <v>9434.8590169863037</v>
      </c>
      <c r="I25" s="142">
        <f t="shared" si="9"/>
        <v>3003.6409983561607</v>
      </c>
      <c r="J25" s="142">
        <f t="shared" si="9"/>
        <v>11300.634019287674</v>
      </c>
      <c r="K25" s="36"/>
      <c r="L25" s="36"/>
      <c r="M25" s="36"/>
      <c r="N25" s="36"/>
      <c r="O25" s="36"/>
    </row>
    <row r="26" spans="1:15" x14ac:dyDescent="0.2">
      <c r="A26" s="33" t="s">
        <v>44</v>
      </c>
      <c r="B26" s="33"/>
      <c r="C26" s="39">
        <f>C25-B25</f>
        <v>970.00000000000045</v>
      </c>
      <c r="D26" s="39">
        <f t="shared" ref="D26:E26" si="10">D25-C25</f>
        <v>-356.45000000000073</v>
      </c>
      <c r="E26" s="39">
        <f t="shared" si="10"/>
        <v>682.41000000000076</v>
      </c>
      <c r="F26" s="39">
        <f>F25-E25</f>
        <v>4340.2309950684939</v>
      </c>
      <c r="G26" s="39">
        <f>G25-F25</f>
        <v>-4147.8218805479482</v>
      </c>
      <c r="H26" s="39">
        <f t="shared" ref="H26:J26" si="11">H25-G25</f>
        <v>6250.949902465758</v>
      </c>
      <c r="I26" s="39">
        <f t="shared" si="11"/>
        <v>-6431.218018630143</v>
      </c>
      <c r="J26" s="39">
        <f t="shared" si="11"/>
        <v>8296.9930209315135</v>
      </c>
    </row>
    <row r="28" spans="1:15" x14ac:dyDescent="0.2">
      <c r="A28" s="33" t="s">
        <v>45</v>
      </c>
      <c r="B28" s="32">
        <f>B43*(0.5/12)</f>
        <v>438.01166666666643</v>
      </c>
    </row>
    <row r="29" spans="1:15" x14ac:dyDescent="0.2">
      <c r="A29" s="33" t="s">
        <v>46</v>
      </c>
      <c r="B29" s="32">
        <v>0</v>
      </c>
    </row>
    <row r="30" spans="1:15" x14ac:dyDescent="0.2">
      <c r="K30" s="36"/>
      <c r="L30" s="36"/>
      <c r="M30" s="36"/>
      <c r="N30" s="36"/>
      <c r="O30" s="36"/>
    </row>
    <row r="31" spans="1:15" x14ac:dyDescent="0.2">
      <c r="A31" s="104" t="s">
        <v>47</v>
      </c>
      <c r="B31" s="141"/>
    </row>
    <row r="32" spans="1:15" x14ac:dyDescent="0.2">
      <c r="A32" s="33" t="s">
        <v>14</v>
      </c>
      <c r="B32" s="143">
        <v>0.3</v>
      </c>
    </row>
    <row r="33" spans="1:2" x14ac:dyDescent="0.2">
      <c r="A33" s="33" t="s">
        <v>48</v>
      </c>
      <c r="B33" s="144">
        <v>0.08</v>
      </c>
    </row>
    <row r="34" spans="1:2" x14ac:dyDescent="0.2">
      <c r="A34" s="33" t="s">
        <v>49</v>
      </c>
      <c r="B34" s="144">
        <v>0.14199999999999999</v>
      </c>
    </row>
    <row r="35" spans="1:2" x14ac:dyDescent="0.2">
      <c r="A35" s="33" t="s">
        <v>50</v>
      </c>
      <c r="B35" s="145">
        <v>1.33</v>
      </c>
    </row>
    <row r="36" spans="1:2" x14ac:dyDescent="0.2">
      <c r="A36" s="33" t="s">
        <v>51</v>
      </c>
      <c r="B36" s="146">
        <f>B33+B35*(B34-B33)</f>
        <v>0.16245999999999999</v>
      </c>
    </row>
    <row r="37" spans="1:2" x14ac:dyDescent="0.2">
      <c r="A37" s="33" t="s">
        <v>52</v>
      </c>
      <c r="B37" s="144">
        <v>8.5000000000000006E-2</v>
      </c>
    </row>
    <row r="38" spans="1:2" x14ac:dyDescent="0.2">
      <c r="A38" s="33" t="s">
        <v>53</v>
      </c>
      <c r="B38" s="146">
        <f>B37*(1-0.3)</f>
        <v>5.9499999999999997E-2</v>
      </c>
    </row>
    <row r="39" spans="1:2" x14ac:dyDescent="0.2">
      <c r="A39" s="149" t="s">
        <v>54</v>
      </c>
      <c r="B39" s="147">
        <v>0.79</v>
      </c>
    </row>
    <row r="40" spans="1:2" x14ac:dyDescent="0.2">
      <c r="A40" s="149" t="s">
        <v>55</v>
      </c>
      <c r="B40" s="150">
        <v>0.11872639557728092</v>
      </c>
    </row>
    <row r="41" spans="1:2" x14ac:dyDescent="0.2">
      <c r="A41" s="149" t="s">
        <v>56</v>
      </c>
      <c r="B41" s="151">
        <v>0.05</v>
      </c>
    </row>
    <row r="43" spans="1:2" x14ac:dyDescent="0.2">
      <c r="A43" s="33" t="s">
        <v>91</v>
      </c>
      <c r="B43" s="148">
        <v>10512.279999999995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FE3-5620-4113-B01F-F793814257E5}">
  <dimension ref="B2:I42"/>
  <sheetViews>
    <sheetView tabSelected="1" zoomScale="178" workbookViewId="0">
      <selection activeCell="H20" sqref="H20"/>
    </sheetView>
  </sheetViews>
  <sheetFormatPr baseColWidth="10" defaultColWidth="8.83203125" defaultRowHeight="15" x14ac:dyDescent="0.2"/>
  <cols>
    <col min="1" max="1" width="3.6640625" style="41" customWidth="1"/>
    <col min="2" max="2" width="38.83203125" style="41" bestFit="1" customWidth="1"/>
    <col min="3" max="3" width="11.6640625" style="41" bestFit="1" customWidth="1"/>
    <col min="4" max="7" width="9.33203125" style="41" bestFit="1" customWidth="1"/>
    <col min="8" max="8" width="10.33203125" style="41" bestFit="1" customWidth="1"/>
    <col min="9" max="9" width="10" style="41" bestFit="1" customWidth="1"/>
    <col min="10" max="16384" width="8.83203125" style="41"/>
  </cols>
  <sheetData>
    <row r="2" spans="2:9" x14ac:dyDescent="0.2">
      <c r="B2" s="68" t="s">
        <v>67</v>
      </c>
      <c r="C2" s="40"/>
    </row>
    <row r="3" spans="2:9" x14ac:dyDescent="0.2">
      <c r="D3" s="41">
        <v>1</v>
      </c>
      <c r="E3" s="41">
        <v>2</v>
      </c>
      <c r="F3" s="41">
        <v>3</v>
      </c>
      <c r="G3" s="41">
        <v>4</v>
      </c>
      <c r="H3" s="41">
        <v>5</v>
      </c>
    </row>
    <row r="4" spans="2:9" x14ac:dyDescent="0.2">
      <c r="B4" s="27" t="s">
        <v>22</v>
      </c>
      <c r="C4" s="27"/>
      <c r="D4" s="28" t="s">
        <v>26</v>
      </c>
      <c r="E4" s="28" t="s">
        <v>27</v>
      </c>
      <c r="F4" s="28" t="s">
        <v>28</v>
      </c>
      <c r="G4" s="28" t="s">
        <v>29</v>
      </c>
      <c r="H4" s="28" t="s">
        <v>57</v>
      </c>
    </row>
    <row r="5" spans="2:9" x14ac:dyDescent="0.2">
      <c r="B5" s="63" t="s">
        <v>62</v>
      </c>
      <c r="C5" s="64"/>
      <c r="D5" s="65">
        <f>'Profit &amp; Loss'!L17</f>
        <v>4375.4414682187071</v>
      </c>
      <c r="E5" s="65">
        <f>'Profit &amp; Loss'!M17</f>
        <v>5358.6452239197606</v>
      </c>
      <c r="F5" s="65">
        <f>'Profit &amp; Loss'!N17</f>
        <v>6699.2669297384491</v>
      </c>
      <c r="G5" s="65">
        <f>'Profit &amp; Loss'!O17</f>
        <v>7789.9621384277307</v>
      </c>
      <c r="H5" s="65">
        <f>'Profit &amp; Loss'!P17</f>
        <v>9377.4505599170188</v>
      </c>
    </row>
    <row r="6" spans="2:9" x14ac:dyDescent="0.2">
      <c r="B6" s="59" t="s">
        <v>68</v>
      </c>
      <c r="C6" s="62">
        <f>Schedules!B32</f>
        <v>0.3</v>
      </c>
      <c r="D6" s="44">
        <f>D5*$C$6</f>
        <v>1312.632440465612</v>
      </c>
      <c r="E6" s="44">
        <f t="shared" ref="E6:H6" si="0">E5*$C$6</f>
        <v>1607.5935671759282</v>
      </c>
      <c r="F6" s="44">
        <f t="shared" si="0"/>
        <v>2009.7800789215346</v>
      </c>
      <c r="G6" s="44">
        <f t="shared" si="0"/>
        <v>2336.988641528319</v>
      </c>
      <c r="H6" s="44">
        <f t="shared" si="0"/>
        <v>2813.2351679751055</v>
      </c>
    </row>
    <row r="7" spans="2:9" x14ac:dyDescent="0.2">
      <c r="B7" s="63" t="s">
        <v>69</v>
      </c>
      <c r="C7" s="64"/>
      <c r="D7" s="65">
        <f>D5-D6</f>
        <v>3062.8090277530951</v>
      </c>
      <c r="E7" s="65">
        <f t="shared" ref="E7:H7" si="1">E5-E6</f>
        <v>3751.0516567438326</v>
      </c>
      <c r="F7" s="65">
        <f t="shared" si="1"/>
        <v>4689.4868508169147</v>
      </c>
      <c r="G7" s="65">
        <f t="shared" si="1"/>
        <v>5452.9734968994117</v>
      </c>
      <c r="H7" s="65">
        <f t="shared" si="1"/>
        <v>6564.2153919419134</v>
      </c>
    </row>
    <row r="8" spans="2:9" x14ac:dyDescent="0.2">
      <c r="B8" s="59" t="s">
        <v>70</v>
      </c>
      <c r="C8" s="43"/>
      <c r="D8" s="44">
        <f>Schedules!F8</f>
        <v>1773.7863529411766</v>
      </c>
      <c r="E8" s="44">
        <f>Schedules!G8</f>
        <v>2128.5436235294114</v>
      </c>
      <c r="F8" s="44">
        <f>Schedules!H8</f>
        <v>2412.3494399999995</v>
      </c>
      <c r="G8" s="44">
        <f>Schedules!I8</f>
        <v>2774.2018559999992</v>
      </c>
      <c r="H8" s="44">
        <f>Schedules!J8</f>
        <v>2871.2989209599991</v>
      </c>
    </row>
    <row r="9" spans="2:9" x14ac:dyDescent="0.2">
      <c r="B9" s="59" t="s">
        <v>71</v>
      </c>
      <c r="C9" s="43"/>
      <c r="D9" s="44">
        <f>Schedules!F6</f>
        <v>6776.4451764705882</v>
      </c>
      <c r="E9" s="44">
        <f>Schedules!G6</f>
        <v>10997.475388235289</v>
      </c>
      <c r="F9" s="44">
        <f>Schedules!H6</f>
        <v>9507.494851764699</v>
      </c>
      <c r="G9" s="44">
        <f>Schedules!I6</f>
        <v>11820.512255999987</v>
      </c>
      <c r="H9" s="44">
        <f>Schedules!J6</f>
        <v>5298.7255449600052</v>
      </c>
    </row>
    <row r="10" spans="2:9" x14ac:dyDescent="0.2">
      <c r="B10" s="59" t="s">
        <v>72</v>
      </c>
      <c r="C10" s="43"/>
      <c r="D10" s="44">
        <f>Schedules!F26</f>
        <v>4340.2309950684939</v>
      </c>
      <c r="E10" s="44">
        <f>-Schedules!G26</f>
        <v>4147.8218805479482</v>
      </c>
      <c r="F10" s="44">
        <f>Schedules!H26</f>
        <v>6250.949902465758</v>
      </c>
      <c r="G10" s="44">
        <f>Schedules!I26</f>
        <v>-6431.218018630143</v>
      </c>
      <c r="H10" s="44">
        <f>-Schedules!J26</f>
        <v>-8296.9930209315135</v>
      </c>
    </row>
    <row r="11" spans="2:9" x14ac:dyDescent="0.2">
      <c r="B11" s="63" t="s">
        <v>73</v>
      </c>
      <c r="C11" s="66"/>
      <c r="D11" s="67">
        <f>D7+D8-D9-D10</f>
        <v>-6280.0807908448105</v>
      </c>
      <c r="E11" s="67">
        <f t="shared" ref="E11:H11" si="2">E7+E8-E9-E10</f>
        <v>-9265.7019885099926</v>
      </c>
      <c r="F11" s="67">
        <f t="shared" si="2"/>
        <v>-8656.6084634135423</v>
      </c>
      <c r="G11" s="67">
        <f t="shared" si="2"/>
        <v>2837.8811155295662</v>
      </c>
      <c r="H11" s="67">
        <f t="shared" si="2"/>
        <v>12433.781788873421</v>
      </c>
    </row>
    <row r="12" spans="2:9" x14ac:dyDescent="0.2">
      <c r="B12" s="59" t="s">
        <v>74</v>
      </c>
      <c r="C12" s="62">
        <v>0.06</v>
      </c>
      <c r="D12" s="44"/>
      <c r="E12" s="44"/>
      <c r="F12" s="44"/>
      <c r="G12" s="44"/>
      <c r="H12" s="44">
        <f>H11*(1+C12)/(C13-C12)</f>
        <v>224427.3391317176</v>
      </c>
    </row>
    <row r="13" spans="2:9" x14ac:dyDescent="0.2">
      <c r="B13" s="59" t="s">
        <v>75</v>
      </c>
      <c r="C13" s="62">
        <f>Schedules!B40</f>
        <v>0.11872639557728092</v>
      </c>
      <c r="D13" s="44">
        <f>1/(1+$C$13)^D3</f>
        <v>0.89387360837587448</v>
      </c>
      <c r="E13" s="44">
        <f t="shared" ref="E13:H13" si="3">1/(1+$C$13)^E3</f>
        <v>0.79901002775090635</v>
      </c>
      <c r="F13" s="44">
        <f t="shared" si="3"/>
        <v>0.71421397663421038</v>
      </c>
      <c r="G13" s="44">
        <f t="shared" si="3"/>
        <v>0.63841702444650417</v>
      </c>
      <c r="H13" s="44">
        <f t="shared" si="3"/>
        <v>0.57066412929058552</v>
      </c>
    </row>
    <row r="14" spans="2:9" x14ac:dyDescent="0.2">
      <c r="B14" s="59" t="s">
        <v>76</v>
      </c>
      <c r="D14" s="45">
        <f>D11*D13</f>
        <v>-5613.5984774044664</v>
      </c>
      <c r="E14" s="45">
        <f t="shared" ref="E14:G14" si="4">E11*E13</f>
        <v>-7403.3888029709969</v>
      </c>
      <c r="F14" s="45">
        <f t="shared" si="4"/>
        <v>-6182.6707548199474</v>
      </c>
      <c r="G14" s="45">
        <f t="shared" si="4"/>
        <v>1811.7516175093115</v>
      </c>
      <c r="H14" s="45">
        <f>SUM(H11:H12)*H13</f>
        <v>135168.14533294117</v>
      </c>
    </row>
    <row r="15" spans="2:9" x14ac:dyDescent="0.2">
      <c r="B15" s="42"/>
      <c r="D15" s="46"/>
      <c r="E15" s="46"/>
      <c r="F15" s="46"/>
      <c r="G15" s="46"/>
      <c r="H15" s="46"/>
    </row>
    <row r="16" spans="2:9" x14ac:dyDescent="0.2">
      <c r="B16" s="27" t="s">
        <v>77</v>
      </c>
      <c r="C16" s="69">
        <f>SUM(D14:H14)</f>
        <v>117780.23891525507</v>
      </c>
      <c r="I16" s="47"/>
    </row>
    <row r="17" spans="2:7" x14ac:dyDescent="0.2">
      <c r="B17" s="60" t="s">
        <v>78</v>
      </c>
      <c r="C17" s="61">
        <f>Schedules!F5</f>
        <v>39342</v>
      </c>
    </row>
    <row r="18" spans="2:7" x14ac:dyDescent="0.2">
      <c r="B18" s="60" t="s">
        <v>79</v>
      </c>
      <c r="C18" s="61">
        <f>Schedules!B28</f>
        <v>438.01166666666643</v>
      </c>
    </row>
    <row r="19" spans="2:7" x14ac:dyDescent="0.2">
      <c r="B19" s="60" t="s">
        <v>80</v>
      </c>
      <c r="C19" s="61">
        <v>0</v>
      </c>
    </row>
    <row r="20" spans="2:7" x14ac:dyDescent="0.2">
      <c r="B20" s="27" t="s">
        <v>81</v>
      </c>
      <c r="C20" s="69">
        <f>C16-C17+C18+C19</f>
        <v>78876.250581921748</v>
      </c>
    </row>
    <row r="23" spans="2:7" x14ac:dyDescent="0.2">
      <c r="B23" s="49"/>
      <c r="C23" s="47"/>
      <c r="D23" s="50"/>
      <c r="E23" s="50"/>
      <c r="F23" s="50"/>
      <c r="G23" s="50"/>
    </row>
    <row r="24" spans="2:7" x14ac:dyDescent="0.2">
      <c r="B24" s="49"/>
      <c r="C24" s="51"/>
    </row>
    <row r="25" spans="2:7" x14ac:dyDescent="0.2">
      <c r="B25" s="49"/>
      <c r="C25" s="52"/>
    </row>
    <row r="26" spans="2:7" x14ac:dyDescent="0.2">
      <c r="B26" s="49"/>
      <c r="C26" s="51"/>
    </row>
    <row r="27" spans="2:7" x14ac:dyDescent="0.2">
      <c r="B27" s="49"/>
      <c r="C27" s="52"/>
    </row>
    <row r="28" spans="2:7" x14ac:dyDescent="0.2">
      <c r="B28" s="49"/>
      <c r="C28" s="51"/>
      <c r="D28" s="53"/>
    </row>
    <row r="31" spans="2:7" x14ac:dyDescent="0.2">
      <c r="B31" s="53"/>
      <c r="C31" s="53"/>
      <c r="D31" s="54"/>
    </row>
    <row r="32" spans="2:7" x14ac:dyDescent="0.2">
      <c r="B32" s="53"/>
      <c r="C32" s="53"/>
      <c r="D32" s="54"/>
    </row>
    <row r="33" spans="2:4" x14ac:dyDescent="0.2">
      <c r="B33" s="53"/>
      <c r="C33" s="53"/>
      <c r="D33" s="55"/>
    </row>
    <row r="34" spans="2:4" x14ac:dyDescent="0.2">
      <c r="B34" s="53"/>
      <c r="C34" s="53"/>
      <c r="D34" s="55"/>
    </row>
    <row r="35" spans="2:4" x14ac:dyDescent="0.2">
      <c r="B35" s="53"/>
      <c r="C35" s="53"/>
      <c r="D35" s="55"/>
    </row>
    <row r="36" spans="2:4" x14ac:dyDescent="0.2">
      <c r="B36" s="53"/>
      <c r="C36" s="53"/>
      <c r="D36" s="55"/>
    </row>
    <row r="37" spans="2:4" x14ac:dyDescent="0.2">
      <c r="B37" s="53"/>
      <c r="C37" s="53"/>
      <c r="D37" s="56"/>
    </row>
    <row r="38" spans="2:4" x14ac:dyDescent="0.2">
      <c r="B38" s="53"/>
      <c r="C38" s="53"/>
      <c r="D38" s="57"/>
    </row>
    <row r="39" spans="2:4" x14ac:dyDescent="0.2">
      <c r="B39" s="53"/>
      <c r="C39" s="53"/>
      <c r="D39" s="58"/>
    </row>
    <row r="40" spans="2:4" x14ac:dyDescent="0.2">
      <c r="B40" s="53"/>
      <c r="C40" s="53"/>
      <c r="D40" s="57"/>
    </row>
    <row r="41" spans="2:4" x14ac:dyDescent="0.2">
      <c r="B41" s="53"/>
      <c r="C41" s="53"/>
      <c r="D41" s="55"/>
    </row>
    <row r="42" spans="2:4" x14ac:dyDescent="0.2">
      <c r="B42" s="53"/>
      <c r="C42" s="53"/>
      <c r="D42" s="55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411A-B1CB-464C-AF62-60C9C6002467}">
  <dimension ref="B1:H20"/>
  <sheetViews>
    <sheetView zoomScale="89" workbookViewId="0">
      <selection activeCell="C27" sqref="C27"/>
    </sheetView>
  </sheetViews>
  <sheetFormatPr baseColWidth="10" defaultColWidth="8.83203125" defaultRowHeight="15" x14ac:dyDescent="0.2"/>
  <cols>
    <col min="1" max="1" width="4" style="70" customWidth="1"/>
    <col min="2" max="2" width="31.5" style="75" bestFit="1" customWidth="1"/>
    <col min="3" max="3" width="11.1640625" style="75" bestFit="1" customWidth="1"/>
    <col min="4" max="8" width="16.5" style="75" customWidth="1"/>
    <col min="9" max="16384" width="8.83203125" style="70"/>
  </cols>
  <sheetData>
    <row r="1" spans="2:8" x14ac:dyDescent="0.2">
      <c r="B1" s="70"/>
      <c r="C1" s="70"/>
      <c r="D1" s="70"/>
      <c r="E1" s="70"/>
      <c r="F1" s="70"/>
      <c r="G1" s="70"/>
      <c r="H1" s="70"/>
    </row>
    <row r="2" spans="2:8" x14ac:dyDescent="0.2">
      <c r="B2" s="89" t="s">
        <v>88</v>
      </c>
      <c r="C2" s="70"/>
      <c r="D2" s="70"/>
      <c r="E2" s="70"/>
      <c r="F2" s="70"/>
      <c r="G2" s="70"/>
      <c r="H2" s="70"/>
    </row>
    <row r="3" spans="2:8" x14ac:dyDescent="0.2">
      <c r="B3" s="70"/>
      <c r="C3" s="70"/>
      <c r="D3" s="70">
        <v>1</v>
      </c>
      <c r="E3" s="70">
        <v>2</v>
      </c>
      <c r="F3" s="70">
        <v>3</v>
      </c>
      <c r="G3" s="70">
        <v>4</v>
      </c>
      <c r="H3" s="70">
        <v>5</v>
      </c>
    </row>
    <row r="4" spans="2:8" x14ac:dyDescent="0.2">
      <c r="B4" s="88" t="s">
        <v>22</v>
      </c>
      <c r="C4" s="9"/>
      <c r="D4" s="1" t="s">
        <v>26</v>
      </c>
      <c r="E4" s="1" t="s">
        <v>27</v>
      </c>
      <c r="F4" s="1" t="s">
        <v>28</v>
      </c>
      <c r="G4" s="1" t="s">
        <v>29</v>
      </c>
      <c r="H4" s="2" t="s">
        <v>57</v>
      </c>
    </row>
    <row r="5" spans="2:8" x14ac:dyDescent="0.2">
      <c r="B5" s="82" t="s">
        <v>87</v>
      </c>
      <c r="C5" s="77"/>
      <c r="D5" s="78">
        <f>SUM('Profit &amp; Loss'!L19,'Profit &amp; Loss'!L20)</f>
        <v>4384.1153646892953</v>
      </c>
      <c r="E5" s="78">
        <f>SUM('Profit &amp; Loss'!M19,'Profit &amp; Loss'!M20)</f>
        <v>5062.7359749785837</v>
      </c>
      <c r="F5" s="78">
        <f>SUM('Profit &amp; Loss'!N19,'Profit &amp; Loss'!N20)</f>
        <v>6188.3758921855078</v>
      </c>
      <c r="G5" s="78">
        <f>SUM('Profit &amp; Loss'!O19,'Profit &amp; Loss'!O20)</f>
        <v>6956.8946131947896</v>
      </c>
      <c r="H5" s="78">
        <f>SUM('Profit &amp; Loss'!P19,'Profit &amp; Loss'!P20)</f>
        <v>8512.2821356120767</v>
      </c>
    </row>
    <row r="6" spans="2:8" x14ac:dyDescent="0.2">
      <c r="B6" s="90" t="s">
        <v>86</v>
      </c>
      <c r="C6" s="57"/>
      <c r="D6" s="71">
        <f>'Profit &amp; Loss'!L21</f>
        <v>1315.2346094067886</v>
      </c>
      <c r="E6" s="71">
        <f>'Profit &amp; Loss'!M21</f>
        <v>1518.820792493575</v>
      </c>
      <c r="F6" s="71">
        <f>'Profit &amp; Loss'!N21</f>
        <v>1856.5127676556522</v>
      </c>
      <c r="G6" s="71">
        <f>'Profit &amp; Loss'!O21</f>
        <v>2087.0683839584367</v>
      </c>
      <c r="H6" s="71">
        <f>'Profit &amp; Loss'!P21</f>
        <v>2553.684640683623</v>
      </c>
    </row>
    <row r="7" spans="2:8" x14ac:dyDescent="0.2">
      <c r="B7" s="81" t="s">
        <v>85</v>
      </c>
      <c r="C7" s="73"/>
      <c r="D7" s="74">
        <f>D5-D6</f>
        <v>3068.8807552825065</v>
      </c>
      <c r="E7" s="74">
        <f t="shared" ref="E7:H7" si="0">E5-E6</f>
        <v>3543.9151824850087</v>
      </c>
      <c r="F7" s="74">
        <f t="shared" si="0"/>
        <v>4331.8631245298557</v>
      </c>
      <c r="G7" s="74">
        <f t="shared" si="0"/>
        <v>4869.8262292363524</v>
      </c>
      <c r="H7" s="74">
        <f t="shared" si="0"/>
        <v>5958.5974949284537</v>
      </c>
    </row>
    <row r="8" spans="2:8" x14ac:dyDescent="0.2">
      <c r="B8" s="90" t="s">
        <v>70</v>
      </c>
      <c r="C8" s="42"/>
      <c r="D8" s="48">
        <f>Schedules!F8</f>
        <v>1773.7863529411766</v>
      </c>
      <c r="E8" s="48">
        <f>Schedules!G8</f>
        <v>2128.5436235294114</v>
      </c>
      <c r="F8" s="48">
        <f>Schedules!H8</f>
        <v>2412.3494399999995</v>
      </c>
      <c r="G8" s="48">
        <f>Schedules!I8</f>
        <v>2774.2018559999992</v>
      </c>
      <c r="H8" s="48">
        <f>Schedules!J8</f>
        <v>2871.2989209599991</v>
      </c>
    </row>
    <row r="9" spans="2:8" x14ac:dyDescent="0.2">
      <c r="B9" s="90" t="s">
        <v>71</v>
      </c>
      <c r="C9" s="42"/>
      <c r="D9" s="44">
        <f>Schedules!F6</f>
        <v>6776.4451764705882</v>
      </c>
      <c r="E9" s="44">
        <f>Schedules!G6</f>
        <v>10997.475388235289</v>
      </c>
      <c r="F9" s="44">
        <f>Schedules!H6</f>
        <v>9507.494851764699</v>
      </c>
      <c r="G9" s="44">
        <f>Schedules!I6</f>
        <v>11820.512255999987</v>
      </c>
      <c r="H9" s="44">
        <f>Schedules!J6</f>
        <v>5298.7255449600052</v>
      </c>
    </row>
    <row r="10" spans="2:8" x14ac:dyDescent="0.2">
      <c r="B10" s="90" t="s">
        <v>72</v>
      </c>
      <c r="C10" s="42"/>
      <c r="D10" s="46">
        <f>Schedules!F26</f>
        <v>4340.2309950684939</v>
      </c>
      <c r="E10" s="46">
        <f>Schedules!G26</f>
        <v>-4147.8218805479482</v>
      </c>
      <c r="F10" s="46">
        <f>Schedules!H26</f>
        <v>6250.949902465758</v>
      </c>
      <c r="G10" s="46">
        <f>Schedules!I26</f>
        <v>-6431.218018630143</v>
      </c>
      <c r="H10" s="46">
        <f>Schedules!J26</f>
        <v>8296.9930209315135</v>
      </c>
    </row>
    <row r="11" spans="2:8" x14ac:dyDescent="0.2">
      <c r="B11" s="90" t="s">
        <v>84</v>
      </c>
      <c r="C11" s="42"/>
      <c r="D11" s="48">
        <f>Schedules!F14</f>
        <v>5421.1561411764706</v>
      </c>
      <c r="E11" s="48">
        <f>Schedules!G14</f>
        <v>8797.9803105882311</v>
      </c>
      <c r="F11" s="48">
        <f>Schedules!H14</f>
        <v>7605.9958814117599</v>
      </c>
      <c r="G11" s="48">
        <f>Schedules!I14</f>
        <v>9456.4098047999905</v>
      </c>
      <c r="H11" s="48">
        <f>Schedules!J14</f>
        <v>4238.9804359680047</v>
      </c>
    </row>
    <row r="12" spans="2:8" x14ac:dyDescent="0.2">
      <c r="B12" s="81" t="s">
        <v>73</v>
      </c>
      <c r="C12" s="73"/>
      <c r="D12" s="74">
        <f>D7+D8-D9+D10+D11</f>
        <v>7827.6090679980589</v>
      </c>
      <c r="E12" s="74">
        <f t="shared" ref="E12:H12" si="1">E7+E8-E9+E10+E11</f>
        <v>-674.85815218058633</v>
      </c>
      <c r="F12" s="74">
        <f t="shared" si="1"/>
        <v>11093.663496642674</v>
      </c>
      <c r="G12" s="74">
        <f t="shared" si="1"/>
        <v>-1151.2923845937876</v>
      </c>
      <c r="H12" s="74">
        <f t="shared" si="1"/>
        <v>16067.144327827966</v>
      </c>
    </row>
    <row r="13" spans="2:8" x14ac:dyDescent="0.2">
      <c r="B13" s="90" t="s">
        <v>83</v>
      </c>
      <c r="C13" s="79">
        <v>0.05</v>
      </c>
      <c r="D13" s="48"/>
      <c r="E13" s="48"/>
      <c r="F13" s="48"/>
      <c r="G13" s="48"/>
      <c r="H13" s="72">
        <f>H12*(1+C13)/(C14-C13)</f>
        <v>150013.35180703687</v>
      </c>
    </row>
    <row r="14" spans="2:8" ht="16" thickBot="1" x14ac:dyDescent="0.25">
      <c r="B14" s="90" t="s">
        <v>82</v>
      </c>
      <c r="C14" s="80">
        <f>Schedules!B36</f>
        <v>0.16245999999999999</v>
      </c>
      <c r="D14" s="48">
        <f>1/(1+$C$14)^D3</f>
        <v>0.86024465357947799</v>
      </c>
      <c r="E14" s="48">
        <f t="shared" ref="E14:H14" si="2">1/(1+$C$14)^E3</f>
        <v>0.74002086401207601</v>
      </c>
      <c r="F14" s="48">
        <f t="shared" si="2"/>
        <v>0.63659899180365431</v>
      </c>
      <c r="G14" s="48">
        <f t="shared" si="2"/>
        <v>0.54763087917317954</v>
      </c>
      <c r="H14" s="48">
        <f t="shared" si="2"/>
        <v>0.47109653594375678</v>
      </c>
    </row>
    <row r="15" spans="2:8" ht="16" thickBot="1" x14ac:dyDescent="0.25">
      <c r="B15" s="83" t="s">
        <v>76</v>
      </c>
      <c r="C15" s="84"/>
      <c r="D15" s="85">
        <f>D12*D14</f>
        <v>6733.6588510555712</v>
      </c>
      <c r="E15" s="85">
        <f t="shared" ref="E15:G15" si="3">E12*E14</f>
        <v>-499.40911286227055</v>
      </c>
      <c r="F15" s="85">
        <f t="shared" si="3"/>
        <v>7062.2149973717287</v>
      </c>
      <c r="G15" s="85">
        <f t="shared" si="3"/>
        <v>-630.48326076048227</v>
      </c>
      <c r="H15" s="86">
        <f>SUM(H13,H12)*H14</f>
        <v>78239.94641695531</v>
      </c>
    </row>
    <row r="17" spans="2:3" x14ac:dyDescent="0.2">
      <c r="B17" s="88" t="s">
        <v>81</v>
      </c>
      <c r="C17" s="87">
        <f>SUM(D15:H15)</f>
        <v>90905.927891759857</v>
      </c>
    </row>
    <row r="19" spans="2:3" x14ac:dyDescent="0.2">
      <c r="C19" s="76"/>
    </row>
    <row r="20" spans="2:3" x14ac:dyDescent="0.2">
      <c r="C20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1F74-FC95-4171-B117-C91E1EDD878A}">
  <dimension ref="A2:AD53"/>
  <sheetViews>
    <sheetView zoomScaleNormal="140" workbookViewId="0">
      <selection activeCell="K27" sqref="K27"/>
    </sheetView>
  </sheetViews>
  <sheetFormatPr baseColWidth="10" defaultColWidth="8.83203125" defaultRowHeight="15" x14ac:dyDescent="0.2"/>
  <cols>
    <col min="1" max="1" width="9.33203125" style="41" customWidth="1"/>
    <col min="2" max="2" width="48.33203125" style="41" bestFit="1" customWidth="1"/>
    <col min="3" max="3" width="11.33203125" style="41" customWidth="1"/>
    <col min="4" max="4" width="10.5" style="41" bestFit="1" customWidth="1"/>
    <col min="5" max="5" width="14" style="41" customWidth="1"/>
    <col min="6" max="25" width="8.83203125" style="41"/>
    <col min="26" max="26" width="11" style="41" bestFit="1" customWidth="1"/>
    <col min="27" max="27" width="10.5" style="41" bestFit="1" customWidth="1"/>
    <col min="28" max="30" width="8.83203125" style="41"/>
    <col min="31" max="31" width="10.5" style="41" bestFit="1" customWidth="1"/>
    <col min="32" max="16384" width="8.83203125" style="41"/>
  </cols>
  <sheetData>
    <row r="2" spans="1:30" ht="16" x14ac:dyDescent="0.2">
      <c r="B2" s="105" t="s">
        <v>143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30" x14ac:dyDescent="0.2">
      <c r="C3" s="95"/>
      <c r="D3" s="96"/>
    </row>
    <row r="4" spans="1:30" x14ac:dyDescent="0.2">
      <c r="B4" s="68" t="s">
        <v>142</v>
      </c>
      <c r="Q4" s="41">
        <v>93</v>
      </c>
      <c r="U4" s="40" t="s">
        <v>141</v>
      </c>
    </row>
    <row r="5" spans="1:30" x14ac:dyDescent="0.2">
      <c r="A5" s="103" t="s">
        <v>140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U5" s="40"/>
    </row>
    <row r="6" spans="1:30" ht="63" customHeight="1" x14ac:dyDescent="0.2">
      <c r="A6" s="14" t="s">
        <v>139</v>
      </c>
      <c r="B6" s="14" t="s">
        <v>138</v>
      </c>
      <c r="C6" s="14" t="s">
        <v>137</v>
      </c>
      <c r="D6" s="14" t="s">
        <v>136</v>
      </c>
      <c r="E6" s="14" t="s">
        <v>135</v>
      </c>
      <c r="F6" s="14" t="s">
        <v>134</v>
      </c>
      <c r="G6" s="14" t="s">
        <v>133</v>
      </c>
      <c r="H6" s="14" t="s">
        <v>132</v>
      </c>
      <c r="I6" s="14" t="s">
        <v>131</v>
      </c>
      <c r="J6" s="14" t="s">
        <v>130</v>
      </c>
      <c r="K6" s="14" t="s">
        <v>129</v>
      </c>
      <c r="L6" s="14" t="s">
        <v>128</v>
      </c>
      <c r="M6" s="14" t="s">
        <v>127</v>
      </c>
      <c r="N6" s="14" t="s">
        <v>126</v>
      </c>
      <c r="O6" s="14" t="s">
        <v>125</v>
      </c>
      <c r="P6" s="97"/>
      <c r="Q6" s="14" t="s">
        <v>108</v>
      </c>
      <c r="R6" s="14" t="s">
        <v>93</v>
      </c>
      <c r="S6" s="97"/>
      <c r="T6" s="97"/>
      <c r="U6" s="14" t="s">
        <v>124</v>
      </c>
      <c r="V6" s="14" t="s">
        <v>123</v>
      </c>
      <c r="W6" s="14" t="s">
        <v>122</v>
      </c>
    </row>
    <row r="7" spans="1:30" x14ac:dyDescent="0.2">
      <c r="A7" s="98">
        <v>1</v>
      </c>
      <c r="B7" s="42" t="s">
        <v>121</v>
      </c>
      <c r="C7" s="45">
        <v>231.23084837499999</v>
      </c>
      <c r="D7" s="45">
        <v>198.56452289999999</v>
      </c>
      <c r="E7" s="45">
        <v>45659.91</v>
      </c>
      <c r="F7" s="45">
        <v>24.12</v>
      </c>
      <c r="G7" s="45" t="s">
        <v>66</v>
      </c>
      <c r="H7" s="45">
        <v>6231.58</v>
      </c>
      <c r="I7" s="45">
        <f>E7+F7-H7</f>
        <v>39452.450000000004</v>
      </c>
      <c r="J7" s="45">
        <v>24011.54</v>
      </c>
      <c r="K7" s="45">
        <v>4192.96</v>
      </c>
      <c r="L7" s="45">
        <v>1368.42</v>
      </c>
      <c r="M7" s="45">
        <f>I7/J7</f>
        <v>1.643062044333683</v>
      </c>
      <c r="N7" s="45">
        <f>I7/K7</f>
        <v>9.4092121079142199</v>
      </c>
      <c r="O7" s="45">
        <f>E7/L7</f>
        <v>33.366882974525367</v>
      </c>
      <c r="Q7" s="41">
        <v>29.65</v>
      </c>
      <c r="R7" s="41">
        <f>I7/Q7</f>
        <v>1330.6053962900507</v>
      </c>
      <c r="U7" s="58">
        <v>24.12</v>
      </c>
      <c r="V7" s="55" t="s">
        <v>66</v>
      </c>
      <c r="W7" s="55" t="s">
        <v>66</v>
      </c>
    </row>
    <row r="8" spans="1:30" x14ac:dyDescent="0.2">
      <c r="A8" s="98">
        <v>2</v>
      </c>
      <c r="B8" s="42" t="s">
        <v>120</v>
      </c>
      <c r="C8" s="45">
        <v>141.75</v>
      </c>
      <c r="D8" s="45">
        <v>30.928220100000001</v>
      </c>
      <c r="E8" s="45">
        <f>D8*C8</f>
        <v>4384.0751991750003</v>
      </c>
      <c r="F8" s="45">
        <v>2978.82</v>
      </c>
      <c r="G8" s="45" t="s">
        <v>66</v>
      </c>
      <c r="H8" s="45">
        <v>53.54</v>
      </c>
      <c r="I8" s="45">
        <f>E8+F8-H8</f>
        <v>7309.3551991750001</v>
      </c>
      <c r="J8" s="45">
        <v>5432.27</v>
      </c>
      <c r="K8" s="45">
        <v>733.49999999999955</v>
      </c>
      <c r="L8" s="45">
        <v>99.63999999999956</v>
      </c>
      <c r="M8" s="45">
        <f>I8/J8</f>
        <v>1.3455434282859651</v>
      </c>
      <c r="N8" s="45">
        <f>I8/K8</f>
        <v>9.9650377630197742</v>
      </c>
      <c r="O8" s="45">
        <f>E8/L8</f>
        <v>43.999148927890602</v>
      </c>
      <c r="Q8" s="41">
        <v>13.8</v>
      </c>
      <c r="R8" s="41">
        <f>I8/Q8</f>
        <v>529.66342023007246</v>
      </c>
      <c r="U8" s="55"/>
      <c r="V8" s="55"/>
      <c r="W8" s="55"/>
    </row>
    <row r="9" spans="1:30" x14ac:dyDescent="0.2">
      <c r="A9" s="98">
        <v>3</v>
      </c>
      <c r="B9" s="42" t="s">
        <v>119</v>
      </c>
      <c r="C9" s="45">
        <v>17210.988333333331</v>
      </c>
      <c r="D9" s="95">
        <v>3.48</v>
      </c>
      <c r="E9" s="45">
        <v>60977.66</v>
      </c>
      <c r="F9" s="45">
        <v>3402.98</v>
      </c>
      <c r="G9" s="45" t="s">
        <v>66</v>
      </c>
      <c r="H9" s="45">
        <v>120.97</v>
      </c>
      <c r="I9" s="45">
        <v>64259.74</v>
      </c>
      <c r="J9" s="45">
        <v>10159.530000000001</v>
      </c>
      <c r="K9" s="45">
        <v>2472.7800000000002</v>
      </c>
      <c r="L9" s="45">
        <v>1355.67</v>
      </c>
      <c r="M9" s="45">
        <f>I9/J9</f>
        <v>6.3250701558044513</v>
      </c>
      <c r="N9" s="45">
        <f>I9/K9</f>
        <v>25.986840721778723</v>
      </c>
      <c r="O9" s="45">
        <f>E9/L9</f>
        <v>44.979722203781158</v>
      </c>
      <c r="Q9" s="41">
        <v>37.9</v>
      </c>
      <c r="R9" s="41">
        <f>I9/Q9</f>
        <v>1695.5076517150396</v>
      </c>
      <c r="U9" s="55"/>
      <c r="V9" s="55"/>
      <c r="W9" s="55"/>
    </row>
    <row r="10" spans="1:30" x14ac:dyDescent="0.2">
      <c r="A10" s="98">
        <v>4</v>
      </c>
      <c r="B10" s="42" t="s">
        <v>118</v>
      </c>
      <c r="C10" s="45">
        <v>931.61833333333334</v>
      </c>
      <c r="D10" s="45">
        <v>6.9927250000000001</v>
      </c>
      <c r="E10" s="45">
        <v>6514.550809958333</v>
      </c>
      <c r="F10" s="45">
        <v>2647.5299999999997</v>
      </c>
      <c r="G10" s="45" t="s">
        <v>66</v>
      </c>
      <c r="H10" s="45">
        <v>408.64</v>
      </c>
      <c r="I10" s="45">
        <f>E10+F10-H10</f>
        <v>8753.4408099583343</v>
      </c>
      <c r="J10" s="45">
        <v>3216.02</v>
      </c>
      <c r="K10" s="45">
        <v>352.71999999999969</v>
      </c>
      <c r="L10" s="45">
        <v>77.08</v>
      </c>
      <c r="M10" s="45">
        <f>I10/J10</f>
        <v>2.7218241211056942</v>
      </c>
      <c r="N10" s="45">
        <f>I10/K10</f>
        <v>24.816967594574571</v>
      </c>
      <c r="O10" s="45">
        <f>E10/L10</f>
        <v>84.51674636686991</v>
      </c>
      <c r="Q10" s="41">
        <v>7.5</v>
      </c>
      <c r="R10" s="41">
        <f>I10/Q10</f>
        <v>1167.1254413277779</v>
      </c>
      <c r="U10" s="55"/>
      <c r="V10" s="55"/>
      <c r="W10" s="55"/>
    </row>
    <row r="11" spans="1:30" x14ac:dyDescent="0.2">
      <c r="A11" s="2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91">
        <f>AVERAGE(M7:M10)</f>
        <v>3.0088749373824486</v>
      </c>
      <c r="N11" s="91">
        <f>AVERAGE(N7:N10)</f>
        <v>17.544514546821823</v>
      </c>
      <c r="O11" s="91">
        <f>AVERAGE(O7:O10)</f>
        <v>51.715625118266757</v>
      </c>
      <c r="Q11" s="41">
        <f>AVERAGE(Q7:Q10)</f>
        <v>22.212499999999999</v>
      </c>
      <c r="R11" s="41">
        <f>AVERAGE(R7:R10)</f>
        <v>1180.7254773907353</v>
      </c>
      <c r="AD11" s="99"/>
    </row>
    <row r="12" spans="1:30" x14ac:dyDescent="0.2">
      <c r="A12" s="28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91">
        <f>MEDIAN(M7:M10)</f>
        <v>2.1824430827196886</v>
      </c>
      <c r="N12" s="91">
        <f>MEDIAN(N7:N10)</f>
        <v>17.391002678797172</v>
      </c>
      <c r="O12" s="91">
        <f>MEDIAN(O7:O10)</f>
        <v>44.489435565835876</v>
      </c>
      <c r="Q12" s="41">
        <f>MEDIAN(Q7:Q10)</f>
        <v>21.725000000000001</v>
      </c>
      <c r="R12" s="41">
        <f>MEDIAN(R7:R10)</f>
        <v>1248.8654188089145</v>
      </c>
    </row>
    <row r="13" spans="1:30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100"/>
      <c r="N13" s="100"/>
      <c r="O13" s="100"/>
    </row>
    <row r="14" spans="1:30" x14ac:dyDescent="0.2">
      <c r="A14" s="106" t="s">
        <v>117</v>
      </c>
      <c r="B14" s="59" t="s">
        <v>116</v>
      </c>
      <c r="G14" s="42"/>
      <c r="H14" s="42"/>
      <c r="I14" s="42"/>
      <c r="J14" s="42"/>
      <c r="K14" s="42"/>
      <c r="L14" s="42"/>
      <c r="M14" s="42"/>
      <c r="N14" s="42"/>
      <c r="O14" s="42"/>
    </row>
    <row r="15" spans="1:30" x14ac:dyDescent="0.2">
      <c r="A15" s="42"/>
      <c r="B15" s="59" t="s">
        <v>99</v>
      </c>
      <c r="G15" s="42"/>
      <c r="H15" s="42"/>
      <c r="I15" s="42"/>
      <c r="J15" s="42"/>
      <c r="K15" s="42"/>
      <c r="L15" s="42"/>
      <c r="M15" s="42"/>
      <c r="N15" s="42"/>
      <c r="O15" s="42"/>
    </row>
    <row r="16" spans="1:30" x14ac:dyDescent="0.2">
      <c r="A16" s="42"/>
      <c r="B16" s="27" t="s">
        <v>98</v>
      </c>
      <c r="C16" s="28" t="s">
        <v>115</v>
      </c>
      <c r="D16" s="28" t="s">
        <v>107</v>
      </c>
      <c r="E16" s="28" t="s">
        <v>106</v>
      </c>
      <c r="G16" s="42"/>
      <c r="H16" s="42"/>
      <c r="I16" s="42"/>
      <c r="J16" s="42"/>
      <c r="K16" s="42"/>
      <c r="L16" s="42"/>
    </row>
    <row r="17" spans="1:23" x14ac:dyDescent="0.2">
      <c r="A17" s="42"/>
      <c r="B17" s="73" t="s">
        <v>105</v>
      </c>
      <c r="C17" s="110">
        <f>[2]PL!B5</f>
        <v>31410.799999999999</v>
      </c>
      <c r="D17" s="114">
        <f>M11</f>
        <v>3.0088749373824486</v>
      </c>
      <c r="E17" s="110"/>
      <c r="G17" s="42"/>
      <c r="H17" s="42"/>
      <c r="I17" s="42"/>
      <c r="J17" s="42"/>
      <c r="K17" s="42"/>
      <c r="L17" s="42"/>
      <c r="W17" s="55"/>
    </row>
    <row r="18" spans="1:23" x14ac:dyDescent="0.2">
      <c r="A18" s="42"/>
      <c r="B18" s="73" t="s">
        <v>104</v>
      </c>
      <c r="C18" s="73"/>
      <c r="D18" s="73"/>
      <c r="E18" s="107">
        <f>D17*C17</f>
        <v>94511.168883132617</v>
      </c>
      <c r="G18" s="42"/>
      <c r="H18" s="42"/>
      <c r="I18" s="42"/>
      <c r="J18" s="42"/>
      <c r="K18" s="42"/>
      <c r="L18" s="42"/>
    </row>
    <row r="19" spans="1:23" x14ac:dyDescent="0.2">
      <c r="A19" s="42"/>
      <c r="B19" s="77" t="s">
        <v>103</v>
      </c>
      <c r="C19" s="77"/>
      <c r="D19" s="77"/>
      <c r="E19" s="113">
        <f>[2]BS!B59</f>
        <v>19220.21</v>
      </c>
      <c r="G19" s="42"/>
      <c r="H19" s="42"/>
      <c r="I19" s="42"/>
      <c r="J19" s="42"/>
      <c r="K19" s="42"/>
      <c r="L19" s="42"/>
    </row>
    <row r="20" spans="1:23" x14ac:dyDescent="0.2">
      <c r="A20" s="42"/>
      <c r="B20" s="42" t="s">
        <v>102</v>
      </c>
      <c r="C20" s="42"/>
      <c r="D20" s="42"/>
      <c r="E20" s="58">
        <f>[2]BS!B37</f>
        <v>218.77</v>
      </c>
      <c r="G20" s="42"/>
      <c r="H20" s="42"/>
      <c r="I20" s="42"/>
      <c r="J20" s="42"/>
      <c r="K20" s="42"/>
      <c r="L20" s="42"/>
    </row>
    <row r="21" spans="1:23" x14ac:dyDescent="0.2">
      <c r="A21" s="42"/>
      <c r="B21" s="27" t="s">
        <v>97</v>
      </c>
      <c r="C21" s="28"/>
      <c r="D21" s="28"/>
      <c r="E21" s="92">
        <f>E18-E19+E20</f>
        <v>75509.728883132615</v>
      </c>
      <c r="G21" s="42"/>
      <c r="H21" s="42"/>
      <c r="I21" s="42"/>
      <c r="J21" s="42"/>
      <c r="K21" s="42"/>
      <c r="L21" s="42"/>
    </row>
    <row r="22" spans="1:23" x14ac:dyDescent="0.2">
      <c r="A22" s="42"/>
      <c r="E22" s="47"/>
      <c r="G22" s="42"/>
      <c r="H22" s="42"/>
      <c r="I22" s="42"/>
      <c r="J22" s="42"/>
      <c r="K22" s="42"/>
      <c r="L22" s="42"/>
    </row>
    <row r="23" spans="1:23" x14ac:dyDescent="0.2">
      <c r="A23" s="106" t="s">
        <v>114</v>
      </c>
      <c r="B23" s="59" t="s">
        <v>113</v>
      </c>
      <c r="E23" s="47"/>
    </row>
    <row r="24" spans="1:23" x14ac:dyDescent="0.2">
      <c r="A24" s="42"/>
      <c r="B24" s="59" t="s">
        <v>99</v>
      </c>
      <c r="E24" s="47"/>
    </row>
    <row r="25" spans="1:23" x14ac:dyDescent="0.2">
      <c r="A25" s="42"/>
      <c r="B25" s="27" t="s">
        <v>98</v>
      </c>
      <c r="C25" s="28" t="s">
        <v>61</v>
      </c>
      <c r="D25" s="28" t="s">
        <v>107</v>
      </c>
      <c r="E25" s="93" t="s">
        <v>106</v>
      </c>
    </row>
    <row r="26" spans="1:23" x14ac:dyDescent="0.2">
      <c r="A26" s="42"/>
      <c r="B26" s="73" t="s">
        <v>105</v>
      </c>
      <c r="C26" s="110">
        <f>[2]PL!B18</f>
        <v>6382.15</v>
      </c>
      <c r="D26" s="111">
        <f>N12</f>
        <v>17.391002678797172</v>
      </c>
      <c r="E26" s="109"/>
      <c r="H26" s="102"/>
    </row>
    <row r="27" spans="1:23" x14ac:dyDescent="0.2">
      <c r="A27" s="42"/>
      <c r="B27" s="73" t="s">
        <v>104</v>
      </c>
      <c r="C27" s="73"/>
      <c r="D27" s="73"/>
      <c r="E27" s="107">
        <f>D26*C26</f>
        <v>110991.98774648536</v>
      </c>
    </row>
    <row r="28" spans="1:23" x14ac:dyDescent="0.2">
      <c r="A28" s="42"/>
      <c r="B28" s="77" t="s">
        <v>103</v>
      </c>
      <c r="C28" s="77"/>
      <c r="D28" s="77"/>
      <c r="E28" s="113">
        <f>[2]BS!B59</f>
        <v>19220.21</v>
      </c>
    </row>
    <row r="29" spans="1:23" x14ac:dyDescent="0.2">
      <c r="A29" s="42"/>
      <c r="B29" s="42" t="s">
        <v>102</v>
      </c>
      <c r="C29" s="42"/>
      <c r="D29" s="42"/>
      <c r="E29" s="58">
        <f>[2]BS!B37</f>
        <v>218.77</v>
      </c>
    </row>
    <row r="30" spans="1:23" x14ac:dyDescent="0.2">
      <c r="A30" s="42"/>
      <c r="B30" s="27" t="s">
        <v>97</v>
      </c>
      <c r="C30" s="28"/>
      <c r="D30" s="28"/>
      <c r="E30" s="92">
        <f>E27+E29-E28</f>
        <v>91990.547746485361</v>
      </c>
    </row>
    <row r="31" spans="1:23" x14ac:dyDescent="0.2">
      <c r="A31" s="42"/>
      <c r="B31" s="42"/>
    </row>
    <row r="32" spans="1:23" x14ac:dyDescent="0.2">
      <c r="A32" s="106" t="s">
        <v>112</v>
      </c>
      <c r="B32" s="59" t="s">
        <v>111</v>
      </c>
    </row>
    <row r="33" spans="1:5" x14ac:dyDescent="0.2">
      <c r="A33" s="42"/>
      <c r="B33" s="59" t="s">
        <v>99</v>
      </c>
    </row>
    <row r="34" spans="1:5" x14ac:dyDescent="0.2">
      <c r="A34" s="42"/>
      <c r="B34" s="27" t="s">
        <v>98</v>
      </c>
      <c r="C34" s="28" t="s">
        <v>64</v>
      </c>
      <c r="D34" s="28" t="s">
        <v>107</v>
      </c>
      <c r="E34" s="28" t="s">
        <v>106</v>
      </c>
    </row>
    <row r="35" spans="1:5" x14ac:dyDescent="0.2">
      <c r="A35" s="42"/>
      <c r="B35" s="42" t="s">
        <v>105</v>
      </c>
      <c r="C35" s="58">
        <f>[2]PL!B32</f>
        <v>2375.96</v>
      </c>
      <c r="D35" s="101">
        <f>O12</f>
        <v>44.489435565835876</v>
      </c>
      <c r="E35" s="55">
        <f>D35*C35</f>
        <v>105705.11932700341</v>
      </c>
    </row>
    <row r="36" spans="1:5" x14ac:dyDescent="0.2">
      <c r="A36" s="42"/>
      <c r="B36" s="27"/>
      <c r="C36" s="28"/>
      <c r="D36" s="28"/>
      <c r="E36" s="94"/>
    </row>
    <row r="37" spans="1:5" x14ac:dyDescent="0.2">
      <c r="A37" s="42"/>
    </row>
    <row r="38" spans="1:5" x14ac:dyDescent="0.2">
      <c r="A38" s="106" t="s">
        <v>110</v>
      </c>
      <c r="B38" s="27" t="s">
        <v>109</v>
      </c>
      <c r="C38" s="27" t="s">
        <v>108</v>
      </c>
      <c r="D38" s="27" t="s">
        <v>107</v>
      </c>
      <c r="E38" s="27" t="s">
        <v>106</v>
      </c>
    </row>
    <row r="39" spans="1:5" x14ac:dyDescent="0.2">
      <c r="A39" s="42"/>
      <c r="B39" s="73" t="s">
        <v>105</v>
      </c>
      <c r="C39" s="110">
        <v>93</v>
      </c>
      <c r="D39" s="111">
        <f>R12</f>
        <v>1248.8654188089145</v>
      </c>
      <c r="E39" s="109"/>
    </row>
    <row r="40" spans="1:5" x14ac:dyDescent="0.2">
      <c r="A40" s="42"/>
      <c r="B40" s="77" t="s">
        <v>104</v>
      </c>
      <c r="C40" s="77"/>
      <c r="D40" s="77"/>
      <c r="E40" s="112">
        <f>D39*C39</f>
        <v>116144.48394922905</v>
      </c>
    </row>
    <row r="41" spans="1:5" x14ac:dyDescent="0.2">
      <c r="A41" s="42"/>
      <c r="B41" s="77" t="s">
        <v>103</v>
      </c>
      <c r="C41" s="77"/>
      <c r="D41" s="77"/>
      <c r="E41" s="113">
        <v>19220.21</v>
      </c>
    </row>
    <row r="42" spans="1:5" x14ac:dyDescent="0.2">
      <c r="A42" s="42"/>
      <c r="B42" s="73" t="s">
        <v>102</v>
      </c>
      <c r="C42" s="73"/>
      <c r="D42" s="73"/>
      <c r="E42" s="109">
        <v>218.77</v>
      </c>
    </row>
    <row r="43" spans="1:5" x14ac:dyDescent="0.2">
      <c r="A43" s="42"/>
      <c r="B43" s="27" t="s">
        <v>97</v>
      </c>
      <c r="C43" s="28"/>
      <c r="D43" s="28"/>
      <c r="E43" s="92">
        <f>E40+E42-E41</f>
        <v>97143.043949229061</v>
      </c>
    </row>
    <row r="44" spans="1:5" x14ac:dyDescent="0.2">
      <c r="A44" s="42"/>
    </row>
    <row r="45" spans="1:5" x14ac:dyDescent="0.2">
      <c r="A45" s="106" t="s">
        <v>101</v>
      </c>
      <c r="B45" s="59" t="s">
        <v>100</v>
      </c>
    </row>
    <row r="46" spans="1:5" x14ac:dyDescent="0.2">
      <c r="A46" s="98"/>
      <c r="B46" s="59" t="s">
        <v>99</v>
      </c>
    </row>
    <row r="47" spans="1:5" x14ac:dyDescent="0.2">
      <c r="B47" s="27" t="s">
        <v>98</v>
      </c>
      <c r="C47" s="28" t="s">
        <v>97</v>
      </c>
    </row>
    <row r="48" spans="1:5" x14ac:dyDescent="0.2">
      <c r="B48" s="73" t="s">
        <v>96</v>
      </c>
      <c r="C48" s="108">
        <f>E21</f>
        <v>75509.728883132615</v>
      </c>
    </row>
    <row r="49" spans="2:3" x14ac:dyDescent="0.2">
      <c r="B49" s="73" t="s">
        <v>95</v>
      </c>
      <c r="C49" s="108">
        <f>E30</f>
        <v>91990.547746485361</v>
      </c>
    </row>
    <row r="50" spans="2:3" x14ac:dyDescent="0.2">
      <c r="B50" s="42" t="s">
        <v>94</v>
      </c>
      <c r="C50" s="56">
        <f>E35</f>
        <v>105705.11932700341</v>
      </c>
    </row>
    <row r="51" spans="2:3" x14ac:dyDescent="0.2">
      <c r="B51" s="104" t="s">
        <v>92</v>
      </c>
      <c r="C51" s="116">
        <f>AVERAGE(C48:C50)</f>
        <v>91068.465318873801</v>
      </c>
    </row>
    <row r="52" spans="2:3" x14ac:dyDescent="0.2">
      <c r="B52" s="42" t="s">
        <v>93</v>
      </c>
      <c r="C52" s="56">
        <f>E43</f>
        <v>97143.043949229061</v>
      </c>
    </row>
    <row r="53" spans="2:3" x14ac:dyDescent="0.2">
      <c r="B53" s="104" t="s">
        <v>92</v>
      </c>
      <c r="C53" s="115">
        <f>AVERAGE(C52,C48:C50)</f>
        <v>92587.109976462627</v>
      </c>
    </row>
  </sheetData>
  <mergeCells count="2">
    <mergeCell ref="A5:O5"/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Profit &amp; Loss</vt:lpstr>
      <vt:lpstr>Schedules</vt:lpstr>
      <vt:lpstr>FCFF</vt:lpstr>
      <vt:lpstr>FCFE</vt:lpstr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Nandni</dc:creator>
  <cp:lastModifiedBy>kushagraghav17@gmail.com</cp:lastModifiedBy>
  <dcterms:created xsi:type="dcterms:W3CDTF">2018-09-15T14:53:59Z</dcterms:created>
  <dcterms:modified xsi:type="dcterms:W3CDTF">2021-07-12T05:27:17Z</dcterms:modified>
</cp:coreProperties>
</file>