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r\Downloads\"/>
    </mc:Choice>
  </mc:AlternateContent>
  <xr:revisionPtr revIDLastSave="0" documentId="13_ncr:1_{377D2DF1-8CF0-4F3E-9D4A-368CDE36F609}" xr6:coauthVersionLast="45" xr6:coauthVersionMax="45" xr10:uidLastSave="{00000000-0000-0000-0000-000000000000}"/>
  <bookViews>
    <workbookView xWindow="28680" yWindow="75" windowWidth="29040" windowHeight="15840" activeTab="7" xr2:uid="{E87CB95C-7265-4983-94F6-A49FA263B6C9}"/>
  </bookViews>
  <sheets>
    <sheet name="INV" sheetId="1" r:id="rId1"/>
    <sheet name="In + Am" sheetId="2" r:id="rId2"/>
    <sheet name="Prihodi" sheetId="3" r:id="rId3"/>
    <sheet name="Zalihe" sheetId="4" r:id="rId4"/>
    <sheet name="Rashodi" sheetId="5" r:id="rId5"/>
    <sheet name="Kredit" sheetId="6" r:id="rId6"/>
    <sheet name="RDG" sheetId="7" r:id="rId7"/>
    <sheet name="TOBS" sheetId="8" r:id="rId8"/>
    <sheet name="ET i F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9" l="1"/>
  <c r="G11" i="9"/>
  <c r="F11" i="9"/>
  <c r="E11" i="9"/>
  <c r="D11" i="9"/>
  <c r="H32" i="5" l="1"/>
  <c r="G32" i="5"/>
  <c r="F32" i="5"/>
  <c r="E32" i="5"/>
  <c r="D32" i="5"/>
  <c r="C32" i="5"/>
  <c r="H25" i="5"/>
  <c r="G25" i="5"/>
  <c r="F25" i="5"/>
  <c r="H19" i="5"/>
  <c r="G19" i="5"/>
  <c r="F19" i="5"/>
  <c r="H13" i="5"/>
  <c r="G13" i="5"/>
  <c r="F13" i="5"/>
  <c r="H22" i="4"/>
  <c r="G22" i="4"/>
  <c r="F22" i="4"/>
  <c r="H16" i="4"/>
  <c r="G16" i="4"/>
  <c r="F16" i="4"/>
  <c r="H10" i="4"/>
  <c r="G10" i="4"/>
  <c r="F10" i="4"/>
  <c r="E16" i="2"/>
  <c r="F27" i="2"/>
  <c r="E27" i="2"/>
  <c r="J27" i="2"/>
  <c r="I27" i="2"/>
  <c r="H27" i="2"/>
  <c r="G28" i="2"/>
  <c r="G27" i="2"/>
  <c r="E13" i="8"/>
  <c r="L14" i="9"/>
  <c r="L12" i="9" s="1"/>
  <c r="C26" i="2"/>
  <c r="C23" i="2"/>
  <c r="C22" i="2"/>
  <c r="C16" i="2"/>
  <c r="C15" i="2"/>
  <c r="C14" i="2"/>
  <c r="M14" i="9"/>
  <c r="M12" i="9" s="1"/>
  <c r="N14" i="9"/>
  <c r="N12" i="9" s="1"/>
  <c r="O14" i="9"/>
  <c r="P14" i="9"/>
  <c r="E20" i="1"/>
  <c r="O12" i="9"/>
  <c r="P12" i="9"/>
  <c r="C5" i="2" l="1"/>
  <c r="C4" i="2"/>
  <c r="J11" i="1"/>
  <c r="E19" i="1"/>
  <c r="C32" i="1"/>
  <c r="L37" i="9" l="1"/>
  <c r="C38" i="9"/>
  <c r="C37" i="9"/>
  <c r="C23" i="9"/>
  <c r="C15" i="9"/>
  <c r="C24" i="9" l="1"/>
  <c r="K18" i="9" l="1"/>
  <c r="M17" i="9"/>
  <c r="N17" i="9"/>
  <c r="O17" i="9"/>
  <c r="P17" i="9"/>
  <c r="K17" i="9"/>
  <c r="L17" i="9"/>
  <c r="L18" i="9" s="1"/>
  <c r="L4" i="9"/>
  <c r="M4" i="9"/>
  <c r="N4" i="9"/>
  <c r="O4" i="9"/>
  <c r="P4" i="9"/>
  <c r="K4" i="9"/>
  <c r="D9" i="9"/>
  <c r="D14" i="9" s="1"/>
  <c r="H14" i="9"/>
  <c r="H23" i="9" s="1"/>
  <c r="C14" i="9"/>
  <c r="E9" i="9"/>
  <c r="E14" i="9" s="1"/>
  <c r="F9" i="9"/>
  <c r="F14" i="9" s="1"/>
  <c r="G9" i="9"/>
  <c r="G14" i="9" s="1"/>
  <c r="G23" i="9" s="1"/>
  <c r="H9" i="9"/>
  <c r="C9" i="9"/>
  <c r="D4" i="9"/>
  <c r="E4" i="9"/>
  <c r="F4" i="9"/>
  <c r="G4" i="9"/>
  <c r="H4" i="9"/>
  <c r="C4" i="9"/>
  <c r="I10" i="8"/>
  <c r="I13" i="8" s="1"/>
  <c r="J10" i="8"/>
  <c r="J13" i="8" s="1"/>
  <c r="I11" i="8"/>
  <c r="J11" i="8"/>
  <c r="I12" i="8"/>
  <c r="J12" i="8"/>
  <c r="F12" i="8"/>
  <c r="G12" i="8"/>
  <c r="H12" i="8"/>
  <c r="E12" i="8"/>
  <c r="F11" i="8"/>
  <c r="G11" i="8"/>
  <c r="H11" i="8"/>
  <c r="E11" i="8"/>
  <c r="G10" i="8"/>
  <c r="H10" i="8"/>
  <c r="F10" i="8"/>
  <c r="E10" i="8"/>
  <c r="D12" i="8"/>
  <c r="D21" i="7"/>
  <c r="E21" i="7"/>
  <c r="F21" i="7"/>
  <c r="G21" i="7"/>
  <c r="C21" i="7"/>
  <c r="D17" i="7"/>
  <c r="E17" i="7"/>
  <c r="F17" i="7"/>
  <c r="G17" i="7"/>
  <c r="C17" i="7"/>
  <c r="G21" i="3"/>
  <c r="G20" i="3"/>
  <c r="C40" i="7"/>
  <c r="C35" i="7"/>
  <c r="G39" i="7" s="1"/>
  <c r="D7" i="2"/>
  <c r="E7" i="2"/>
  <c r="C7" i="2"/>
  <c r="J18" i="7" s="1"/>
  <c r="F13" i="7"/>
  <c r="F14" i="7" s="1"/>
  <c r="F15" i="7" s="1"/>
  <c r="C13" i="7"/>
  <c r="C14" i="7" s="1"/>
  <c r="C15" i="7" s="1"/>
  <c r="C12" i="7"/>
  <c r="D12" i="7"/>
  <c r="E12" i="7"/>
  <c r="F12" i="7"/>
  <c r="G12" i="7"/>
  <c r="D9" i="7"/>
  <c r="D13" i="7" s="1"/>
  <c r="D14" i="7" s="1"/>
  <c r="D15" i="7" s="1"/>
  <c r="E9" i="7"/>
  <c r="E13" i="7" s="1"/>
  <c r="E14" i="7" s="1"/>
  <c r="E15" i="7" s="1"/>
  <c r="F9" i="7"/>
  <c r="G9" i="7"/>
  <c r="G13" i="7" s="1"/>
  <c r="C9" i="7"/>
  <c r="C9" i="6"/>
  <c r="K17" i="6" s="1"/>
  <c r="I18" i="6" s="1"/>
  <c r="C12" i="6"/>
  <c r="G34" i="5"/>
  <c r="H34" i="5"/>
  <c r="D34" i="5"/>
  <c r="E34" i="5"/>
  <c r="F34" i="5"/>
  <c r="C34" i="5"/>
  <c r="I24" i="2"/>
  <c r="J24" i="2"/>
  <c r="K24" i="2"/>
  <c r="C24" i="2"/>
  <c r="F23" i="2"/>
  <c r="G23" i="2"/>
  <c r="H23" i="2"/>
  <c r="I23" i="2"/>
  <c r="J23" i="2"/>
  <c r="E23" i="2"/>
  <c r="G22" i="2"/>
  <c r="H22" i="2"/>
  <c r="F22" i="2"/>
  <c r="E22" i="2"/>
  <c r="E24" i="2" s="1"/>
  <c r="F20" i="2"/>
  <c r="G20" i="2" s="1"/>
  <c r="H20" i="2" s="1"/>
  <c r="I20" i="2" s="1"/>
  <c r="J20" i="2" s="1"/>
  <c r="E17" i="1"/>
  <c r="F37" i="9" l="1"/>
  <c r="F23" i="9"/>
  <c r="E37" i="9"/>
  <c r="E23" i="9"/>
  <c r="D15" i="9"/>
  <c r="E15" i="9" s="1"/>
  <c r="F15" i="9" s="1"/>
  <c r="G15" i="9" s="1"/>
  <c r="H15" i="9" s="1"/>
  <c r="C17" i="9"/>
  <c r="D37" i="9"/>
  <c r="D38" i="9" s="1"/>
  <c r="C30" i="9"/>
  <c r="G29" i="9"/>
  <c r="D23" i="9"/>
  <c r="H24" i="2"/>
  <c r="F24" i="2"/>
  <c r="G24" i="2"/>
  <c r="E26" i="2"/>
  <c r="C28" i="2"/>
  <c r="E28" i="2"/>
  <c r="M18" i="9"/>
  <c r="N18" i="9" s="1"/>
  <c r="O18" i="9" s="1"/>
  <c r="P18" i="9" s="1"/>
  <c r="E19" i="7"/>
  <c r="D29" i="7"/>
  <c r="F19" i="7"/>
  <c r="G19" i="7"/>
  <c r="C19" i="7"/>
  <c r="D19" i="7"/>
  <c r="G13" i="8"/>
  <c r="H13" i="8"/>
  <c r="F13" i="8"/>
  <c r="G14" i="7"/>
  <c r="G15" i="7"/>
  <c r="C43" i="7"/>
  <c r="G36" i="7"/>
  <c r="D25" i="7"/>
  <c r="D27" i="7"/>
  <c r="D31" i="7"/>
  <c r="C5" i="6"/>
  <c r="H18" i="6" s="1"/>
  <c r="G18" i="6"/>
  <c r="G19" i="6" s="1"/>
  <c r="G20" i="6" s="1"/>
  <c r="H19" i="6" l="1"/>
  <c r="H20" i="6" s="1"/>
  <c r="E38" i="9"/>
  <c r="F38" i="9" s="1"/>
  <c r="L36" i="9"/>
  <c r="L35" i="9" s="1"/>
  <c r="C29" i="9"/>
  <c r="C25" i="9"/>
  <c r="D24" i="9"/>
  <c r="E24" i="9" s="1"/>
  <c r="F24" i="9" s="1"/>
  <c r="G24" i="9" s="1"/>
  <c r="H24" i="9" s="1"/>
  <c r="F26" i="2"/>
  <c r="F28" i="2"/>
  <c r="G26" i="2"/>
  <c r="J18" i="6"/>
  <c r="G21" i="6"/>
  <c r="H21" i="6"/>
  <c r="K18" i="6" l="1"/>
  <c r="I19" i="6" s="1"/>
  <c r="H26" i="2"/>
  <c r="H22" i="6"/>
  <c r="G22" i="6"/>
  <c r="J19" i="6" l="1"/>
  <c r="I26" i="2"/>
  <c r="H28" i="2"/>
  <c r="G23" i="6"/>
  <c r="H23" i="6"/>
  <c r="K19" i="6" l="1"/>
  <c r="I28" i="2"/>
  <c r="J26" i="2"/>
  <c r="H24" i="6"/>
  <c r="G24" i="6"/>
  <c r="I20" i="6" l="1"/>
  <c r="K26" i="2"/>
  <c r="K28" i="2" s="1"/>
  <c r="J28" i="2"/>
  <c r="H25" i="6"/>
  <c r="G25" i="6"/>
  <c r="J20" i="6" l="1"/>
  <c r="G26" i="6"/>
  <c r="H26" i="6"/>
  <c r="K20" i="6" l="1"/>
  <c r="I21" i="6" s="1"/>
  <c r="G27" i="6"/>
  <c r="H27" i="6"/>
  <c r="J21" i="6" l="1"/>
  <c r="H28" i="6"/>
  <c r="G28" i="6"/>
  <c r="K21" i="6" l="1"/>
  <c r="I22" i="6" s="1"/>
  <c r="G29" i="6"/>
  <c r="H29" i="6"/>
  <c r="J22" i="6" l="1"/>
  <c r="H30" i="6"/>
  <c r="G30" i="6"/>
  <c r="K22" i="6" l="1"/>
  <c r="I23" i="6" s="1"/>
  <c r="J23" i="6" s="1"/>
  <c r="K23" i="6" s="1"/>
  <c r="I24" i="6" s="1"/>
  <c r="J24" i="6" s="1"/>
  <c r="K24" i="6" s="1"/>
  <c r="I25" i="6" s="1"/>
  <c r="J25" i="6" s="1"/>
  <c r="K25" i="6" s="1"/>
  <c r="H31" i="6"/>
  <c r="G31" i="6"/>
  <c r="I26" i="6" l="1"/>
  <c r="J26" i="6" s="1"/>
  <c r="K26" i="6" s="1"/>
  <c r="G32" i="6"/>
  <c r="H32" i="6"/>
  <c r="I27" i="6" l="1"/>
  <c r="J27" i="6" s="1"/>
  <c r="K27" i="6"/>
  <c r="I28" i="6" s="1"/>
  <c r="J28" i="6" s="1"/>
  <c r="K28" i="6" s="1"/>
  <c r="I29" i="6" s="1"/>
  <c r="H33" i="6"/>
  <c r="G33" i="6"/>
  <c r="H12" i="6" l="1"/>
  <c r="J29" i="6"/>
  <c r="G34" i="6"/>
  <c r="H34" i="6"/>
  <c r="K29" i="6" l="1"/>
  <c r="H11" i="6"/>
  <c r="H35" i="6"/>
  <c r="G35" i="6"/>
  <c r="H13" i="6" l="1"/>
  <c r="I30" i="6"/>
  <c r="G36" i="6"/>
  <c r="H36" i="6"/>
  <c r="J30" i="6" l="1"/>
  <c r="H37" i="6"/>
  <c r="G37" i="6"/>
  <c r="K30" i="6" l="1"/>
  <c r="I31" i="6" s="1"/>
  <c r="H38" i="6"/>
  <c r="G38" i="6"/>
  <c r="J31" i="6" l="1"/>
  <c r="G39" i="6"/>
  <c r="H39" i="6"/>
  <c r="K31" i="6" l="1"/>
  <c r="I32" i="6" s="1"/>
  <c r="H40" i="6"/>
  <c r="G40" i="6"/>
  <c r="J32" i="6" l="1"/>
  <c r="G41" i="6"/>
  <c r="H41" i="6"/>
  <c r="K32" i="6" l="1"/>
  <c r="I33" i="6" s="1"/>
  <c r="H42" i="6"/>
  <c r="G42" i="6"/>
  <c r="J33" i="6" l="1"/>
  <c r="G43" i="6"/>
  <c r="H43" i="6"/>
  <c r="K33" i="6" l="1"/>
  <c r="I34" i="6" s="1"/>
  <c r="H44" i="6"/>
  <c r="G44" i="6"/>
  <c r="J34" i="6" l="1"/>
  <c r="G45" i="6"/>
  <c r="H45" i="6"/>
  <c r="K34" i="6" l="1"/>
  <c r="I35" i="6" s="1"/>
  <c r="J35" i="6" s="1"/>
  <c r="K35" i="6" s="1"/>
  <c r="H46" i="6"/>
  <c r="G46" i="6"/>
  <c r="I36" i="6" l="1"/>
  <c r="J36" i="6" s="1"/>
  <c r="K36" i="6"/>
  <c r="I37" i="6" s="1"/>
  <c r="J37" i="6" s="1"/>
  <c r="K37" i="6" s="1"/>
  <c r="I38" i="6" s="1"/>
  <c r="J38" i="6" s="1"/>
  <c r="K38" i="6" s="1"/>
  <c r="I39" i="6" s="1"/>
  <c r="J39" i="6" s="1"/>
  <c r="K39" i="6" s="1"/>
  <c r="I40" i="6" s="1"/>
  <c r="J40" i="6" s="1"/>
  <c r="K40" i="6" s="1"/>
  <c r="I41" i="6" s="1"/>
  <c r="H47" i="6"/>
  <c r="G47" i="6"/>
  <c r="J41" i="6" l="1"/>
  <c r="I12" i="6"/>
  <c r="G48" i="6"/>
  <c r="H48" i="6"/>
  <c r="K41" i="6" l="1"/>
  <c r="I42" i="6" s="1"/>
  <c r="I11" i="6"/>
  <c r="H49" i="6"/>
  <c r="G49" i="6"/>
  <c r="J42" i="6" l="1"/>
  <c r="I13" i="6"/>
  <c r="G50" i="6"/>
  <c r="H50" i="6"/>
  <c r="K42" i="6" l="1"/>
  <c r="I43" i="6" s="1"/>
  <c r="H51" i="6"/>
  <c r="G51" i="6"/>
  <c r="J43" i="6" l="1"/>
  <c r="G52" i="6"/>
  <c r="H52" i="6"/>
  <c r="K43" i="6" l="1"/>
  <c r="I44" i="6" s="1"/>
  <c r="H53" i="6"/>
  <c r="H54" i="6" s="1"/>
  <c r="G53" i="6"/>
  <c r="J44" i="6" l="1"/>
  <c r="K44" i="6" l="1"/>
  <c r="I45" i="6" s="1"/>
  <c r="J45" i="6" l="1"/>
  <c r="K45" i="6" l="1"/>
  <c r="I46" i="6" s="1"/>
  <c r="J46" i="6" l="1"/>
  <c r="K46" i="6" l="1"/>
  <c r="I47" i="6" s="1"/>
  <c r="J47" i="6" s="1"/>
  <c r="K47" i="6" s="1"/>
  <c r="I48" i="6" l="1"/>
  <c r="J48" i="6" s="1"/>
  <c r="K48" i="6"/>
  <c r="I49" i="6" s="1"/>
  <c r="J49" i="6" s="1"/>
  <c r="K49" i="6" s="1"/>
  <c r="I50" i="6" l="1"/>
  <c r="J50" i="6" s="1"/>
  <c r="K50" i="6"/>
  <c r="I51" i="6" s="1"/>
  <c r="J51" i="6" s="1"/>
  <c r="K51" i="6" s="1"/>
  <c r="I52" i="6" l="1"/>
  <c r="J52" i="6" s="1"/>
  <c r="K52" i="6"/>
  <c r="I53" i="6" s="1"/>
  <c r="I54" i="6" l="1"/>
  <c r="J53" i="6"/>
  <c r="J12" i="6"/>
  <c r="K12" i="6" l="1"/>
  <c r="K53" i="6"/>
  <c r="J54" i="6"/>
  <c r="J11" i="6"/>
  <c r="K11" i="6" s="1"/>
  <c r="J13" i="6" l="1"/>
  <c r="K13" i="6" s="1"/>
</calcChain>
</file>

<file path=xl/sharedStrings.xml><?xml version="1.0" encoding="utf-8"?>
<sst xmlns="http://schemas.openxmlformats.org/spreadsheetml/2006/main" count="299" uniqueCount="194">
  <si>
    <t>1) Troškovi izgradnje objekta</t>
  </si>
  <si>
    <t>2) Troškovi opremanja objekta</t>
  </si>
  <si>
    <t xml:space="preserve"> </t>
  </si>
  <si>
    <t>Naziv troška</t>
  </si>
  <si>
    <t>Jedinična cijena</t>
  </si>
  <si>
    <t>Količina</t>
  </si>
  <si>
    <t>Ukupan iznos</t>
  </si>
  <si>
    <t>/</t>
  </si>
  <si>
    <t>Ukupno</t>
  </si>
  <si>
    <t>3) Trošak otvaranja obrta</t>
  </si>
  <si>
    <t>4) Ukupna cijena investicije</t>
  </si>
  <si>
    <t>Administrativna pristojba</t>
  </si>
  <si>
    <t>Prijava početka poslovanja</t>
  </si>
  <si>
    <t>Izrada pečata i kupnja</t>
  </si>
  <si>
    <t>Samoposlužna praonica automobila „Bubi“</t>
  </si>
  <si>
    <t>Izračun troškova i ostalih tablica potrebnih za investicijsku studiju pokretanja uslužne djelatnosti samoposlužna autopraonica automobila "Bubi"</t>
  </si>
  <si>
    <t>Samoposlužna praonice AVANT F400V 50Hz 2+1 radno mjesto</t>
  </si>
  <si>
    <t>Dvostruki usisavač F230/400V 50Hz/60Hz 3F</t>
  </si>
  <si>
    <t>UKUPNO</t>
  </si>
  <si>
    <r>
      <t>Demineralizator s reverznom osmozom 8-12 m</t>
    </r>
    <r>
      <rPr>
        <vertAlign val="superscript"/>
        <sz val="10.5"/>
        <color theme="1"/>
        <rFont val="Arial"/>
        <family val="2"/>
      </rPr>
      <t>3</t>
    </r>
    <r>
      <rPr>
        <sz val="11"/>
        <color theme="1"/>
        <rFont val="Arial"/>
        <family val="2"/>
      </rPr>
      <t>/dan</t>
    </r>
  </si>
  <si>
    <t>Montaža i transport</t>
  </si>
  <si>
    <t>Popust dobavljača opreme</t>
  </si>
  <si>
    <t>Ukupno nakon popusta</t>
  </si>
  <si>
    <t>Temeljni kapital</t>
  </si>
  <si>
    <t>Doprinosi</t>
  </si>
  <si>
    <t>Troškovi kredita (odobrenje)</t>
  </si>
  <si>
    <r>
      <rPr>
        <sz val="12"/>
        <color theme="1"/>
        <rFont val="Arial"/>
        <family val="2"/>
      </rPr>
      <t>Studiju izrađuju:</t>
    </r>
    <r>
      <rPr>
        <sz val="11"/>
        <color theme="1"/>
        <rFont val="Arial"/>
        <family val="2"/>
      </rPr>
      <t xml:space="preserve">
 </t>
    </r>
    <r>
      <rPr>
        <sz val="9"/>
        <color theme="1"/>
        <rFont val="Arial"/>
        <family val="2"/>
      </rPr>
      <t>Mateo Besednik
  Davor Kušić 
Marko Vukosav</t>
    </r>
  </si>
  <si>
    <t>Struktura ulaganja</t>
  </si>
  <si>
    <t>Opis</t>
  </si>
  <si>
    <t>Iznos</t>
  </si>
  <si>
    <t>Vlastita 
sredstva</t>
  </si>
  <si>
    <t>Kredit</t>
  </si>
  <si>
    <t>A. Ulaganje u osnovna sredstva</t>
  </si>
  <si>
    <t>B. Ulaganje u trajna obrtna sredstva</t>
  </si>
  <si>
    <t>C. Ukupan iznos ulaganja</t>
  </si>
  <si>
    <t>56 369,93</t>
  </si>
  <si>
    <t>42.61 %</t>
  </si>
  <si>
    <t>57.39 %</t>
  </si>
  <si>
    <t>1.Osnivačka ulaganja</t>
  </si>
  <si>
    <t>2.Oprema</t>
  </si>
  <si>
    <t>Obračun amortizacije</t>
  </si>
  <si>
    <t>Amortizacija</t>
  </si>
  <si>
    <t>Postotak amortizacije</t>
  </si>
  <si>
    <t>Ukupan iznos amortizacije</t>
  </si>
  <si>
    <t>Obračun OVP</t>
  </si>
  <si>
    <t>GODINE RADA PROJEKTA</t>
  </si>
  <si>
    <t xml:space="preserve">Nabavna
 vrijednost </t>
  </si>
  <si>
    <t>Stopa 
otpisa</t>
  </si>
  <si>
    <t>OVP</t>
  </si>
  <si>
    <t>Br. Naziv</t>
  </si>
  <si>
    <t>A Investicija</t>
  </si>
  <si>
    <t>B Sveukupno</t>
  </si>
  <si>
    <t>C Ostatak vrijednosti projekta</t>
  </si>
  <si>
    <t>Osnovna sredstva</t>
  </si>
  <si>
    <t>TOBS</t>
  </si>
  <si>
    <t>Pranje automobila</t>
  </si>
  <si>
    <t>PRIHOD</t>
  </si>
  <si>
    <t>Godina rada projekta</t>
  </si>
  <si>
    <t>1 (2020)</t>
  </si>
  <si>
    <t>2 (2021)</t>
  </si>
  <si>
    <t>3 (2022)</t>
  </si>
  <si>
    <t>4 (2023)</t>
  </si>
  <si>
    <t>5(2024)</t>
  </si>
  <si>
    <t>Proizvod</t>
  </si>
  <si>
    <t>Dnevni prihod</t>
  </si>
  <si>
    <t>Mjesečni prihod</t>
  </si>
  <si>
    <t>Broj pranja(godišnje)</t>
  </si>
  <si>
    <t>Prosječna potrošnja u jednom pranju</t>
  </si>
  <si>
    <t>Godišnji prihod 2020.</t>
  </si>
  <si>
    <t>PRIHODI PRVE GODINE PROJEKTA (2020.)</t>
  </si>
  <si>
    <t>PRIHODI OSTALIH GODINA PROJEKTA (2022.-2024.)</t>
  </si>
  <si>
    <t>PRIHODI DRUGE GODINE PROJEKTA (2021.)</t>
  </si>
  <si>
    <t>ZALIHE</t>
  </si>
  <si>
    <t>Zalihe kemikalije i šampona</t>
  </si>
  <si>
    <t>Količina (kom)</t>
  </si>
  <si>
    <t>Cijena</t>
  </si>
  <si>
    <t>Dnevni trošak</t>
  </si>
  <si>
    <t>Mjesečni trošak</t>
  </si>
  <si>
    <t>Godišnji trošak</t>
  </si>
  <si>
    <t>Kemikalija za vosak (25kg)</t>
  </si>
  <si>
    <t>Šampon</t>
  </si>
  <si>
    <t>UKUPNO:</t>
  </si>
  <si>
    <t>Procjena za prvu godinu rada (2020,)</t>
  </si>
  <si>
    <t>Procjena za drugu godinu rada (2021,)</t>
  </si>
  <si>
    <t>Procjena za preostale godine rada (2022,-24,)</t>
  </si>
  <si>
    <t>Struja</t>
  </si>
  <si>
    <t>Voda</t>
  </si>
  <si>
    <t>RASHODI</t>
  </si>
  <si>
    <t xml:space="preserve">UKUPNO S KOMUNALNOM NAKNADOM: </t>
  </si>
  <si>
    <t>Komunalna naknada</t>
  </si>
  <si>
    <t>2022.-2024.</t>
  </si>
  <si>
    <t>2021.</t>
  </si>
  <si>
    <t>2020.</t>
  </si>
  <si>
    <t>Poček</t>
  </si>
  <si>
    <t>Otplata kredita</t>
  </si>
  <si>
    <t>Naknada za obradu kredita</t>
  </si>
  <si>
    <t>Visina anuiteta =</t>
  </si>
  <si>
    <r>
      <t>Godišnja kamatna stopa (</t>
    </r>
    <r>
      <rPr>
        <b/>
        <sz val="10"/>
        <rFont val="Arial"/>
        <family val="2"/>
      </rPr>
      <t>Rate</t>
    </r>
    <r>
      <rPr>
        <sz val="11"/>
        <color theme="1"/>
        <rFont val="Calibri"/>
        <family val="2"/>
        <charset val="238"/>
        <scheme val="minor"/>
      </rPr>
      <t>)</t>
    </r>
  </si>
  <si>
    <r>
      <t>Broj anuiteta (</t>
    </r>
    <r>
      <rPr>
        <b/>
        <sz val="10"/>
        <rFont val="Arial"/>
        <family val="2"/>
      </rPr>
      <t>Nper</t>
    </r>
    <r>
      <rPr>
        <sz val="11"/>
        <color theme="1"/>
        <rFont val="Calibri"/>
        <family val="2"/>
        <charset val="238"/>
        <scheme val="minor"/>
      </rPr>
      <t>)</t>
    </r>
  </si>
  <si>
    <r>
      <t>Visina zajma (</t>
    </r>
    <r>
      <rPr>
        <b/>
        <sz val="10"/>
        <rFont val="Arial"/>
        <family val="2"/>
      </rPr>
      <t>PV</t>
    </r>
    <r>
      <rPr>
        <sz val="11"/>
        <color theme="1"/>
        <rFont val="Calibri"/>
        <family val="2"/>
        <charset val="238"/>
        <scheme val="minor"/>
      </rPr>
      <t>)</t>
    </r>
  </si>
  <si>
    <r>
      <t>Prenumerando (</t>
    </r>
    <r>
      <rPr>
        <b/>
        <sz val="10"/>
        <rFont val="Arial"/>
        <family val="2"/>
      </rPr>
      <t>1</t>
    </r>
    <r>
      <rPr>
        <sz val="11"/>
        <color theme="1"/>
        <rFont val="Calibri"/>
        <family val="2"/>
        <charset val="238"/>
        <scheme val="minor"/>
      </rPr>
      <t>) ili postnumerando (</t>
    </r>
    <r>
      <rPr>
        <b/>
        <sz val="10"/>
        <rFont val="Arial"/>
        <family val="2"/>
      </rPr>
      <t>0</t>
    </r>
    <r>
      <rPr>
        <sz val="11"/>
        <color theme="1"/>
        <rFont val="Calibri"/>
        <family val="2"/>
        <charset val="238"/>
        <scheme val="minor"/>
      </rPr>
      <t xml:space="preserve">) </t>
    </r>
  </si>
  <si>
    <t>Broj ukamaćivanja tijekom godine - m</t>
  </si>
  <si>
    <t>Relativna kamatna stopa</t>
  </si>
  <si>
    <t>Broj godina počeka</t>
  </si>
  <si>
    <t>Otplatna tablica kredita</t>
  </si>
  <si>
    <t>Godina</t>
  </si>
  <si>
    <t>Anuitet(a)</t>
  </si>
  <si>
    <t>Kamate (Ik)</t>
  </si>
  <si>
    <t>Otplatna kvota (Rk)</t>
  </si>
  <si>
    <t>Ostatak duga (Ck)</t>
  </si>
  <si>
    <t>Otplata</t>
  </si>
  <si>
    <t>Kamate</t>
  </si>
  <si>
    <t>KREDIT</t>
  </si>
  <si>
    <t>Račun dobiti i gubitka</t>
  </si>
  <si>
    <t>Prihodi</t>
  </si>
  <si>
    <t>Operativni rashodi</t>
  </si>
  <si>
    <t>Troškovi zaliha kemikalija i šampona</t>
  </si>
  <si>
    <t>Trošak energenata</t>
  </si>
  <si>
    <t>Trošak komunalne naknade</t>
  </si>
  <si>
    <t>EBITDA</t>
  </si>
  <si>
    <t>Ukupni rashodi</t>
  </si>
  <si>
    <t>Dobit prije poreza</t>
  </si>
  <si>
    <t>Porez 20%</t>
  </si>
  <si>
    <t>Neto dobit</t>
  </si>
  <si>
    <t xml:space="preserve">Visina investciije = </t>
  </si>
  <si>
    <t>puta</t>
  </si>
  <si>
    <r>
      <rPr>
        <b/>
        <sz val="11"/>
        <color theme="1"/>
        <rFont val="Calibri"/>
        <family val="2"/>
        <scheme val="minor"/>
      </rPr>
      <t>Profitna marža</t>
    </r>
    <r>
      <rPr>
        <sz val="11"/>
        <color theme="1"/>
        <rFont val="Calibri"/>
        <family val="2"/>
        <charset val="238"/>
        <scheme val="minor"/>
      </rPr>
      <t xml:space="preserve"> = Neto dobit/Ukupni prihodi =</t>
    </r>
  </si>
  <si>
    <r>
      <rPr>
        <b/>
        <sz val="11"/>
        <color rgb="FF000000"/>
        <rFont val="Calibri"/>
        <family val="2"/>
        <scheme val="minor"/>
      </rPr>
      <t>Rentabilnost ukupno uloženih sredstava</t>
    </r>
    <r>
      <rPr>
        <sz val="11"/>
        <color rgb="FF000000"/>
        <rFont val="Calibri"/>
        <family val="2"/>
        <scheme val="minor"/>
      </rPr>
      <t xml:space="preserve"> =Neto dobit/Visina investicije =</t>
    </r>
  </si>
  <si>
    <r>
      <rPr>
        <b/>
        <sz val="11"/>
        <color rgb="FF000000"/>
        <rFont val="Calibri"/>
        <family val="2"/>
        <scheme val="minor"/>
      </rPr>
      <t>Obrtaj ukupno uloženih sredstava</t>
    </r>
    <r>
      <rPr>
        <sz val="11"/>
        <color rgb="FF000000"/>
        <rFont val="Calibri"/>
        <family val="2"/>
        <scheme val="minor"/>
      </rPr>
      <t xml:space="preserve"> = ukupni prihod/Visina investicije =</t>
    </r>
  </si>
  <si>
    <t>Porez =</t>
  </si>
  <si>
    <t>ZA 2022.GODINU</t>
  </si>
  <si>
    <t>1.  FIKSNI TROŠKOVI</t>
  </si>
  <si>
    <t>20% troška energije i usluga</t>
  </si>
  <si>
    <t>Ostali troškovi</t>
  </si>
  <si>
    <t>2. VARIJABILNI TROŠKOVI:</t>
  </si>
  <si>
    <t>Zalihe kemikalija i praška</t>
  </si>
  <si>
    <t>80% troška energije i usluga</t>
  </si>
  <si>
    <t xml:space="preserve">3.  UKUPNI TROŠKOVI:     </t>
  </si>
  <si>
    <r>
      <t>G</t>
    </r>
    <r>
      <rPr>
        <sz val="10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charset val="238"/>
        <scheme val="minor"/>
      </rPr>
      <t xml:space="preserve"> =</t>
    </r>
  </si>
  <si>
    <r>
      <t>J</t>
    </r>
    <r>
      <rPr>
        <sz val="10"/>
        <color theme="1"/>
        <rFont val="Calibri"/>
        <family val="2"/>
        <scheme val="minor"/>
      </rPr>
      <t>min =</t>
    </r>
  </si>
  <si>
    <t>FT/(UP-VT) =</t>
  </si>
  <si>
    <t>(FT+VT)/UP =</t>
  </si>
  <si>
    <r>
      <rPr>
        <b/>
        <sz val="11"/>
        <color rgb="FF000000"/>
        <rFont val="Calibri"/>
        <family val="2"/>
        <scheme val="minor"/>
      </rPr>
      <t xml:space="preserve">Reprodukcijska sposobnost </t>
    </r>
    <r>
      <rPr>
        <sz val="11"/>
        <color rgb="FF000000"/>
        <rFont val="Calibri"/>
        <family val="2"/>
        <scheme val="minor"/>
      </rPr>
      <t>= (Neto dobiti+Amortizacija)/visina investicije =</t>
    </r>
  </si>
  <si>
    <r>
      <t>Minimalna cijena = U</t>
    </r>
    <r>
      <rPr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/U</t>
    </r>
    <r>
      <rPr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=</t>
    </r>
  </si>
  <si>
    <t>Ukupna svota za izračun (koja je preuzeta iz RDG-a)</t>
  </si>
  <si>
    <t>DV</t>
  </si>
  <si>
    <t>Potraživanja</t>
  </si>
  <si>
    <t>Zalihe</t>
  </si>
  <si>
    <t>Dobavljači</t>
  </si>
  <si>
    <t>Izračun</t>
  </si>
  <si>
    <t>KO</t>
  </si>
  <si>
    <t>P + Z - D</t>
  </si>
  <si>
    <t>OPIS</t>
  </si>
  <si>
    <t>I PRIMICI</t>
  </si>
  <si>
    <t>1. Ukupni prihod</t>
  </si>
  <si>
    <t>2. Ostatak vrijednosti projekta</t>
  </si>
  <si>
    <t>2.1. Osnovnih sredstava</t>
  </si>
  <si>
    <t>2.2. Obrtnih sredstava</t>
  </si>
  <si>
    <t>II IZDACI</t>
  </si>
  <si>
    <t>3. Angažirana OS</t>
  </si>
  <si>
    <t>4. Angažirana TOBS</t>
  </si>
  <si>
    <t>5. Troškovi materijala i usluga</t>
  </si>
  <si>
    <t>6. Porezi</t>
  </si>
  <si>
    <t>III NETO PRIMICI</t>
  </si>
  <si>
    <t>IV KUMULATIV NETO PRIMITAKA</t>
  </si>
  <si>
    <t>2. Izvori financiranja</t>
  </si>
  <si>
    <t>2.1. Vlastito ulaganje</t>
  </si>
  <si>
    <t>2.2. Kredit</t>
  </si>
  <si>
    <t>3. Ostatak vrijednosti projekta</t>
  </si>
  <si>
    <t>3.1. Osnovnih sredstava</t>
  </si>
  <si>
    <t>3.2. Obrtnih sredstava</t>
  </si>
  <si>
    <t>4. Investicije u OS</t>
  </si>
  <si>
    <t>5. Investicije u TOBS</t>
  </si>
  <si>
    <t>8. Porez</t>
  </si>
  <si>
    <t>9. Otplata (Glavnica + Kamate)</t>
  </si>
  <si>
    <t>RENTABILNOST PROJEKTA</t>
  </si>
  <si>
    <t>EKONOSKI TIJEK</t>
  </si>
  <si>
    <t>FINANCIJSKI TIJEK</t>
  </si>
  <si>
    <t>Vrijeme povrata</t>
  </si>
  <si>
    <t>Proračun diskontiranog povrata uloženih sredstava</t>
  </si>
  <si>
    <t>Godina projekta</t>
  </si>
  <si>
    <t>DNT</t>
  </si>
  <si>
    <t>Kumulativ DNT</t>
  </si>
  <si>
    <t>Diskontirano vrijeme povrata</t>
  </si>
  <si>
    <t>Diskontna stopa je</t>
  </si>
  <si>
    <t>NPV(6.95%)</t>
  </si>
  <si>
    <t>provjera</t>
  </si>
  <si>
    <t>IRR =</t>
  </si>
  <si>
    <t>Provjera interne stope rentabilnosti</t>
  </si>
  <si>
    <t> diskontna  stopa</t>
  </si>
  <si>
    <t xml:space="preserve">DNT </t>
  </si>
  <si>
    <t>Indeks profitabilnosti</t>
  </si>
  <si>
    <t>Suma DNT (4%)</t>
  </si>
  <si>
    <t>Ulaganje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</si>
</sst>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#,##0\ &quot;kn&quot;;\-#,##0\ &quot;kn&quot;"/>
    <numFmt numFmtId="7" formatCode="#,##0.00\ &quot;kn&quot;;\-#,##0.00\ &quot;kn&quot;"/>
    <numFmt numFmtId="44" formatCode="_-* #,##0.00\ &quot;kn&quot;_-;\-* #,##0.00\ &quot;kn&quot;_-;_-* &quot;-&quot;??\ &quot;kn&quot;_-;_-@_-"/>
    <numFmt numFmtId="43" formatCode="_-* #,##0.00_-;\-* #,##0.00_-;_-* &quot;-&quot;??_-;_-@_-"/>
    <numFmt numFmtId="164" formatCode="_-* #,##0.00\ _k_n_-;\-* #,##0.00\ _k_n_-;_-* &quot;-&quot;??\ _k_n_-;_-@_-"/>
    <numFmt numFmtId="165" formatCode="0.0%"/>
    <numFmt numFmtId="166" formatCode="0.00000000%"/>
    <numFmt numFmtId="167" formatCode="0.000"/>
    <numFmt numFmtId="168" formatCode="_-* #,##0.00\ [$€-1]_-;\-* #,##0.00\ [$€-1]_-;_-* &quot;-&quot;??\ [$€-1]_-;_-@_-"/>
    <numFmt numFmtId="169" formatCode="_-* #,##0.00\ [$kn-41A]_-;\-* #,##0.00\ [$kn-41A]_-;_-* &quot;-&quot;??\ [$kn-41A]_-;_-@_-"/>
    <numFmt numFmtId="170" formatCode="_-* #,##0_-;\-* #,##0_-;_-* &quot;-&quot;??_-;_-@_-"/>
    <numFmt numFmtId="171" formatCode="0.000%"/>
    <numFmt numFmtId="172" formatCode="_-* #,##0\ [$€-1]_-;\-* #,##0\ [$€-1]_-;_-* &quot;-&quot;??\ [$€-1]_-;_-@_-"/>
  </numFmts>
  <fonts count="3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vertAlign val="superscript"/>
      <sz val="10.5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charset val="238"/>
      <scheme val="minor"/>
    </font>
    <font>
      <sz val="36"/>
      <color theme="1"/>
      <name val="Calibri"/>
      <family val="2"/>
      <charset val="238"/>
      <scheme val="minor"/>
    </font>
    <font>
      <sz val="4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FE41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164" fontId="2" fillId="0" borderId="0" applyFont="0" applyFill="0" applyBorder="0" applyAlignment="0" applyProtection="0"/>
    <xf numFmtId="0" fontId="12" fillId="2" borderId="0" applyNumberFormat="0" applyBorder="0" applyAlignment="0" applyProtection="0"/>
    <xf numFmtId="9" fontId="7" fillId="0" borderId="0" applyFont="0" applyFill="0" applyBorder="0" applyAlignment="0" applyProtection="0"/>
  </cellStyleXfs>
  <cellXfs count="334">
    <xf numFmtId="0" fontId="0" fillId="0" borderId="0" xfId="0"/>
    <xf numFmtId="0" fontId="6" fillId="0" borderId="0" xfId="0" applyFont="1"/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0" fillId="6" borderId="2" xfId="0" applyFill="1" applyBorder="1" applyAlignment="1">
      <alignment horizontal="left" vertical="center" wrapText="1"/>
    </xf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15" fillId="9" borderId="20" xfId="0" applyFont="1" applyFill="1" applyBorder="1"/>
    <xf numFmtId="0" fontId="15" fillId="9" borderId="2" xfId="0" applyFont="1" applyFill="1" applyBorder="1"/>
    <xf numFmtId="0" fontId="15" fillId="0" borderId="0" xfId="0" applyFont="1"/>
    <xf numFmtId="0" fontId="17" fillId="0" borderId="0" xfId="0" applyFont="1"/>
    <xf numFmtId="0" fontId="17" fillId="8" borderId="12" xfId="0" applyFont="1" applyFill="1" applyBorder="1"/>
    <xf numFmtId="0" fontId="17" fillId="8" borderId="22" xfId="0" applyFont="1" applyFill="1" applyBorder="1"/>
    <xf numFmtId="0" fontId="17" fillId="8" borderId="13" xfId="0" applyFont="1" applyFill="1" applyBorder="1"/>
    <xf numFmtId="0" fontId="17" fillId="8" borderId="23" xfId="0" applyFont="1" applyFill="1" applyBorder="1"/>
    <xf numFmtId="0" fontId="17" fillId="10" borderId="18" xfId="0" applyFont="1" applyFill="1" applyBorder="1"/>
    <xf numFmtId="169" fontId="15" fillId="0" borderId="0" xfId="2" applyNumberFormat="1" applyFont="1"/>
    <xf numFmtId="0" fontId="15" fillId="10" borderId="12" xfId="0" applyFont="1" applyFill="1" applyBorder="1"/>
    <xf numFmtId="0" fontId="15" fillId="10" borderId="13" xfId="0" applyFont="1" applyFill="1" applyBorder="1"/>
    <xf numFmtId="0" fontId="15" fillId="10" borderId="15" xfId="0" applyFont="1" applyFill="1" applyBorder="1"/>
    <xf numFmtId="9" fontId="19" fillId="10" borderId="0" xfId="0" applyNumberFormat="1" applyFont="1" applyFill="1" applyBorder="1"/>
    <xf numFmtId="0" fontId="15" fillId="10" borderId="0" xfId="0" applyFont="1" applyFill="1" applyBorder="1"/>
    <xf numFmtId="0" fontId="16" fillId="10" borderId="17" xfId="0" applyFont="1" applyFill="1" applyBorder="1"/>
    <xf numFmtId="0" fontId="15" fillId="9" borderId="24" xfId="0" applyFont="1" applyFill="1" applyBorder="1"/>
    <xf numFmtId="0" fontId="15" fillId="9" borderId="10" xfId="0" applyFont="1" applyFill="1" applyBorder="1"/>
    <xf numFmtId="0" fontId="17" fillId="10" borderId="26" xfId="0" applyFont="1" applyFill="1" applyBorder="1"/>
    <xf numFmtId="0" fontId="17" fillId="10" borderId="27" xfId="0" applyFont="1" applyFill="1" applyBorder="1"/>
    <xf numFmtId="0" fontId="0" fillId="0" borderId="16" xfId="0" applyBorder="1"/>
    <xf numFmtId="0" fontId="15" fillId="9" borderId="29" xfId="0" applyFont="1" applyFill="1" applyBorder="1"/>
    <xf numFmtId="168" fontId="15" fillId="0" borderId="0" xfId="0" applyNumberFormat="1" applyFont="1"/>
    <xf numFmtId="0" fontId="15" fillId="0" borderId="11" xfId="0" applyFont="1" applyBorder="1"/>
    <xf numFmtId="0" fontId="15" fillId="9" borderId="34" xfId="0" applyFont="1" applyFill="1" applyBorder="1"/>
    <xf numFmtId="168" fontId="15" fillId="9" borderId="16" xfId="0" applyNumberFormat="1" applyFont="1" applyFill="1" applyBorder="1"/>
    <xf numFmtId="0" fontId="15" fillId="9" borderId="9" xfId="0" applyFont="1" applyFill="1" applyBorder="1"/>
    <xf numFmtId="0" fontId="15" fillId="9" borderId="35" xfId="0" applyFont="1" applyFill="1" applyBorder="1"/>
    <xf numFmtId="0" fontId="17" fillId="8" borderId="7" xfId="0" applyFont="1" applyFill="1" applyBorder="1"/>
    <xf numFmtId="0" fontId="17" fillId="8" borderId="39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Border="1"/>
    <xf numFmtId="0" fontId="0" fillId="9" borderId="18" xfId="0" applyFill="1" applyBorder="1"/>
    <xf numFmtId="0" fontId="0" fillId="9" borderId="19" xfId="0" applyFill="1" applyBorder="1"/>
    <xf numFmtId="0" fontId="0" fillId="11" borderId="11" xfId="0" applyFill="1" applyBorder="1"/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15" fillId="9" borderId="13" xfId="0" applyFont="1" applyFill="1" applyBorder="1" applyAlignment="1">
      <alignment horizontal="center" vertical="center"/>
    </xf>
    <xf numFmtId="0" fontId="17" fillId="8" borderId="17" xfId="0" applyFont="1" applyFill="1" applyBorder="1"/>
    <xf numFmtId="0" fontId="22" fillId="0" borderId="0" xfId="0" applyFont="1" applyBorder="1"/>
    <xf numFmtId="0" fontId="22" fillId="4" borderId="47" xfId="0" applyFont="1" applyFill="1" applyBorder="1"/>
    <xf numFmtId="9" fontId="22" fillId="4" borderId="48" xfId="0" applyNumberFormat="1" applyFont="1" applyFill="1" applyBorder="1"/>
    <xf numFmtId="0" fontId="22" fillId="4" borderId="49" xfId="0" applyFont="1" applyFill="1" applyBorder="1"/>
    <xf numFmtId="9" fontId="22" fillId="4" borderId="50" xfId="0" applyNumberFormat="1" applyFont="1" applyFill="1" applyBorder="1"/>
    <xf numFmtId="0" fontId="22" fillId="4" borderId="50" xfId="0" applyFont="1" applyFill="1" applyBorder="1"/>
    <xf numFmtId="168" fontId="22" fillId="4" borderId="1" xfId="0" applyNumberFormat="1" applyFont="1" applyFill="1" applyBorder="1" applyAlignment="1">
      <alignment horizontal="center"/>
    </xf>
    <xf numFmtId="168" fontId="22" fillId="4" borderId="3" xfId="0" applyNumberFormat="1" applyFont="1" applyFill="1" applyBorder="1" applyAlignment="1">
      <alignment horizontal="center"/>
    </xf>
    <xf numFmtId="168" fontId="22" fillId="4" borderId="10" xfId="2" applyNumberFormat="1" applyFont="1" applyFill="1" applyBorder="1" applyAlignment="1">
      <alignment horizontal="center"/>
    </xf>
    <xf numFmtId="168" fontId="22" fillId="4" borderId="25" xfId="2" applyNumberFormat="1" applyFont="1" applyFill="1" applyBorder="1" applyAlignment="1">
      <alignment horizontal="center"/>
    </xf>
    <xf numFmtId="0" fontId="22" fillId="0" borderId="43" xfId="0" applyFont="1" applyBorder="1" applyAlignment="1">
      <alignment horizontal="center"/>
    </xf>
    <xf numFmtId="0" fontId="22" fillId="0" borderId="33" xfId="0" applyFont="1" applyBorder="1" applyAlignment="1">
      <alignment horizontal="center"/>
    </xf>
    <xf numFmtId="9" fontId="22" fillId="8" borderId="6" xfId="0" applyNumberFormat="1" applyFont="1" applyFill="1" applyBorder="1" applyAlignment="1">
      <alignment horizontal="center"/>
    </xf>
    <xf numFmtId="0" fontId="22" fillId="8" borderId="6" xfId="0" applyFont="1" applyFill="1" applyBorder="1" applyAlignment="1">
      <alignment horizontal="center"/>
    </xf>
    <xf numFmtId="0" fontId="22" fillId="8" borderId="46" xfId="0" applyFont="1" applyFill="1" applyBorder="1" applyAlignment="1">
      <alignment horizontal="center"/>
    </xf>
    <xf numFmtId="0" fontId="15" fillId="8" borderId="31" xfId="0" applyFont="1" applyFill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15" fillId="0" borderId="0" xfId="0" applyFont="1" applyBorder="1"/>
    <xf numFmtId="0" fontId="17" fillId="0" borderId="8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24" fillId="4" borderId="10" xfId="0" applyFont="1" applyFill="1" applyBorder="1" applyAlignment="1">
      <alignment horizontal="center" vertical="center"/>
    </xf>
    <xf numFmtId="0" fontId="24" fillId="4" borderId="10" xfId="0" applyFont="1" applyFill="1" applyBorder="1" applyAlignment="1">
      <alignment horizontal="center" vertical="center" wrapText="1"/>
    </xf>
    <xf numFmtId="0" fontId="24" fillId="4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26" fillId="12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/>
    </xf>
    <xf numFmtId="0" fontId="25" fillId="5" borderId="40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center"/>
    </xf>
    <xf numFmtId="168" fontId="22" fillId="5" borderId="5" xfId="0" applyNumberFormat="1" applyFont="1" applyFill="1" applyBorder="1" applyAlignment="1">
      <alignment horizontal="center"/>
    </xf>
    <xf numFmtId="168" fontId="22" fillId="5" borderId="41" xfId="0" applyNumberFormat="1" applyFont="1" applyFill="1" applyBorder="1" applyAlignment="1">
      <alignment horizontal="center"/>
    </xf>
    <xf numFmtId="0" fontId="24" fillId="5" borderId="40" xfId="0" applyFont="1" applyFill="1" applyBorder="1" applyAlignment="1">
      <alignment horizontal="center"/>
    </xf>
    <xf numFmtId="170" fontId="4" fillId="5" borderId="11" xfId="1" applyNumberFormat="1" applyFont="1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0" borderId="0" xfId="0" applyFill="1"/>
    <xf numFmtId="0" fontId="0" fillId="15" borderId="11" xfId="0" applyFill="1" applyBorder="1"/>
    <xf numFmtId="0" fontId="0" fillId="0" borderId="11" xfId="0" applyBorder="1" applyAlignment="1">
      <alignment horizontal="center" vertical="center"/>
    </xf>
    <xf numFmtId="168" fontId="0" fillId="5" borderId="11" xfId="0" applyNumberFormat="1" applyFill="1" applyBorder="1" applyAlignment="1">
      <alignment horizontal="center" vertical="center"/>
    </xf>
    <xf numFmtId="0" fontId="0" fillId="5" borderId="11" xfId="0" applyFill="1" applyBorder="1"/>
    <xf numFmtId="0" fontId="0" fillId="0" borderId="0" xfId="0" applyFill="1" applyBorder="1"/>
    <xf numFmtId="168" fontId="0" fillId="0" borderId="0" xfId="0" applyNumberFormat="1" applyFill="1" applyBorder="1" applyAlignment="1">
      <alignment horizontal="center" vertical="center"/>
    </xf>
    <xf numFmtId="0" fontId="15" fillId="15" borderId="11" xfId="0" applyFont="1" applyFill="1" applyBorder="1"/>
    <xf numFmtId="0" fontId="15" fillId="5" borderId="11" xfId="0" applyFont="1" applyFill="1" applyBorder="1"/>
    <xf numFmtId="0" fontId="0" fillId="9" borderId="11" xfId="0" applyFill="1" applyBorder="1"/>
    <xf numFmtId="0" fontId="0" fillId="0" borderId="0" xfId="0" applyFill="1" applyBorder="1" applyAlignment="1"/>
    <xf numFmtId="0" fontId="0" fillId="0" borderId="1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7" fontId="9" fillId="4" borderId="6" xfId="0" applyNumberFormat="1" applyFont="1" applyFill="1" applyBorder="1" applyAlignment="1">
      <alignment vertical="center"/>
    </xf>
    <xf numFmtId="0" fontId="8" fillId="5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15" borderId="2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1" fontId="0" fillId="3" borderId="2" xfId="0" applyNumberFormat="1" applyFill="1" applyBorder="1" applyAlignment="1">
      <alignment vertical="center"/>
    </xf>
    <xf numFmtId="166" fontId="0" fillId="3" borderId="2" xfId="0" applyNumberFormat="1" applyFill="1" applyBorder="1" applyAlignment="1">
      <alignment vertical="center"/>
    </xf>
    <xf numFmtId="3" fontId="0" fillId="5" borderId="2" xfId="0" applyNumberFormat="1" applyFill="1" applyBorder="1" applyAlignment="1">
      <alignment vertical="center"/>
    </xf>
    <xf numFmtId="171" fontId="0" fillId="3" borderId="2" xfId="0" applyNumberFormat="1" applyFill="1" applyBorder="1" applyAlignment="1">
      <alignment vertical="center"/>
    </xf>
    <xf numFmtId="0" fontId="15" fillId="9" borderId="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vertical="center"/>
    </xf>
    <xf numFmtId="4" fontId="15" fillId="6" borderId="1" xfId="0" applyNumberFormat="1" applyFont="1" applyFill="1" applyBorder="1" applyAlignment="1" applyProtection="1">
      <alignment vertical="center"/>
    </xf>
    <xf numFmtId="4" fontId="15" fillId="6" borderId="1" xfId="0" applyNumberFormat="1" applyFont="1" applyFill="1" applyBorder="1" applyAlignment="1">
      <alignment horizontal="right" vertical="center"/>
    </xf>
    <xf numFmtId="0" fontId="15" fillId="12" borderId="2" xfId="0" applyFont="1" applyFill="1" applyBorder="1" applyAlignment="1">
      <alignment vertical="center"/>
    </xf>
    <xf numFmtId="0" fontId="15" fillId="19" borderId="2" xfId="0" applyFont="1" applyFill="1" applyBorder="1" applyAlignment="1">
      <alignment vertical="center"/>
    </xf>
    <xf numFmtId="0" fontId="0" fillId="9" borderId="12" xfId="0" applyFill="1" applyBorder="1"/>
    <xf numFmtId="0" fontId="0" fillId="9" borderId="13" xfId="0" applyFill="1" applyBorder="1"/>
    <xf numFmtId="0" fontId="0" fillId="15" borderId="15" xfId="0" applyFill="1" applyBorder="1"/>
    <xf numFmtId="0" fontId="0" fillId="5" borderId="17" xfId="0" applyFill="1" applyBorder="1"/>
    <xf numFmtId="0" fontId="15" fillId="9" borderId="12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15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19" borderId="10" xfId="0" applyFont="1" applyFill="1" applyBorder="1" applyAlignment="1">
      <alignment vertical="center"/>
    </xf>
    <xf numFmtId="0" fontId="15" fillId="5" borderId="26" xfId="0" applyFont="1" applyFill="1" applyBorder="1"/>
    <xf numFmtId="0" fontId="15" fillId="5" borderId="28" xfId="0" applyFont="1" applyFill="1" applyBorder="1"/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168" fontId="0" fillId="11" borderId="11" xfId="0" applyNumberFormat="1" applyFill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68" fontId="0" fillId="13" borderId="11" xfId="0" applyNumberFormat="1" applyFill="1" applyBorder="1" applyAlignment="1">
      <alignment horizontal="center" vertical="center"/>
    </xf>
    <xf numFmtId="168" fontId="0" fillId="20" borderId="11" xfId="0" applyNumberFormat="1" applyFill="1" applyBorder="1" applyAlignment="1">
      <alignment horizontal="center" vertical="center"/>
    </xf>
    <xf numFmtId="0" fontId="0" fillId="5" borderId="26" xfId="0" applyFill="1" applyBorder="1"/>
    <xf numFmtId="0" fontId="0" fillId="5" borderId="28" xfId="0" applyFill="1" applyBorder="1"/>
    <xf numFmtId="171" fontId="0" fillId="5" borderId="11" xfId="3" applyNumberFormat="1" applyFont="1" applyFill="1" applyBorder="1" applyAlignment="1">
      <alignment horizontal="center"/>
    </xf>
    <xf numFmtId="167" fontId="13" fillId="5" borderId="11" xfId="1" applyNumberFormat="1" applyFont="1" applyFill="1" applyBorder="1" applyAlignment="1">
      <alignment horizontal="center" vertical="center"/>
    </xf>
    <xf numFmtId="43" fontId="0" fillId="5" borderId="26" xfId="1" applyFont="1" applyFill="1" applyBorder="1"/>
    <xf numFmtId="10" fontId="0" fillId="5" borderId="11" xfId="3" applyNumberFormat="1" applyFont="1" applyFill="1" applyBorder="1"/>
    <xf numFmtId="0" fontId="4" fillId="5" borderId="26" xfId="0" applyFont="1" applyFill="1" applyBorder="1"/>
    <xf numFmtId="9" fontId="0" fillId="5" borderId="28" xfId="0" applyNumberFormat="1" applyFill="1" applyBorder="1"/>
    <xf numFmtId="0" fontId="4" fillId="8" borderId="26" xfId="0" applyFont="1" applyFill="1" applyBorder="1"/>
    <xf numFmtId="0" fontId="0" fillId="0" borderId="15" xfId="0" applyBorder="1"/>
    <xf numFmtId="0" fontId="0" fillId="0" borderId="0" xfId="0" applyBorder="1" applyAlignment="1">
      <alignment horizontal="center" vertical="center"/>
    </xf>
    <xf numFmtId="0" fontId="0" fillId="0" borderId="19" xfId="0" applyBorder="1"/>
    <xf numFmtId="0" fontId="0" fillId="9" borderId="15" xfId="0" applyFill="1" applyBorder="1"/>
    <xf numFmtId="0" fontId="0" fillId="9" borderId="16" xfId="0" applyFill="1" applyBorder="1"/>
    <xf numFmtId="0" fontId="0" fillId="15" borderId="17" xfId="0" applyFill="1" applyBorder="1"/>
    <xf numFmtId="0" fontId="0" fillId="9" borderId="17" xfId="0" applyFill="1" applyBorder="1"/>
    <xf numFmtId="0" fontId="0" fillId="9" borderId="16" xfId="0" applyFill="1" applyBorder="1" applyAlignment="1">
      <alignment horizontal="center"/>
    </xf>
    <xf numFmtId="168" fontId="0" fillId="5" borderId="28" xfId="0" applyNumberFormat="1" applyFill="1" applyBorder="1"/>
    <xf numFmtId="0" fontId="0" fillId="15" borderId="26" xfId="0" applyFill="1" applyBorder="1"/>
    <xf numFmtId="0" fontId="0" fillId="15" borderId="27" xfId="0" applyFill="1" applyBorder="1"/>
    <xf numFmtId="171" fontId="0" fillId="5" borderId="28" xfId="3" applyNumberFormat="1" applyFont="1" applyFill="1" applyBorder="1"/>
    <xf numFmtId="10" fontId="0" fillId="5" borderId="28" xfId="3" applyNumberFormat="1" applyFont="1" applyFill="1" applyBorder="1"/>
    <xf numFmtId="0" fontId="13" fillId="8" borderId="15" xfId="0" applyFont="1" applyFill="1" applyBorder="1" applyAlignment="1">
      <alignment vertical="center" wrapText="1"/>
    </xf>
    <xf numFmtId="167" fontId="13" fillId="0" borderId="0" xfId="0" applyNumberFormat="1" applyFont="1" applyFill="1" applyBorder="1" applyAlignment="1">
      <alignment vertical="center" wrapText="1"/>
    </xf>
    <xf numFmtId="0" fontId="3" fillId="8" borderId="12" xfId="0" applyFont="1" applyFill="1" applyBorder="1" applyAlignment="1"/>
    <xf numFmtId="171" fontId="0" fillId="0" borderId="13" xfId="3" applyNumberFormat="1" applyFont="1" applyFill="1" applyBorder="1" applyAlignment="1"/>
    <xf numFmtId="171" fontId="0" fillId="0" borderId="14" xfId="3" applyNumberFormat="1" applyFont="1" applyFill="1" applyBorder="1" applyAlignment="1"/>
    <xf numFmtId="167" fontId="13" fillId="0" borderId="16" xfId="0" applyNumberFormat="1" applyFont="1" applyFill="1" applyBorder="1" applyAlignment="1">
      <alignment vertical="center" wrapText="1"/>
    </xf>
    <xf numFmtId="0" fontId="4" fillId="21" borderId="17" xfId="0" applyFont="1" applyFill="1" applyBorder="1"/>
    <xf numFmtId="10" fontId="0" fillId="0" borderId="18" xfId="3" applyNumberFormat="1" applyFont="1" applyBorder="1"/>
    <xf numFmtId="10" fontId="0" fillId="0" borderId="19" xfId="3" applyNumberFormat="1" applyFont="1" applyBorder="1"/>
    <xf numFmtId="0" fontId="0" fillId="23" borderId="0" xfId="0" applyFill="1"/>
    <xf numFmtId="0" fontId="0" fillId="9" borderId="14" xfId="0" applyFill="1" applyBorder="1"/>
    <xf numFmtId="0" fontId="0" fillId="22" borderId="11" xfId="0" applyFill="1" applyBorder="1"/>
    <xf numFmtId="0" fontId="0" fillId="23" borderId="11" xfId="0" applyFill="1" applyBorder="1"/>
    <xf numFmtId="0" fontId="0" fillId="14" borderId="11" xfId="0" applyFill="1" applyBorder="1"/>
    <xf numFmtId="0" fontId="0" fillId="24" borderId="11" xfId="0" applyFill="1" applyBorder="1"/>
    <xf numFmtId="0" fontId="0" fillId="7" borderId="11" xfId="0" applyFill="1" applyBorder="1"/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5" borderId="12" xfId="0" applyFill="1" applyBorder="1"/>
    <xf numFmtId="0" fontId="0" fillId="23" borderId="15" xfId="0" applyFont="1" applyFill="1" applyBorder="1"/>
    <xf numFmtId="0" fontId="0" fillId="23" borderId="17" xfId="0" applyFont="1" applyFill="1" applyBorder="1"/>
    <xf numFmtId="3" fontId="0" fillId="0" borderId="18" xfId="0" applyNumberFormat="1" applyBorder="1"/>
    <xf numFmtId="10" fontId="0" fillId="9" borderId="13" xfId="0" applyNumberFormat="1" applyFill="1" applyBorder="1"/>
    <xf numFmtId="0" fontId="0" fillId="9" borderId="15" xfId="0" applyFont="1" applyFill="1" applyBorder="1"/>
    <xf numFmtId="170" fontId="4" fillId="5" borderId="11" xfId="1" applyNumberFormat="1" applyFont="1" applyFill="1" applyBorder="1" applyAlignment="1">
      <alignment vertical="center"/>
    </xf>
    <xf numFmtId="172" fontId="15" fillId="9" borderId="21" xfId="0" applyNumberFormat="1" applyFont="1" applyFill="1" applyBorder="1"/>
    <xf numFmtId="172" fontId="15" fillId="9" borderId="25" xfId="0" applyNumberFormat="1" applyFont="1" applyFill="1" applyBorder="1"/>
    <xf numFmtId="172" fontId="17" fillId="10" borderId="28" xfId="0" applyNumberFormat="1" applyFont="1" applyFill="1" applyBorder="1"/>
    <xf numFmtId="172" fontId="15" fillId="10" borderId="14" xfId="2" applyNumberFormat="1" applyFont="1" applyFill="1" applyBorder="1"/>
    <xf numFmtId="172" fontId="15" fillId="10" borderId="16" xfId="2" applyNumberFormat="1" applyFont="1" applyFill="1" applyBorder="1"/>
    <xf numFmtId="172" fontId="16" fillId="10" borderId="19" xfId="2" applyNumberFormat="1" applyFont="1" applyFill="1" applyBorder="1"/>
    <xf numFmtId="172" fontId="15" fillId="9" borderId="2" xfId="0" applyNumberFormat="1" applyFont="1" applyFill="1" applyBorder="1"/>
    <xf numFmtId="172" fontId="15" fillId="9" borderId="10" xfId="0" applyNumberFormat="1" applyFont="1" applyFill="1" applyBorder="1"/>
    <xf numFmtId="172" fontId="15" fillId="9" borderId="37" xfId="0" applyNumberFormat="1" applyFont="1" applyFill="1" applyBorder="1"/>
    <xf numFmtId="172" fontId="15" fillId="9" borderId="38" xfId="0" applyNumberFormat="1" applyFont="1" applyFill="1" applyBorder="1"/>
    <xf numFmtId="172" fontId="15" fillId="9" borderId="30" xfId="0" applyNumberFormat="1" applyFont="1" applyFill="1" applyBorder="1"/>
    <xf numFmtId="172" fontId="17" fillId="8" borderId="7" xfId="0" applyNumberFormat="1" applyFont="1" applyFill="1" applyBorder="1"/>
    <xf numFmtId="172" fontId="20" fillId="0" borderId="0" xfId="0" applyNumberFormat="1" applyFont="1"/>
    <xf numFmtId="172" fontId="15" fillId="0" borderId="2" xfId="0" applyNumberFormat="1" applyFont="1" applyBorder="1" applyAlignment="1">
      <alignment horizontal="center" vertical="center"/>
    </xf>
    <xf numFmtId="172" fontId="19" fillId="0" borderId="2" xfId="3" applyNumberFormat="1" applyFont="1" applyBorder="1" applyAlignment="1">
      <alignment horizontal="center" vertical="center"/>
    </xf>
    <xf numFmtId="172" fontId="19" fillId="0" borderId="21" xfId="0" applyNumberFormat="1" applyFont="1" applyBorder="1" applyAlignment="1">
      <alignment horizontal="center" vertical="center"/>
    </xf>
    <xf numFmtId="172" fontId="15" fillId="0" borderId="0" xfId="0" applyNumberFormat="1" applyFont="1"/>
    <xf numFmtId="172" fontId="15" fillId="8" borderId="51" xfId="2" applyNumberFormat="1" applyFont="1" applyFill="1" applyBorder="1"/>
    <xf numFmtId="172" fontId="15" fillId="8" borderId="32" xfId="0" applyNumberFormat="1" applyFont="1" applyFill="1" applyBorder="1"/>
    <xf numFmtId="172" fontId="15" fillId="8" borderId="30" xfId="2" applyNumberFormat="1" applyFont="1" applyFill="1" applyBorder="1"/>
    <xf numFmtId="172" fontId="22" fillId="0" borderId="0" xfId="0" applyNumberFormat="1" applyFont="1" applyAlignment="1">
      <alignment horizontal="center"/>
    </xf>
    <xf numFmtId="172" fontId="24" fillId="0" borderId="11" xfId="0" applyNumberFormat="1" applyFont="1" applyBorder="1" applyAlignment="1">
      <alignment horizontal="center"/>
    </xf>
    <xf numFmtId="172" fontId="24" fillId="3" borderId="11" xfId="0" applyNumberFormat="1" applyFont="1" applyFill="1" applyBorder="1" applyAlignment="1">
      <alignment horizontal="center"/>
    </xf>
    <xf numFmtId="172" fontId="24" fillId="14" borderId="11" xfId="0" applyNumberFormat="1" applyFont="1" applyFill="1" applyBorder="1" applyAlignment="1">
      <alignment horizontal="center"/>
    </xf>
    <xf numFmtId="172" fontId="22" fillId="5" borderId="11" xfId="0" applyNumberFormat="1" applyFont="1" applyFill="1" applyBorder="1" applyAlignment="1">
      <alignment horizontal="left"/>
    </xf>
    <xf numFmtId="172" fontId="22" fillId="5" borderId="11" xfId="0" applyNumberFormat="1" applyFont="1" applyFill="1" applyBorder="1"/>
    <xf numFmtId="172" fontId="22" fillId="4" borderId="11" xfId="0" applyNumberFormat="1" applyFont="1" applyFill="1" applyBorder="1" applyAlignment="1">
      <alignment horizontal="center"/>
    </xf>
    <xf numFmtId="172" fontId="22" fillId="4" borderId="11" xfId="3" applyNumberFormat="1" applyFont="1" applyFill="1" applyBorder="1" applyAlignment="1">
      <alignment horizontal="center"/>
    </xf>
    <xf numFmtId="172" fontId="24" fillId="8" borderId="11" xfId="0" applyNumberFormat="1" applyFont="1" applyFill="1" applyBorder="1" applyAlignment="1">
      <alignment horizontal="center"/>
    </xf>
    <xf numFmtId="172" fontId="24" fillId="8" borderId="11" xfId="0" applyNumberFormat="1" applyFont="1" applyFill="1" applyBorder="1"/>
    <xf numFmtId="172" fontId="22" fillId="5" borderId="11" xfId="0" applyNumberFormat="1" applyFont="1" applyFill="1" applyBorder="1" applyAlignment="1">
      <alignment horizontal="center"/>
    </xf>
    <xf numFmtId="172" fontId="22" fillId="4" borderId="11" xfId="0" applyNumberFormat="1" applyFont="1" applyFill="1" applyBorder="1"/>
    <xf numFmtId="172" fontId="0" fillId="5" borderId="11" xfId="0" applyNumberFormat="1" applyFill="1" applyBorder="1"/>
    <xf numFmtId="172" fontId="0" fillId="5" borderId="11" xfId="0" applyNumberForma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/>
    </xf>
    <xf numFmtId="1" fontId="4" fillId="5" borderId="11" xfId="0" applyNumberFormat="1" applyFont="1" applyFill="1" applyBorder="1" applyAlignment="1">
      <alignment horizontal="center"/>
    </xf>
    <xf numFmtId="1" fontId="4" fillId="5" borderId="11" xfId="2" applyNumberFormat="1" applyFont="1" applyFill="1" applyBorder="1" applyAlignment="1">
      <alignment horizontal="center"/>
    </xf>
    <xf numFmtId="172" fontId="4" fillId="5" borderId="11" xfId="0" applyNumberFormat="1" applyFont="1" applyFill="1" applyBorder="1" applyAlignment="1">
      <alignment horizontal="center"/>
    </xf>
    <xf numFmtId="172" fontId="0" fillId="0" borderId="11" xfId="2" applyNumberFormat="1" applyFont="1" applyBorder="1" applyAlignment="1">
      <alignment horizontal="center"/>
    </xf>
    <xf numFmtId="172" fontId="4" fillId="5" borderId="11" xfId="2" applyNumberFormat="1" applyFont="1" applyFill="1" applyBorder="1" applyAlignment="1">
      <alignment horizontal="center"/>
    </xf>
    <xf numFmtId="172" fontId="0" fillId="0" borderId="11" xfId="0" applyNumberFormat="1" applyBorder="1" applyAlignment="1">
      <alignment horizontal="center"/>
    </xf>
    <xf numFmtId="172" fontId="15" fillId="0" borderId="11" xfId="0" applyNumberFormat="1" applyFont="1" applyBorder="1"/>
    <xf numFmtId="172" fontId="15" fillId="5" borderId="11" xfId="0" applyNumberFormat="1" applyFont="1" applyFill="1" applyBorder="1"/>
    <xf numFmtId="172" fontId="15" fillId="5" borderId="11" xfId="2" applyNumberFormat="1" applyFont="1" applyFill="1" applyBorder="1"/>
    <xf numFmtId="172" fontId="0" fillId="5" borderId="11" xfId="0" applyNumberFormat="1" applyFill="1" applyBorder="1" applyAlignment="1">
      <alignment horizontal="center"/>
    </xf>
    <xf numFmtId="1" fontId="0" fillId="0" borderId="11" xfId="0" applyNumberFormat="1" applyBorder="1"/>
    <xf numFmtId="1" fontId="0" fillId="14" borderId="11" xfId="0" applyNumberFormat="1" applyFill="1" applyBorder="1"/>
    <xf numFmtId="1" fontId="0" fillId="7" borderId="11" xfId="0" applyNumberFormat="1" applyFill="1" applyBorder="1" applyAlignment="1">
      <alignment horizontal="center"/>
    </xf>
    <xf numFmtId="1" fontId="0" fillId="23" borderId="11" xfId="0" applyNumberFormat="1" applyFill="1" applyBorder="1" applyAlignment="1">
      <alignment horizontal="center"/>
    </xf>
    <xf numFmtId="3" fontId="0" fillId="23" borderId="11" xfId="0" applyNumberFormat="1" applyFill="1" applyBorder="1" applyAlignment="1">
      <alignment horizontal="center"/>
    </xf>
    <xf numFmtId="1" fontId="0" fillId="5" borderId="11" xfId="0" applyNumberFormat="1" applyFill="1" applyBorder="1" applyAlignment="1">
      <alignment horizontal="center"/>
    </xf>
    <xf numFmtId="1" fontId="0" fillId="0" borderId="0" xfId="0" applyNumberFormat="1" applyBorder="1"/>
    <xf numFmtId="1" fontId="0" fillId="0" borderId="16" xfId="0" applyNumberFormat="1" applyBorder="1"/>
    <xf numFmtId="1" fontId="0" fillId="15" borderId="14" xfId="0" applyNumberFormat="1" applyFill="1" applyBorder="1"/>
    <xf numFmtId="1" fontId="0" fillId="5" borderId="19" xfId="3" applyNumberFormat="1" applyFont="1" applyFill="1" applyBorder="1"/>
    <xf numFmtId="1" fontId="0" fillId="0" borderId="18" xfId="0" applyNumberFormat="1" applyBorder="1"/>
    <xf numFmtId="1" fontId="0" fillId="9" borderId="0" xfId="0" applyNumberFormat="1" applyFill="1"/>
    <xf numFmtId="1" fontId="0" fillId="23" borderId="0" xfId="0" applyNumberFormat="1" applyFill="1"/>
    <xf numFmtId="1" fontId="0" fillId="7" borderId="11" xfId="0" applyNumberFormat="1" applyFill="1" applyBorder="1"/>
    <xf numFmtId="1" fontId="0" fillId="11" borderId="11" xfId="0" applyNumberFormat="1" applyFill="1" applyBorder="1"/>
    <xf numFmtId="1" fontId="0" fillId="0" borderId="11" xfId="1" applyNumberFormat="1" applyFont="1" applyBorder="1"/>
    <xf numFmtId="1" fontId="0" fillId="5" borderId="11" xfId="0" applyNumberFormat="1" applyFill="1" applyBorder="1"/>
    <xf numFmtId="0" fontId="15" fillId="7" borderId="12" xfId="0" applyFont="1" applyFill="1" applyBorder="1" applyAlignment="1">
      <alignment horizontal="center" vertical="center" wrapText="1"/>
    </xf>
    <xf numFmtId="0" fontId="15" fillId="7" borderId="14" xfId="0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center" vertical="center"/>
    </xf>
    <xf numFmtId="0" fontId="15" fillId="7" borderId="19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9" borderId="8" xfId="0" applyFont="1" applyFill="1" applyBorder="1" applyAlignment="1">
      <alignment horizontal="center"/>
    </xf>
    <xf numFmtId="0" fontId="17" fillId="9" borderId="5" xfId="0" applyFont="1" applyFill="1" applyBorder="1" applyAlignment="1">
      <alignment horizontal="center"/>
    </xf>
    <xf numFmtId="0" fontId="17" fillId="9" borderId="9" xfId="0" applyFont="1" applyFill="1" applyBorder="1" applyAlignment="1">
      <alignment horizontal="center"/>
    </xf>
    <xf numFmtId="0" fontId="17" fillId="9" borderId="44" xfId="0" applyFont="1" applyFill="1" applyBorder="1" applyAlignment="1">
      <alignment horizontal="center" vertical="center"/>
    </xf>
    <xf numFmtId="0" fontId="17" fillId="9" borderId="45" xfId="0" applyFont="1" applyFill="1" applyBorder="1" applyAlignment="1">
      <alignment horizontal="center" vertical="center"/>
    </xf>
    <xf numFmtId="0" fontId="17" fillId="9" borderId="36" xfId="0" applyFont="1" applyFill="1" applyBorder="1" applyAlignment="1">
      <alignment horizontal="center" vertical="center"/>
    </xf>
    <xf numFmtId="0" fontId="22" fillId="4" borderId="42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22" fillId="4" borderId="24" xfId="0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0" fontId="24" fillId="4" borderId="42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4" fillId="4" borderId="24" xfId="0" applyFont="1" applyFill="1" applyBorder="1" applyAlignment="1">
      <alignment horizontal="center" vertical="center"/>
    </xf>
    <xf numFmtId="0" fontId="24" fillId="4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/>
    </xf>
    <xf numFmtId="172" fontId="24" fillId="9" borderId="4" xfId="0" applyNumberFormat="1" applyFont="1" applyFill="1" applyBorder="1" applyAlignment="1">
      <alignment horizontal="center"/>
    </xf>
    <xf numFmtId="0" fontId="24" fillId="9" borderId="11" xfId="0" applyFont="1" applyFill="1" applyBorder="1" applyAlignment="1">
      <alignment horizontal="center"/>
    </xf>
    <xf numFmtId="172" fontId="22" fillId="8" borderId="4" xfId="0" applyNumberFormat="1" applyFont="1" applyFill="1" applyBorder="1" applyAlignment="1">
      <alignment horizontal="center"/>
    </xf>
    <xf numFmtId="0" fontId="22" fillId="0" borderId="11" xfId="0" applyFont="1" applyBorder="1"/>
    <xf numFmtId="0" fontId="24" fillId="5" borderId="11" xfId="0" applyFont="1" applyFill="1" applyBorder="1"/>
    <xf numFmtId="0" fontId="24" fillId="8" borderId="11" xfId="0" applyFont="1" applyFill="1" applyBorder="1"/>
    <xf numFmtId="0" fontId="24" fillId="5" borderId="11" xfId="0" applyFont="1" applyFill="1" applyBorder="1" applyAlignment="1">
      <alignment horizontal="left"/>
    </xf>
    <xf numFmtId="0" fontId="22" fillId="0" borderId="11" xfId="0" applyFont="1" applyBorder="1" applyAlignment="1">
      <alignment horizontal="left"/>
    </xf>
    <xf numFmtId="0" fontId="24" fillId="0" borderId="11" xfId="0" applyFont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27" fillId="0" borderId="0" xfId="0" applyFont="1" applyAlignment="1">
      <alignment horizontal="center"/>
    </xf>
    <xf numFmtId="0" fontId="15" fillId="9" borderId="11" xfId="0" applyFont="1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28" xfId="0" applyFill="1" applyBorder="1" applyAlignment="1">
      <alignment horizontal="center"/>
    </xf>
    <xf numFmtId="0" fontId="0" fillId="18" borderId="27" xfId="0" applyFill="1" applyBorder="1" applyAlignment="1">
      <alignment horizontal="center"/>
    </xf>
    <xf numFmtId="0" fontId="11" fillId="14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10" fillId="15" borderId="2" xfId="0" applyFont="1" applyFill="1" applyBorder="1" applyAlignment="1">
      <alignment horizontal="left" vertical="center"/>
    </xf>
    <xf numFmtId="0" fontId="13" fillId="8" borderId="15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3" fillId="8" borderId="0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/>
    </xf>
    <xf numFmtId="5" fontId="9" fillId="5" borderId="2" xfId="0" applyNumberFormat="1" applyFont="1" applyFill="1" applyBorder="1" applyAlignment="1">
      <alignment vertical="center"/>
    </xf>
    <xf numFmtId="172" fontId="0" fillId="0" borderId="2" xfId="0" applyNumberFormat="1" applyBorder="1" applyAlignment="1">
      <alignment vertical="center"/>
    </xf>
    <xf numFmtId="3" fontId="0" fillId="3" borderId="2" xfId="0" applyNumberFormat="1" applyFill="1" applyBorder="1" applyAlignment="1">
      <alignment vertical="center"/>
    </xf>
    <xf numFmtId="3" fontId="15" fillId="14" borderId="11" xfId="0" applyNumberFormat="1" applyFont="1" applyFill="1" applyBorder="1" applyAlignment="1">
      <alignment horizontal="center" vertical="center"/>
    </xf>
    <xf numFmtId="3" fontId="15" fillId="12" borderId="2" xfId="0" applyNumberFormat="1" applyFont="1" applyFill="1" applyBorder="1" applyAlignment="1">
      <alignment vertical="center"/>
    </xf>
    <xf numFmtId="3" fontId="15" fillId="19" borderId="2" xfId="0" applyNumberFormat="1" applyFont="1" applyFill="1" applyBorder="1" applyAlignment="1">
      <alignment vertical="center"/>
    </xf>
    <xf numFmtId="3" fontId="15" fillId="19" borderId="10" xfId="0" applyNumberFormat="1" applyFont="1" applyFill="1" applyBorder="1" applyAlignment="1">
      <alignment vertical="center"/>
    </xf>
    <xf numFmtId="3" fontId="15" fillId="6" borderId="3" xfId="0" applyNumberFormat="1" applyFont="1" applyFill="1" applyBorder="1" applyAlignment="1">
      <alignment vertical="center"/>
    </xf>
    <xf numFmtId="3" fontId="15" fillId="14" borderId="26" xfId="0" applyNumberFormat="1" applyFont="1" applyFill="1" applyBorder="1" applyAlignment="1">
      <alignment horizontal="center" vertical="center"/>
    </xf>
    <xf numFmtId="3" fontId="15" fillId="5" borderId="11" xfId="0" applyNumberFormat="1" applyFont="1" applyFill="1" applyBorder="1" applyAlignment="1">
      <alignment horizontal="center" vertical="center"/>
    </xf>
    <xf numFmtId="3" fontId="15" fillId="14" borderId="4" xfId="0" applyNumberFormat="1" applyFont="1" applyFill="1" applyBorder="1" applyAlignment="1">
      <alignment horizontal="center" vertical="center"/>
    </xf>
    <xf numFmtId="3" fontId="15" fillId="14" borderId="12" xfId="0" applyNumberFormat="1" applyFont="1" applyFill="1" applyBorder="1" applyAlignment="1">
      <alignment horizontal="center" vertical="center"/>
    </xf>
    <xf numFmtId="3" fontId="15" fillId="5" borderId="4" xfId="0" applyNumberFormat="1" applyFont="1" applyFill="1" applyBorder="1" applyAlignment="1">
      <alignment horizontal="center" vertical="center"/>
    </xf>
    <xf numFmtId="3" fontId="15" fillId="5" borderId="27" xfId="0" applyNumberFormat="1" applyFont="1" applyFill="1" applyBorder="1"/>
    <xf numFmtId="3" fontId="0" fillId="9" borderId="14" xfId="0" applyNumberFormat="1" applyFill="1" applyBorder="1" applyAlignment="1">
      <alignment horizontal="center"/>
    </xf>
    <xf numFmtId="3" fontId="0" fillId="15" borderId="16" xfId="0" applyNumberFormat="1" applyFill="1" applyBorder="1" applyAlignment="1">
      <alignment horizontal="center"/>
    </xf>
    <xf numFmtId="3" fontId="0" fillId="9" borderId="16" xfId="0" applyNumberFormat="1" applyFill="1" applyBorder="1" applyAlignment="1">
      <alignment horizontal="center"/>
    </xf>
    <xf numFmtId="3" fontId="0" fillId="9" borderId="19" xfId="0" applyNumberFormat="1" applyFill="1" applyBorder="1" applyAlignment="1">
      <alignment horizontal="center"/>
    </xf>
  </cellXfs>
  <cellStyles count="9">
    <cellStyle name="Comma 2" xfId="6" xr:uid="{0E72D4BF-5E4B-4DEC-BB11-B2759841EAB4}"/>
    <cellStyle name="Currency 2" xfId="4" xr:uid="{CD3148F7-8AFD-4E5F-BEAF-BDE0DB05FC63}"/>
    <cellStyle name="Neutral 2" xfId="7" xr:uid="{78466725-DA65-4DBB-BB92-3B84A084EBBC}"/>
    <cellStyle name="Normal 3" xfId="5" xr:uid="{B5A2F66E-4116-4962-BC39-27A0E0525BAB}"/>
    <cellStyle name="Normalno" xfId="0" builtinId="0"/>
    <cellStyle name="Percent 3" xfId="8" xr:uid="{22D0FCFD-8C10-42DF-9EA1-0D5C95A2C036}"/>
    <cellStyle name="Postotak" xfId="3" builtinId="5"/>
    <cellStyle name="Valuta" xfId="2" builtinId="4"/>
    <cellStyle name="Zarez" xfId="1" builtinId="3"/>
  </cellStyles>
  <dxfs count="0"/>
  <tableStyles count="0" defaultTableStyle="TableStyleMedium2" defaultPivotStyle="PivotStyleLight16"/>
  <colors>
    <mruColors>
      <color rgb="FF3FE4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98D5-E8B6-4ABD-B32C-BB28ED07CA65}">
  <dimension ref="A1:J33"/>
  <sheetViews>
    <sheetView topLeftCell="A7" workbookViewId="0">
      <selection activeCell="J11" sqref="J11"/>
    </sheetView>
  </sheetViews>
  <sheetFormatPr defaultRowHeight="15" x14ac:dyDescent="0.25"/>
  <cols>
    <col min="1" max="1" width="16.7109375" customWidth="1"/>
    <col min="2" max="2" width="59.5703125" bestFit="1" customWidth="1"/>
    <col min="3" max="3" width="17.140625" bestFit="1" customWidth="1"/>
    <col min="4" max="4" width="8.85546875" bestFit="1" customWidth="1"/>
    <col min="5" max="5" width="15.7109375" bestFit="1" customWidth="1"/>
    <col min="6" max="6" width="12.85546875" bestFit="1" customWidth="1"/>
    <col min="7" max="7" width="18.28515625" customWidth="1"/>
    <col min="9" max="9" width="14" customWidth="1"/>
    <col min="10" max="10" width="17.42578125" bestFit="1" customWidth="1"/>
  </cols>
  <sheetData>
    <row r="1" spans="2:10" ht="15.6" customHeight="1" x14ac:dyDescent="0.25">
      <c r="B1" s="262" t="s">
        <v>14</v>
      </c>
      <c r="C1" s="262"/>
      <c r="D1" s="262"/>
      <c r="E1" s="262"/>
      <c r="F1" s="262"/>
      <c r="G1" s="262"/>
      <c r="I1" s="254" t="s">
        <v>26</v>
      </c>
      <c r="J1" s="255"/>
    </row>
    <row r="2" spans="2:10" ht="15.75" x14ac:dyDescent="0.25">
      <c r="B2" s="262"/>
      <c r="C2" s="262"/>
      <c r="D2" s="262"/>
      <c r="E2" s="262"/>
      <c r="F2" s="262"/>
      <c r="G2" s="262"/>
      <c r="H2" s="1"/>
      <c r="I2" s="256"/>
      <c r="J2" s="257"/>
    </row>
    <row r="3" spans="2:10" ht="18" customHeight="1" x14ac:dyDescent="0.25">
      <c r="B3" s="260" t="s">
        <v>15</v>
      </c>
      <c r="C3" s="260"/>
      <c r="D3" s="260"/>
      <c r="E3" s="260"/>
      <c r="F3" s="260"/>
      <c r="G3" s="260"/>
      <c r="I3" s="256"/>
      <c r="J3" s="257"/>
    </row>
    <row r="4" spans="2:10" ht="15.75" thickBot="1" x14ac:dyDescent="0.3">
      <c r="B4" s="260"/>
      <c r="C4" s="260"/>
      <c r="D4" s="260"/>
      <c r="E4" s="260"/>
      <c r="F4" s="260"/>
      <c r="G4" s="260"/>
      <c r="I4" s="258"/>
      <c r="J4" s="259"/>
    </row>
    <row r="5" spans="2:10" x14ac:dyDescent="0.25">
      <c r="B5" s="260"/>
      <c r="C5" s="260"/>
      <c r="D5" s="260"/>
      <c r="E5" s="260"/>
      <c r="F5" s="260"/>
      <c r="G5" s="260"/>
    </row>
    <row r="6" spans="2:10" x14ac:dyDescent="0.25">
      <c r="B6" s="14"/>
      <c r="C6" s="14"/>
      <c r="D6" s="14"/>
      <c r="E6" s="14"/>
      <c r="F6" s="14"/>
      <c r="G6" s="14"/>
    </row>
    <row r="7" spans="2:10" x14ac:dyDescent="0.25">
      <c r="B7" s="14"/>
      <c r="C7" s="14"/>
      <c r="D7" s="14"/>
      <c r="E7" s="14"/>
      <c r="F7" s="14"/>
      <c r="G7" s="14"/>
    </row>
    <row r="8" spans="2:10" x14ac:dyDescent="0.25">
      <c r="B8" s="15" t="s">
        <v>0</v>
      </c>
      <c r="C8" s="14"/>
      <c r="D8" s="14"/>
      <c r="E8" s="14"/>
      <c r="F8" s="14"/>
      <c r="G8" s="14"/>
    </row>
    <row r="9" spans="2:10" x14ac:dyDescent="0.25">
      <c r="B9" s="14"/>
      <c r="C9" s="14"/>
      <c r="D9" s="14"/>
      <c r="E9" s="14"/>
      <c r="F9" s="14"/>
      <c r="G9" s="14"/>
    </row>
    <row r="10" spans="2:10" x14ac:dyDescent="0.25">
      <c r="B10" s="14"/>
      <c r="C10" s="14"/>
      <c r="D10" s="14"/>
      <c r="E10" s="14"/>
      <c r="F10" s="14"/>
      <c r="G10" s="14"/>
    </row>
    <row r="11" spans="2:10" ht="18" x14ac:dyDescent="0.25">
      <c r="B11" s="15" t="s">
        <v>1</v>
      </c>
      <c r="C11" s="14"/>
      <c r="D11" s="14"/>
      <c r="E11" s="14"/>
      <c r="F11" s="14"/>
      <c r="G11" s="261" t="s">
        <v>10</v>
      </c>
      <c r="H11" s="261"/>
      <c r="I11" s="261"/>
      <c r="J11" s="204">
        <f>SUM(E20,C32)</f>
        <v>54512.210000000006</v>
      </c>
    </row>
    <row r="12" spans="2:10" ht="15.75" thickBot="1" x14ac:dyDescent="0.3">
      <c r="B12" s="14"/>
      <c r="C12" s="14"/>
      <c r="D12" s="14"/>
      <c r="E12" s="14"/>
      <c r="F12" s="14"/>
      <c r="G12" s="14"/>
    </row>
    <row r="13" spans="2:10" x14ac:dyDescent="0.25">
      <c r="B13" s="16" t="s">
        <v>3</v>
      </c>
      <c r="C13" s="17" t="s">
        <v>4</v>
      </c>
      <c r="D13" s="18" t="s">
        <v>5</v>
      </c>
      <c r="E13" s="19" t="s">
        <v>6</v>
      </c>
      <c r="F13" s="14"/>
      <c r="G13" s="14"/>
    </row>
    <row r="14" spans="2:10" x14ac:dyDescent="0.25">
      <c r="B14" s="12" t="s">
        <v>16</v>
      </c>
      <c r="C14" s="198">
        <v>41815</v>
      </c>
      <c r="D14" s="13">
        <v>1</v>
      </c>
      <c r="E14" s="192">
        <v>41815</v>
      </c>
      <c r="F14" s="14"/>
      <c r="G14" s="14"/>
    </row>
    <row r="15" spans="2:10" ht="16.5" x14ac:dyDescent="0.25">
      <c r="B15" s="12" t="s">
        <v>19</v>
      </c>
      <c r="C15" s="198">
        <v>13175</v>
      </c>
      <c r="D15" s="13">
        <v>1</v>
      </c>
      <c r="E15" s="192">
        <v>13175</v>
      </c>
      <c r="F15" s="14"/>
      <c r="G15" s="14"/>
    </row>
    <row r="16" spans="2:10" ht="15.75" thickBot="1" x14ac:dyDescent="0.3">
      <c r="B16" s="28" t="s">
        <v>17</v>
      </c>
      <c r="C16" s="199">
        <v>6816</v>
      </c>
      <c r="D16" s="29">
        <v>1</v>
      </c>
      <c r="E16" s="193">
        <v>6816</v>
      </c>
      <c r="F16" s="14"/>
      <c r="G16" s="14"/>
    </row>
    <row r="17" spans="1:7" ht="15.75" thickBot="1" x14ac:dyDescent="0.3">
      <c r="B17" s="30" t="s">
        <v>18</v>
      </c>
      <c r="C17" s="31"/>
      <c r="D17" s="31"/>
      <c r="E17" s="194">
        <f>SUM(E14:E16)</f>
        <v>61806</v>
      </c>
      <c r="F17" s="21"/>
      <c r="G17" s="14"/>
    </row>
    <row r="18" spans="1:7" x14ac:dyDescent="0.25">
      <c r="B18" s="22" t="s">
        <v>20</v>
      </c>
      <c r="C18" s="23"/>
      <c r="D18" s="23"/>
      <c r="E18" s="195">
        <v>4470</v>
      </c>
      <c r="F18" s="2"/>
    </row>
    <row r="19" spans="1:7" x14ac:dyDescent="0.25">
      <c r="B19" s="24" t="s">
        <v>21</v>
      </c>
      <c r="C19" s="25">
        <v>0.2</v>
      </c>
      <c r="D19" s="26"/>
      <c r="E19" s="196">
        <f>E17*0.2</f>
        <v>12361.2</v>
      </c>
      <c r="F19" s="2"/>
    </row>
    <row r="20" spans="1:7" ht="16.5" thickBot="1" x14ac:dyDescent="0.3">
      <c r="B20" s="27" t="s">
        <v>22</v>
      </c>
      <c r="C20" s="20"/>
      <c r="D20" s="20"/>
      <c r="E20" s="197">
        <f>E17+E18-E19</f>
        <v>53914.8</v>
      </c>
      <c r="F20" s="2"/>
    </row>
    <row r="23" spans="1:7" x14ac:dyDescent="0.25">
      <c r="B23" s="15" t="s">
        <v>9</v>
      </c>
      <c r="C23" s="14"/>
    </row>
    <row r="24" spans="1:7" ht="15.75" thickBot="1" x14ac:dyDescent="0.3">
      <c r="B24" s="14"/>
      <c r="C24" s="14"/>
    </row>
    <row r="25" spans="1:7" x14ac:dyDescent="0.25">
      <c r="B25" s="41" t="s">
        <v>3</v>
      </c>
      <c r="C25" s="41" t="s">
        <v>6</v>
      </c>
    </row>
    <row r="26" spans="1:7" x14ac:dyDescent="0.25">
      <c r="A26" s="32"/>
      <c r="B26" s="36" t="s">
        <v>23</v>
      </c>
      <c r="C26" s="37">
        <v>0.13</v>
      </c>
    </row>
    <row r="27" spans="1:7" x14ac:dyDescent="0.25">
      <c r="A27" s="32"/>
      <c r="B27" s="38" t="s">
        <v>12</v>
      </c>
      <c r="C27" s="200">
        <v>13.42</v>
      </c>
    </row>
    <row r="28" spans="1:7" x14ac:dyDescent="0.25">
      <c r="A28" s="32"/>
      <c r="B28" s="39" t="s">
        <v>13</v>
      </c>
      <c r="C28" s="192">
        <v>40.270000000000003</v>
      </c>
    </row>
    <row r="29" spans="1:7" x14ac:dyDescent="0.25">
      <c r="A29" s="32"/>
      <c r="B29" s="38" t="s">
        <v>11</v>
      </c>
      <c r="C29" s="201">
        <v>46.98</v>
      </c>
    </row>
    <row r="30" spans="1:7" x14ac:dyDescent="0.25">
      <c r="A30" s="32"/>
      <c r="B30" s="38" t="s">
        <v>24</v>
      </c>
      <c r="C30" s="201">
        <v>67.11</v>
      </c>
    </row>
    <row r="31" spans="1:7" ht="15.75" thickBot="1" x14ac:dyDescent="0.3">
      <c r="A31" s="32"/>
      <c r="B31" s="33" t="s">
        <v>25</v>
      </c>
      <c r="C31" s="202">
        <v>429.5</v>
      </c>
    </row>
    <row r="32" spans="1:7" ht="15.75" thickBot="1" x14ac:dyDescent="0.3">
      <c r="B32" s="40" t="s">
        <v>18</v>
      </c>
      <c r="C32" s="203">
        <f>SUM(C26:C31)</f>
        <v>597.41000000000008</v>
      </c>
    </row>
    <row r="33" spans="2:3" x14ac:dyDescent="0.25">
      <c r="B33" s="14"/>
      <c r="C33" s="14"/>
    </row>
  </sheetData>
  <mergeCells count="4">
    <mergeCell ref="I1:J4"/>
    <mergeCell ref="B3:G5"/>
    <mergeCell ref="G11:I11"/>
    <mergeCell ref="B1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FB05-B91D-4452-BAEE-07C8110D491E}">
  <dimension ref="A1:M28"/>
  <sheetViews>
    <sheetView topLeftCell="A10" zoomScaleNormal="100" workbookViewId="0">
      <selection activeCell="E39" sqref="E39"/>
    </sheetView>
  </sheetViews>
  <sheetFormatPr defaultRowHeight="15" x14ac:dyDescent="0.25"/>
  <cols>
    <col min="1" max="1" width="28" customWidth="1"/>
    <col min="2" max="2" width="15.140625" customWidth="1"/>
    <col min="3" max="3" width="22.7109375" bestFit="1" customWidth="1"/>
    <col min="4" max="4" width="22.28515625" bestFit="1" customWidth="1"/>
    <col min="5" max="7" width="13" bestFit="1" customWidth="1"/>
    <col min="8" max="8" width="14.7109375" customWidth="1"/>
    <col min="9" max="11" width="13" bestFit="1" customWidth="1"/>
  </cols>
  <sheetData>
    <row r="1" spans="1:11" x14ac:dyDescent="0.25">
      <c r="A1" s="270" t="s">
        <v>27</v>
      </c>
      <c r="B1" s="271"/>
      <c r="C1" s="271"/>
      <c r="D1" s="271"/>
      <c r="E1" s="272"/>
      <c r="F1" s="14"/>
      <c r="G1" s="14"/>
      <c r="H1" s="14"/>
      <c r="I1" s="14"/>
      <c r="J1" s="14"/>
      <c r="K1" s="14"/>
    </row>
    <row r="2" spans="1:11" ht="25.5" x14ac:dyDescent="0.25">
      <c r="A2" s="279" t="s">
        <v>28</v>
      </c>
      <c r="B2" s="280"/>
      <c r="C2" s="74" t="s">
        <v>29</v>
      </c>
      <c r="D2" s="75" t="s">
        <v>30</v>
      </c>
      <c r="E2" s="76" t="s">
        <v>31</v>
      </c>
      <c r="F2" s="14"/>
      <c r="G2" s="14"/>
      <c r="H2" s="14"/>
      <c r="I2" s="14"/>
      <c r="J2" s="14"/>
      <c r="K2" s="14"/>
    </row>
    <row r="3" spans="1:11" x14ac:dyDescent="0.25">
      <c r="A3" s="80" t="s">
        <v>32</v>
      </c>
      <c r="B3" s="81"/>
      <c r="C3" s="82"/>
      <c r="D3" s="82"/>
      <c r="E3" s="83"/>
      <c r="F3" s="14"/>
      <c r="G3" s="14"/>
      <c r="H3" s="14"/>
      <c r="I3" s="14"/>
      <c r="J3" s="14"/>
      <c r="K3" s="14"/>
    </row>
    <row r="4" spans="1:11" x14ac:dyDescent="0.25">
      <c r="A4" s="273" t="s">
        <v>38</v>
      </c>
      <c r="B4" s="274"/>
      <c r="C4" s="58">
        <f>INV!C32</f>
        <v>597.41000000000008</v>
      </c>
      <c r="D4" s="58">
        <v>597.41</v>
      </c>
      <c r="E4" s="59"/>
      <c r="F4" s="14"/>
      <c r="G4" s="14"/>
      <c r="H4" s="14"/>
      <c r="I4" s="14"/>
      <c r="J4" s="14"/>
      <c r="K4" s="14"/>
    </row>
    <row r="5" spans="1:11" x14ac:dyDescent="0.25">
      <c r="A5" s="275" t="s">
        <v>39</v>
      </c>
      <c r="B5" s="276"/>
      <c r="C5" s="60">
        <f>INV!E20</f>
        <v>53914.8</v>
      </c>
      <c r="D5" s="60">
        <v>21565.919999999998</v>
      </c>
      <c r="E5" s="61">
        <v>32348.880000000001</v>
      </c>
      <c r="F5" s="14"/>
      <c r="G5" s="14"/>
      <c r="H5" s="14"/>
      <c r="I5" s="14"/>
      <c r="J5" s="14"/>
      <c r="K5" s="14"/>
    </row>
    <row r="6" spans="1:11" x14ac:dyDescent="0.25">
      <c r="A6" s="84" t="s">
        <v>33</v>
      </c>
      <c r="B6" s="81"/>
      <c r="C6" s="82">
        <v>1857.72</v>
      </c>
      <c r="D6" s="82">
        <v>1857.72</v>
      </c>
      <c r="E6" s="83"/>
      <c r="F6" s="14"/>
      <c r="G6" s="14"/>
      <c r="H6" s="14"/>
      <c r="I6" s="14"/>
      <c r="J6" s="14"/>
      <c r="K6" s="14"/>
    </row>
    <row r="7" spans="1:11" x14ac:dyDescent="0.25">
      <c r="A7" s="277" t="s">
        <v>34</v>
      </c>
      <c r="B7" s="278"/>
      <c r="C7" s="58">
        <f>SUM(C4:C6)</f>
        <v>56369.930000000008</v>
      </c>
      <c r="D7" s="58">
        <f t="shared" ref="D7:E7" si="0">SUM(D4:D6)</f>
        <v>24021.05</v>
      </c>
      <c r="E7" s="58">
        <f t="shared" si="0"/>
        <v>32348.880000000001</v>
      </c>
      <c r="F7" s="14"/>
      <c r="G7" s="34"/>
      <c r="H7" s="14"/>
      <c r="I7" s="14"/>
      <c r="J7" s="14"/>
      <c r="K7" s="14"/>
    </row>
    <row r="8" spans="1:11" x14ac:dyDescent="0.25">
      <c r="A8" s="62"/>
      <c r="B8" s="63"/>
      <c r="C8" s="64">
        <v>1</v>
      </c>
      <c r="D8" s="65" t="s">
        <v>36</v>
      </c>
      <c r="E8" s="66" t="s">
        <v>37</v>
      </c>
      <c r="F8" s="14"/>
      <c r="G8" s="14"/>
      <c r="H8" s="14"/>
      <c r="I8" s="70"/>
      <c r="J8" s="14"/>
      <c r="K8" s="14"/>
    </row>
    <row r="9" spans="1:11" s="2" customFormat="1" x14ac:dyDescent="0.25">
      <c r="A9" s="52"/>
      <c r="B9" s="52"/>
      <c r="C9" s="56"/>
      <c r="D9" s="57"/>
      <c r="E9" s="57"/>
      <c r="F9" s="14"/>
      <c r="G9" s="14"/>
      <c r="H9" s="14"/>
      <c r="I9" s="14"/>
      <c r="J9" s="14"/>
      <c r="K9" s="14"/>
    </row>
    <row r="10" spans="1:11" s="2" customFormat="1" x14ac:dyDescent="0.25">
      <c r="A10" s="52"/>
      <c r="B10" s="52"/>
      <c r="C10" s="54"/>
      <c r="D10" s="55"/>
      <c r="E10" s="53"/>
      <c r="F10" s="14"/>
      <c r="G10" s="14"/>
      <c r="H10" s="14"/>
      <c r="I10" s="14"/>
      <c r="J10" s="14"/>
      <c r="K10" s="14"/>
    </row>
    <row r="11" spans="1:1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70"/>
    </row>
    <row r="12" spans="1:11" x14ac:dyDescent="0.25">
      <c r="A12" s="267" t="s">
        <v>40</v>
      </c>
      <c r="B12" s="268"/>
      <c r="C12" s="268"/>
      <c r="D12" s="268"/>
      <c r="E12" s="269"/>
      <c r="F12" s="14"/>
      <c r="G12" s="14"/>
      <c r="H12" s="14"/>
      <c r="I12" s="14"/>
      <c r="J12" s="14"/>
      <c r="K12" s="14"/>
    </row>
    <row r="13" spans="1:11" x14ac:dyDescent="0.25">
      <c r="A13" s="265" t="s">
        <v>28</v>
      </c>
      <c r="B13" s="266"/>
      <c r="C13" s="71" t="s">
        <v>29</v>
      </c>
      <c r="D13" s="72" t="s">
        <v>42</v>
      </c>
      <c r="E13" s="73" t="s">
        <v>41</v>
      </c>
      <c r="F13" s="14"/>
      <c r="G13" s="14"/>
      <c r="H13" s="14"/>
      <c r="I13" s="14"/>
      <c r="J13" s="14"/>
      <c r="K13" s="14"/>
    </row>
    <row r="14" spans="1:11" x14ac:dyDescent="0.25">
      <c r="A14" s="263" t="s">
        <v>38</v>
      </c>
      <c r="B14" s="264"/>
      <c r="C14" s="205">
        <f>INV!C32</f>
        <v>597.41000000000008</v>
      </c>
      <c r="D14" s="206">
        <v>0.25</v>
      </c>
      <c r="E14" s="207">
        <v>149.35</v>
      </c>
      <c r="F14" s="208"/>
      <c r="G14" s="208"/>
      <c r="H14" s="208"/>
      <c r="I14" s="208"/>
      <c r="J14" s="208"/>
      <c r="K14" s="208"/>
    </row>
    <row r="15" spans="1:11" x14ac:dyDescent="0.25">
      <c r="A15" s="263" t="s">
        <v>39</v>
      </c>
      <c r="B15" s="264"/>
      <c r="C15" s="205">
        <f>INV!E20</f>
        <v>53914.8</v>
      </c>
      <c r="D15" s="206">
        <v>0.125</v>
      </c>
      <c r="E15" s="207">
        <v>6739.35</v>
      </c>
      <c r="F15" s="208"/>
      <c r="G15" s="208"/>
      <c r="H15" s="208"/>
      <c r="I15" s="208"/>
      <c r="J15" s="208"/>
      <c r="K15" s="208"/>
    </row>
    <row r="16" spans="1:11" ht="15.75" thickBot="1" x14ac:dyDescent="0.3">
      <c r="A16" s="51" t="s">
        <v>43</v>
      </c>
      <c r="B16" s="67"/>
      <c r="C16" s="209">
        <f>INV!J11</f>
        <v>54512.210000000006</v>
      </c>
      <c r="D16" s="210"/>
      <c r="E16" s="211">
        <f>SUM(E14,E15)</f>
        <v>6888.7000000000007</v>
      </c>
      <c r="F16" s="208"/>
      <c r="G16" s="208"/>
      <c r="H16" s="208"/>
      <c r="I16" s="208"/>
      <c r="J16" s="208"/>
      <c r="K16" s="208"/>
    </row>
    <row r="17" spans="1:13" x14ac:dyDescent="0.25">
      <c r="A17" s="14"/>
      <c r="B17" s="14"/>
      <c r="C17" s="208"/>
      <c r="D17" s="208"/>
      <c r="E17" s="208"/>
      <c r="F17" s="208"/>
      <c r="G17" s="208"/>
      <c r="H17" s="208"/>
      <c r="I17" s="208"/>
      <c r="J17" s="208"/>
      <c r="K17" s="208"/>
    </row>
    <row r="18" spans="1:13" ht="15.75" thickBot="1" x14ac:dyDescent="0.3">
      <c r="A18" s="14"/>
      <c r="B18" s="14"/>
      <c r="C18" s="208"/>
      <c r="D18" s="208"/>
      <c r="E18" s="208"/>
      <c r="F18" s="208"/>
      <c r="G18" s="208"/>
      <c r="H18" s="208"/>
      <c r="I18" s="208"/>
      <c r="J18" s="208"/>
      <c r="K18" s="208"/>
    </row>
    <row r="19" spans="1:13" ht="15.75" thickBot="1" x14ac:dyDescent="0.3">
      <c r="A19" s="283" t="s">
        <v>44</v>
      </c>
      <c r="B19" s="283"/>
      <c r="C19" s="284"/>
      <c r="D19" s="284"/>
      <c r="E19" s="282" t="s">
        <v>45</v>
      </c>
      <c r="F19" s="282"/>
      <c r="G19" s="282"/>
      <c r="H19" s="282"/>
      <c r="I19" s="282"/>
      <c r="J19" s="282"/>
      <c r="K19" s="212"/>
      <c r="L19" s="5"/>
      <c r="M19" s="5"/>
    </row>
    <row r="20" spans="1:13" ht="15.75" thickBot="1" x14ac:dyDescent="0.3">
      <c r="A20" s="290" t="s">
        <v>49</v>
      </c>
      <c r="B20" s="290"/>
      <c r="C20" s="213" t="s">
        <v>46</v>
      </c>
      <c r="D20" s="213" t="s">
        <v>47</v>
      </c>
      <c r="E20" s="214">
        <v>2020</v>
      </c>
      <c r="F20" s="214">
        <f>E20+1</f>
        <v>2021</v>
      </c>
      <c r="G20" s="214">
        <f t="shared" ref="G20:J20" si="1">F20+1</f>
        <v>2022</v>
      </c>
      <c r="H20" s="214">
        <f t="shared" si="1"/>
        <v>2023</v>
      </c>
      <c r="I20" s="214">
        <f t="shared" si="1"/>
        <v>2024</v>
      </c>
      <c r="J20" s="214">
        <f t="shared" si="1"/>
        <v>2025</v>
      </c>
      <c r="K20" s="215" t="s">
        <v>48</v>
      </c>
    </row>
    <row r="21" spans="1:13" ht="15.75" thickBot="1" x14ac:dyDescent="0.3">
      <c r="A21" s="288" t="s">
        <v>50</v>
      </c>
      <c r="B21" s="288"/>
      <c r="C21" s="216"/>
      <c r="D21" s="216"/>
      <c r="E21" s="216"/>
      <c r="F21" s="216"/>
      <c r="G21" s="216"/>
      <c r="H21" s="216"/>
      <c r="I21" s="216"/>
      <c r="J21" s="216"/>
      <c r="K21" s="217"/>
    </row>
    <row r="22" spans="1:13" ht="15.75" thickBot="1" x14ac:dyDescent="0.3">
      <c r="A22" s="289" t="s">
        <v>38</v>
      </c>
      <c r="B22" s="289"/>
      <c r="C22" s="218">
        <f>INV!C32</f>
        <v>597.41000000000008</v>
      </c>
      <c r="D22" s="219">
        <v>0.25</v>
      </c>
      <c r="E22" s="218">
        <f>$C$22*$D$22</f>
        <v>149.35250000000002</v>
      </c>
      <c r="F22" s="218">
        <f>$C$22*$D$22</f>
        <v>149.35250000000002</v>
      </c>
      <c r="G22" s="218">
        <f>$C$22*$D$22</f>
        <v>149.35250000000002</v>
      </c>
      <c r="H22" s="218">
        <f>$C$22*$D$22</f>
        <v>149.35250000000002</v>
      </c>
      <c r="I22" s="218">
        <v>0</v>
      </c>
      <c r="J22" s="218">
        <v>0</v>
      </c>
      <c r="K22" s="218">
        <v>0</v>
      </c>
    </row>
    <row r="23" spans="1:13" ht="15.75" thickBot="1" x14ac:dyDescent="0.3">
      <c r="A23" s="289" t="s">
        <v>39</v>
      </c>
      <c r="B23" s="289"/>
      <c r="C23" s="218">
        <f>INV!E20</f>
        <v>53914.8</v>
      </c>
      <c r="D23" s="219">
        <v>0.125</v>
      </c>
      <c r="E23" s="218">
        <f>$C$23*$D$23</f>
        <v>6739.35</v>
      </c>
      <c r="F23" s="218">
        <f t="shared" ref="F23:J23" si="2">$C$23*$D$23</f>
        <v>6739.35</v>
      </c>
      <c r="G23" s="218">
        <f t="shared" si="2"/>
        <v>6739.35</v>
      </c>
      <c r="H23" s="218">
        <f t="shared" si="2"/>
        <v>6739.35</v>
      </c>
      <c r="I23" s="218">
        <f t="shared" si="2"/>
        <v>6739.35</v>
      </c>
      <c r="J23" s="218">
        <f t="shared" si="2"/>
        <v>6739.35</v>
      </c>
      <c r="K23" s="218">
        <v>0</v>
      </c>
    </row>
    <row r="24" spans="1:13" ht="15.75" thickBot="1" x14ac:dyDescent="0.3">
      <c r="A24" s="287" t="s">
        <v>51</v>
      </c>
      <c r="B24" s="287"/>
      <c r="C24" s="220">
        <f>SUM(C22,C23)</f>
        <v>54512.210000000006</v>
      </c>
      <c r="D24" s="221"/>
      <c r="E24" s="220">
        <f t="shared" ref="E24:K24" si="3">SUM(E22,E23)</f>
        <v>6888.7025000000003</v>
      </c>
      <c r="F24" s="220">
        <f t="shared" si="3"/>
        <v>6888.7025000000003</v>
      </c>
      <c r="G24" s="220">
        <f t="shared" si="3"/>
        <v>6888.7025000000003</v>
      </c>
      <c r="H24" s="220">
        <f t="shared" si="3"/>
        <v>6888.7025000000003</v>
      </c>
      <c r="I24" s="220">
        <f t="shared" si="3"/>
        <v>6739.35</v>
      </c>
      <c r="J24" s="220">
        <f t="shared" si="3"/>
        <v>6739.35</v>
      </c>
      <c r="K24" s="220">
        <f t="shared" si="3"/>
        <v>0</v>
      </c>
    </row>
    <row r="25" spans="1:13" ht="15.75" thickBot="1" x14ac:dyDescent="0.3">
      <c r="A25" s="286" t="s">
        <v>52</v>
      </c>
      <c r="B25" s="286"/>
      <c r="C25" s="217"/>
      <c r="D25" s="217"/>
      <c r="E25" s="222"/>
      <c r="F25" s="222"/>
      <c r="G25" s="222"/>
      <c r="H25" s="222"/>
      <c r="I25" s="222"/>
      <c r="J25" s="222"/>
      <c r="K25" s="222"/>
    </row>
    <row r="26" spans="1:13" ht="15.75" thickBot="1" x14ac:dyDescent="0.3">
      <c r="A26" s="285" t="s">
        <v>53</v>
      </c>
      <c r="B26" s="285"/>
      <c r="C26" s="223">
        <f>INV!J11</f>
        <v>54512.210000000006</v>
      </c>
      <c r="D26" s="223"/>
      <c r="E26" s="218">
        <f>C26-E24</f>
        <v>47623.507500000007</v>
      </c>
      <c r="F26" s="218">
        <f t="shared" ref="F26:K26" si="4">E26-F24</f>
        <v>40734.805000000008</v>
      </c>
      <c r="G26" s="218">
        <f t="shared" si="4"/>
        <v>33846.102500000008</v>
      </c>
      <c r="H26" s="218">
        <f t="shared" si="4"/>
        <v>26957.400000000009</v>
      </c>
      <c r="I26" s="218">
        <f t="shared" si="4"/>
        <v>20218.05000000001</v>
      </c>
      <c r="J26" s="218">
        <f t="shared" si="4"/>
        <v>13478.70000000001</v>
      </c>
      <c r="K26" s="218">
        <f t="shared" si="4"/>
        <v>13478.70000000001</v>
      </c>
    </row>
    <row r="27" spans="1:13" ht="15.75" thickBot="1" x14ac:dyDescent="0.3">
      <c r="A27" s="285" t="s">
        <v>54</v>
      </c>
      <c r="B27" s="285"/>
      <c r="C27" s="223">
        <v>1857.7243589743591</v>
      </c>
      <c r="D27" s="223"/>
      <c r="E27" s="223">
        <f>TOBS!E13</f>
        <v>1857.7243589743591</v>
      </c>
      <c r="F27" s="223">
        <f>TOBS!F13</f>
        <v>1857.7243589743591</v>
      </c>
      <c r="G27" s="223">
        <f>TOBS!G13</f>
        <v>1857.7243589743591</v>
      </c>
      <c r="H27" s="223">
        <f>TOBS!H13</f>
        <v>1857.7243589743591</v>
      </c>
      <c r="I27" s="223">
        <f>TOBS!I13</f>
        <v>1857.7243589743591</v>
      </c>
      <c r="J27" s="223">
        <f>TOBS!J13</f>
        <v>1857.7243589743591</v>
      </c>
      <c r="K27" s="223">
        <v>1857.72435897436</v>
      </c>
    </row>
    <row r="28" spans="1:13" ht="15.75" thickBot="1" x14ac:dyDescent="0.3">
      <c r="A28" s="281" t="s">
        <v>18</v>
      </c>
      <c r="B28" s="281"/>
      <c r="C28" s="224">
        <f>SUM(C22:C24,C26:C27)</f>
        <v>165394.35435897435</v>
      </c>
      <c r="D28" s="224"/>
      <c r="E28" s="224">
        <f>SUM(E26:E27)</f>
        <v>49481.231858974366</v>
      </c>
      <c r="F28" s="224">
        <f t="shared" ref="F28:K28" si="5">SUM(F26:F27)</f>
        <v>42592.529358974367</v>
      </c>
      <c r="G28" s="224">
        <f t="shared" si="5"/>
        <v>35703.826858974367</v>
      </c>
      <c r="H28" s="224">
        <f t="shared" si="5"/>
        <v>28815.124358974368</v>
      </c>
      <c r="I28" s="224">
        <f t="shared" si="5"/>
        <v>22075.77435897437</v>
      </c>
      <c r="J28" s="224">
        <f t="shared" si="5"/>
        <v>15336.424358974369</v>
      </c>
      <c r="K28" s="224">
        <f t="shared" si="5"/>
        <v>15336.424358974369</v>
      </c>
    </row>
  </sheetData>
  <mergeCells count="21">
    <mergeCell ref="A28:B28"/>
    <mergeCell ref="E19:J19"/>
    <mergeCell ref="A19:B19"/>
    <mergeCell ref="C19:D19"/>
    <mergeCell ref="A27:B27"/>
    <mergeCell ref="A26:B26"/>
    <mergeCell ref="A25:B25"/>
    <mergeCell ref="A24:B24"/>
    <mergeCell ref="A21:B21"/>
    <mergeCell ref="A22:B22"/>
    <mergeCell ref="A20:B20"/>
    <mergeCell ref="A23:B23"/>
    <mergeCell ref="A14:B14"/>
    <mergeCell ref="A15:B15"/>
    <mergeCell ref="A13:B13"/>
    <mergeCell ref="A12:E12"/>
    <mergeCell ref="A1:E1"/>
    <mergeCell ref="A4:B4"/>
    <mergeCell ref="A5:B5"/>
    <mergeCell ref="A7:B7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816B-2392-4D86-ACB7-F7B8C396B9C8}">
  <dimension ref="A1:H21"/>
  <sheetViews>
    <sheetView zoomScale="110" zoomScaleNormal="110" workbookViewId="0">
      <selection activeCell="G15" sqref="G15"/>
    </sheetView>
  </sheetViews>
  <sheetFormatPr defaultRowHeight="15" x14ac:dyDescent="0.25"/>
  <cols>
    <col min="2" max="2" width="17.140625" bestFit="1" customWidth="1"/>
    <col min="3" max="3" width="19.140625" customWidth="1"/>
    <col min="4" max="4" width="30.140625" bestFit="1" customWidth="1"/>
    <col min="5" max="5" width="12.85546875" bestFit="1" customWidth="1"/>
    <col min="6" max="6" width="15" bestFit="1" customWidth="1"/>
    <col min="7" max="7" width="18.7109375" bestFit="1" customWidth="1"/>
  </cols>
  <sheetData>
    <row r="1" spans="1:8" ht="15.75" thickBot="1" x14ac:dyDescent="0.3"/>
    <row r="2" spans="1:8" ht="15.75" thickBot="1" x14ac:dyDescent="0.3">
      <c r="B2" s="87"/>
      <c r="C2" s="294" t="s">
        <v>57</v>
      </c>
      <c r="D2" s="294"/>
      <c r="E2" s="294"/>
      <c r="F2" s="294"/>
      <c r="G2" s="294"/>
    </row>
    <row r="3" spans="1:8" ht="15.75" thickBot="1" x14ac:dyDescent="0.3">
      <c r="B3" s="88"/>
      <c r="C3" s="88" t="s">
        <v>58</v>
      </c>
      <c r="D3" s="88" t="s">
        <v>59</v>
      </c>
      <c r="E3" s="88" t="s">
        <v>60</v>
      </c>
      <c r="F3" s="88" t="s">
        <v>61</v>
      </c>
      <c r="G3" s="88" t="s">
        <v>62</v>
      </c>
      <c r="H3" s="2"/>
    </row>
    <row r="4" spans="1:8" ht="15.75" thickBot="1" x14ac:dyDescent="0.3">
      <c r="A4" s="87"/>
      <c r="B4" s="68" t="s">
        <v>55</v>
      </c>
      <c r="C4" s="89">
        <v>60200</v>
      </c>
      <c r="D4" s="89">
        <v>60200</v>
      </c>
      <c r="E4" s="89">
        <v>60200</v>
      </c>
      <c r="F4" s="89">
        <v>60200</v>
      </c>
      <c r="G4" s="89">
        <v>60200</v>
      </c>
    </row>
    <row r="5" spans="1:8" ht="15.75" thickBot="1" x14ac:dyDescent="0.3">
      <c r="B5" s="91" t="s">
        <v>56</v>
      </c>
      <c r="C5" s="225">
        <v>137256</v>
      </c>
      <c r="D5" s="225">
        <v>137256</v>
      </c>
      <c r="E5" s="225">
        <v>137256</v>
      </c>
      <c r="F5" s="225">
        <v>137256</v>
      </c>
      <c r="G5" s="225">
        <v>137256</v>
      </c>
    </row>
    <row r="6" spans="1:8" s="2" customFormat="1" x14ac:dyDescent="0.25">
      <c r="B6" s="92"/>
      <c r="C6" s="93"/>
      <c r="D6" s="93"/>
      <c r="E6" s="93"/>
      <c r="F6" s="93"/>
      <c r="G6" s="93"/>
    </row>
    <row r="7" spans="1:8" ht="15.75" thickBot="1" x14ac:dyDescent="0.3"/>
    <row r="8" spans="1:8" ht="15.75" thickBot="1" x14ac:dyDescent="0.3">
      <c r="B8" s="291" t="s">
        <v>69</v>
      </c>
      <c r="C8" s="292"/>
      <c r="D8" s="292"/>
      <c r="E8" s="292"/>
      <c r="F8" s="292"/>
      <c r="G8" s="293"/>
    </row>
    <row r="9" spans="1:8" ht="23.45" customHeight="1" thickBot="1" x14ac:dyDescent="0.3">
      <c r="B9" s="86" t="s">
        <v>63</v>
      </c>
      <c r="C9" s="86" t="s">
        <v>66</v>
      </c>
      <c r="D9" s="78" t="s">
        <v>67</v>
      </c>
      <c r="E9" s="86" t="s">
        <v>64</v>
      </c>
      <c r="F9" s="86" t="s">
        <v>65</v>
      </c>
      <c r="G9" s="86" t="s">
        <v>68</v>
      </c>
    </row>
    <row r="10" spans="1:8" ht="15.75" thickBot="1" x14ac:dyDescent="0.3">
      <c r="B10" s="69" t="s">
        <v>55</v>
      </c>
      <c r="C10" s="69">
        <v>60200</v>
      </c>
      <c r="D10" s="226">
        <v>2.2799999999999998</v>
      </c>
      <c r="E10" s="226">
        <v>449.16</v>
      </c>
      <c r="F10" s="226">
        <v>11438.76</v>
      </c>
      <c r="G10" s="69">
        <v>137256</v>
      </c>
    </row>
    <row r="11" spans="1:8" ht="15.75" thickBot="1" x14ac:dyDescent="0.3">
      <c r="B11" s="79" t="s">
        <v>18</v>
      </c>
      <c r="C11" s="85">
        <v>60200</v>
      </c>
      <c r="D11" s="227">
        <v>2.2799999999999998</v>
      </c>
      <c r="E11" s="228">
        <v>449.16</v>
      </c>
      <c r="F11" s="227">
        <v>11438.76</v>
      </c>
      <c r="G11" s="229">
        <v>137256</v>
      </c>
    </row>
    <row r="12" spans="1:8" ht="15.75" thickBot="1" x14ac:dyDescent="0.3">
      <c r="B12" s="5"/>
      <c r="C12" s="5"/>
      <c r="D12" s="5"/>
      <c r="E12" s="5"/>
      <c r="F12" s="5"/>
      <c r="G12" s="5"/>
    </row>
    <row r="13" spans="1:8" ht="15.75" thickBot="1" x14ac:dyDescent="0.3">
      <c r="B13" s="295" t="s">
        <v>71</v>
      </c>
      <c r="C13" s="296"/>
      <c r="D13" s="296"/>
      <c r="E13" s="296"/>
      <c r="F13" s="296"/>
      <c r="G13" s="297"/>
    </row>
    <row r="14" spans="1:8" ht="15.75" thickBot="1" x14ac:dyDescent="0.3">
      <c r="B14" s="86" t="s">
        <v>63</v>
      </c>
      <c r="C14" s="86" t="s">
        <v>66</v>
      </c>
      <c r="D14" s="78" t="s">
        <v>67</v>
      </c>
      <c r="E14" s="86" t="s">
        <v>64</v>
      </c>
      <c r="F14" s="86" t="s">
        <v>65</v>
      </c>
      <c r="G14" s="86" t="s">
        <v>68</v>
      </c>
    </row>
    <row r="15" spans="1:8" ht="15.75" thickBot="1" x14ac:dyDescent="0.3">
      <c r="B15" s="69" t="s">
        <v>55</v>
      </c>
      <c r="C15" s="69">
        <v>60200</v>
      </c>
      <c r="D15" s="226">
        <v>2.2799999999999998</v>
      </c>
      <c r="E15" s="226">
        <v>449.16</v>
      </c>
      <c r="F15" s="226">
        <v>11438.76</v>
      </c>
      <c r="G15" s="69">
        <v>137256</v>
      </c>
    </row>
    <row r="16" spans="1:8" ht="15.75" thickBot="1" x14ac:dyDescent="0.3">
      <c r="B16" s="79" t="s">
        <v>18</v>
      </c>
      <c r="C16" s="85">
        <v>60200</v>
      </c>
      <c r="D16" s="227">
        <v>2.2799999999999998</v>
      </c>
      <c r="E16" s="228">
        <v>449.16</v>
      </c>
      <c r="F16" s="227">
        <v>11438.76</v>
      </c>
      <c r="G16" s="229">
        <v>137256</v>
      </c>
    </row>
    <row r="17" spans="2:7" ht="15.75" thickBot="1" x14ac:dyDescent="0.3">
      <c r="B17" s="5"/>
      <c r="C17" s="5"/>
      <c r="D17" s="5"/>
      <c r="E17" s="5"/>
      <c r="F17" s="5"/>
      <c r="G17" s="5"/>
    </row>
    <row r="18" spans="2:7" ht="15.75" thickBot="1" x14ac:dyDescent="0.3">
      <c r="B18" s="298" t="s">
        <v>70</v>
      </c>
      <c r="C18" s="299"/>
      <c r="D18" s="299"/>
      <c r="E18" s="299"/>
      <c r="F18" s="299"/>
      <c r="G18" s="300"/>
    </row>
    <row r="19" spans="2:7" ht="15.75" thickBot="1" x14ac:dyDescent="0.3">
      <c r="B19" s="86" t="s">
        <v>63</v>
      </c>
      <c r="C19" s="86" t="s">
        <v>66</v>
      </c>
      <c r="D19" s="78" t="s">
        <v>67</v>
      </c>
      <c r="E19" s="86" t="s">
        <v>64</v>
      </c>
      <c r="F19" s="86" t="s">
        <v>65</v>
      </c>
      <c r="G19" s="86" t="s">
        <v>68</v>
      </c>
    </row>
    <row r="20" spans="2:7" ht="15.75" thickBot="1" x14ac:dyDescent="0.3">
      <c r="B20" s="69" t="s">
        <v>55</v>
      </c>
      <c r="C20" s="69">
        <v>60200</v>
      </c>
      <c r="D20" s="226">
        <v>2.2799999999999998</v>
      </c>
      <c r="E20" s="230">
        <v>449.16</v>
      </c>
      <c r="F20" s="230">
        <v>11438.76</v>
      </c>
      <c r="G20" s="232">
        <f>C20*D20</f>
        <v>137256</v>
      </c>
    </row>
    <row r="21" spans="2:7" ht="15.75" thickBot="1" x14ac:dyDescent="0.3">
      <c r="B21" s="79" t="s">
        <v>18</v>
      </c>
      <c r="C21" s="191">
        <v>60200</v>
      </c>
      <c r="D21" s="227">
        <v>2.2799999999999998</v>
      </c>
      <c r="E21" s="231">
        <v>449.16</v>
      </c>
      <c r="F21" s="229">
        <v>11438.76</v>
      </c>
      <c r="G21" s="232">
        <f>C21*D21</f>
        <v>137256</v>
      </c>
    </row>
  </sheetData>
  <mergeCells count="4">
    <mergeCell ref="B8:G8"/>
    <mergeCell ref="C2:G2"/>
    <mergeCell ref="B13:G13"/>
    <mergeCell ref="B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C7C-65FF-446A-85F4-630D6F32DE96}">
  <dimension ref="B1:O22"/>
  <sheetViews>
    <sheetView zoomScaleNormal="100" workbookViewId="0">
      <selection activeCell="J27" sqref="J27"/>
    </sheetView>
  </sheetViews>
  <sheetFormatPr defaultRowHeight="15" x14ac:dyDescent="0.25"/>
  <cols>
    <col min="2" max="2" width="40.28515625" customWidth="1"/>
    <col min="3" max="3" width="26.140625" bestFit="1" customWidth="1"/>
    <col min="4" max="4" width="14" bestFit="1" customWidth="1"/>
    <col min="5" max="5" width="11.28515625" bestFit="1" customWidth="1"/>
    <col min="6" max="6" width="13.42578125" bestFit="1" customWidth="1"/>
    <col min="7" max="7" width="15.140625" bestFit="1" customWidth="1"/>
    <col min="8" max="8" width="14.42578125" bestFit="1" customWidth="1"/>
  </cols>
  <sheetData>
    <row r="1" spans="2:15" ht="14.45" customHeight="1" x14ac:dyDescent="0.25">
      <c r="B1" s="301" t="s">
        <v>72</v>
      </c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</row>
    <row r="2" spans="2:15" ht="14.45" customHeight="1" x14ac:dyDescent="0.25"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</row>
    <row r="3" spans="2:15" ht="14.45" customHeight="1" x14ac:dyDescent="0.25"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</row>
    <row r="5" spans="2:15" ht="15.75" thickBot="1" x14ac:dyDescent="0.3"/>
    <row r="6" spans="2:15" ht="15.75" thickBot="1" x14ac:dyDescent="0.3">
      <c r="C6" s="302" t="s">
        <v>82</v>
      </c>
      <c r="D6" s="302"/>
      <c r="E6" s="302"/>
      <c r="F6" s="302"/>
      <c r="G6" s="302"/>
      <c r="H6" s="302"/>
    </row>
    <row r="7" spans="2:15" ht="15.75" thickBot="1" x14ac:dyDescent="0.3">
      <c r="C7" s="94" t="s">
        <v>73</v>
      </c>
      <c r="D7" s="94" t="s">
        <v>74</v>
      </c>
      <c r="E7" s="94" t="s">
        <v>75</v>
      </c>
      <c r="F7" s="94" t="s">
        <v>76</v>
      </c>
      <c r="G7" s="94" t="s">
        <v>77</v>
      </c>
      <c r="H7" s="94" t="s">
        <v>78</v>
      </c>
    </row>
    <row r="8" spans="2:15" ht="15.75" thickBot="1" x14ac:dyDescent="0.3">
      <c r="C8" s="35" t="s">
        <v>79</v>
      </c>
      <c r="D8" s="35">
        <v>4</v>
      </c>
      <c r="E8" s="233">
        <v>50.16</v>
      </c>
      <c r="F8" s="233">
        <v>200.64</v>
      </c>
      <c r="G8" s="233">
        <v>6019.2</v>
      </c>
      <c r="H8" s="233">
        <v>73233.600000000006</v>
      </c>
    </row>
    <row r="9" spans="2:15" ht="15.75" thickBot="1" x14ac:dyDescent="0.3">
      <c r="C9" s="35" t="s">
        <v>80</v>
      </c>
      <c r="D9" s="35">
        <v>3</v>
      </c>
      <c r="E9" s="233">
        <v>12.83</v>
      </c>
      <c r="F9" s="233">
        <v>38.49</v>
      </c>
      <c r="G9" s="233">
        <v>1154.7</v>
      </c>
      <c r="H9" s="233">
        <v>13856.4</v>
      </c>
    </row>
    <row r="10" spans="2:15" ht="15.75" thickBot="1" x14ac:dyDescent="0.3">
      <c r="C10" s="95" t="s">
        <v>81</v>
      </c>
      <c r="D10" s="95"/>
      <c r="E10" s="234"/>
      <c r="F10" s="234">
        <f>SUM(F8,F9)</f>
        <v>239.13</v>
      </c>
      <c r="G10" s="234">
        <f>SUM(G8,G9)</f>
        <v>7173.9</v>
      </c>
      <c r="H10" s="235">
        <f>SUM(H8,H9)</f>
        <v>87090</v>
      </c>
    </row>
    <row r="11" spans="2:15" ht="15.75" thickBot="1" x14ac:dyDescent="0.3">
      <c r="C11" s="14"/>
      <c r="D11" s="14"/>
      <c r="E11" s="14"/>
      <c r="F11" s="14"/>
      <c r="G11" s="14"/>
      <c r="H11" s="14"/>
    </row>
    <row r="12" spans="2:15" ht="15.75" thickBot="1" x14ac:dyDescent="0.3">
      <c r="C12" s="302" t="s">
        <v>83</v>
      </c>
      <c r="D12" s="302"/>
      <c r="E12" s="302"/>
      <c r="F12" s="302"/>
      <c r="G12" s="302"/>
      <c r="H12" s="302"/>
    </row>
    <row r="13" spans="2:15" ht="15.75" thickBot="1" x14ac:dyDescent="0.3">
      <c r="C13" s="94" t="s">
        <v>73</v>
      </c>
      <c r="D13" s="94" t="s">
        <v>74</v>
      </c>
      <c r="E13" s="94" t="s">
        <v>75</v>
      </c>
      <c r="F13" s="94" t="s">
        <v>76</v>
      </c>
      <c r="G13" s="94" t="s">
        <v>77</v>
      </c>
      <c r="H13" s="94" t="s">
        <v>78</v>
      </c>
    </row>
    <row r="14" spans="2:15" ht="15.75" thickBot="1" x14ac:dyDescent="0.3">
      <c r="C14" s="35" t="s">
        <v>79</v>
      </c>
      <c r="D14" s="35">
        <v>4</v>
      </c>
      <c r="E14" s="233">
        <v>50.16</v>
      </c>
      <c r="F14" s="233">
        <v>200.64</v>
      </c>
      <c r="G14" s="233">
        <v>6019.2</v>
      </c>
      <c r="H14" s="233">
        <v>73233.600000000006</v>
      </c>
    </row>
    <row r="15" spans="2:15" ht="15.75" thickBot="1" x14ac:dyDescent="0.3">
      <c r="C15" s="35" t="s">
        <v>80</v>
      </c>
      <c r="D15" s="35">
        <v>3</v>
      </c>
      <c r="E15" s="233">
        <v>12.83</v>
      </c>
      <c r="F15" s="233">
        <v>38.49</v>
      </c>
      <c r="G15" s="233">
        <v>1154.7</v>
      </c>
      <c r="H15" s="233">
        <v>13856.4</v>
      </c>
    </row>
    <row r="16" spans="2:15" ht="15.75" thickBot="1" x14ac:dyDescent="0.3">
      <c r="C16" s="95" t="s">
        <v>81</v>
      </c>
      <c r="D16" s="95"/>
      <c r="E16" s="234"/>
      <c r="F16" s="234">
        <f>SUM(F14,F15)</f>
        <v>239.13</v>
      </c>
      <c r="G16" s="234">
        <f>SUM(G14,G15)</f>
        <v>7173.9</v>
      </c>
      <c r="H16" s="235">
        <f>SUM(H14,H15)</f>
        <v>87090</v>
      </c>
    </row>
    <row r="17" spans="3:8" ht="15.75" thickBot="1" x14ac:dyDescent="0.3">
      <c r="C17" s="14"/>
      <c r="D17" s="14"/>
      <c r="E17" s="14"/>
      <c r="F17" s="14"/>
      <c r="G17" s="14"/>
      <c r="H17" s="14"/>
    </row>
    <row r="18" spans="3:8" ht="15.75" thickBot="1" x14ac:dyDescent="0.3">
      <c r="C18" s="302" t="s">
        <v>84</v>
      </c>
      <c r="D18" s="302"/>
      <c r="E18" s="302"/>
      <c r="F18" s="302"/>
      <c r="G18" s="302"/>
      <c r="H18" s="302"/>
    </row>
    <row r="19" spans="3:8" ht="15.75" thickBot="1" x14ac:dyDescent="0.3">
      <c r="C19" s="94" t="s">
        <v>73</v>
      </c>
      <c r="D19" s="94" t="s">
        <v>74</v>
      </c>
      <c r="E19" s="94" t="s">
        <v>75</v>
      </c>
      <c r="F19" s="94" t="s">
        <v>76</v>
      </c>
      <c r="G19" s="94" t="s">
        <v>77</v>
      </c>
      <c r="H19" s="94" t="s">
        <v>78</v>
      </c>
    </row>
    <row r="20" spans="3:8" ht="15.75" thickBot="1" x14ac:dyDescent="0.3">
      <c r="C20" s="35" t="s">
        <v>79</v>
      </c>
      <c r="D20" s="35">
        <v>4</v>
      </c>
      <c r="E20" s="233">
        <v>50.16</v>
      </c>
      <c r="F20" s="233">
        <v>200.64</v>
      </c>
      <c r="G20" s="233">
        <v>6019.2</v>
      </c>
      <c r="H20" s="233">
        <v>73233.600000000006</v>
      </c>
    </row>
    <row r="21" spans="3:8" ht="15.75" thickBot="1" x14ac:dyDescent="0.3">
      <c r="C21" s="35" t="s">
        <v>80</v>
      </c>
      <c r="D21" s="35">
        <v>3</v>
      </c>
      <c r="E21" s="233">
        <v>12.83</v>
      </c>
      <c r="F21" s="233">
        <v>38.49</v>
      </c>
      <c r="G21" s="233">
        <v>1154.7</v>
      </c>
      <c r="H21" s="233">
        <v>13856.4</v>
      </c>
    </row>
    <row r="22" spans="3:8" ht="15.75" thickBot="1" x14ac:dyDescent="0.3">
      <c r="C22" s="95" t="s">
        <v>81</v>
      </c>
      <c r="D22" s="95"/>
      <c r="E22" s="234"/>
      <c r="F22" s="234">
        <f>SUM(F20,F21)</f>
        <v>239.13</v>
      </c>
      <c r="G22" s="234">
        <f>SUM(G20,G21)</f>
        <v>7173.9</v>
      </c>
      <c r="H22" s="235">
        <f>SUM(H20,H21)</f>
        <v>87090</v>
      </c>
    </row>
  </sheetData>
  <mergeCells count="4">
    <mergeCell ref="B1:O3"/>
    <mergeCell ref="C6:H6"/>
    <mergeCell ref="C12:H12"/>
    <mergeCell ref="C18:H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BF45-A7EC-49AD-A191-D8772EB90A08}">
  <dimension ref="B1:J34"/>
  <sheetViews>
    <sheetView topLeftCell="A4" zoomScaleNormal="100" workbookViewId="0">
      <selection activeCell="C34" sqref="C34:H34"/>
    </sheetView>
  </sheetViews>
  <sheetFormatPr defaultRowHeight="15" x14ac:dyDescent="0.25"/>
  <cols>
    <col min="2" max="2" width="36.5703125" bestFit="1" customWidth="1"/>
    <col min="3" max="3" width="26.140625" bestFit="1" customWidth="1"/>
    <col min="4" max="4" width="14" bestFit="1" customWidth="1"/>
    <col min="5" max="5" width="14.5703125" bestFit="1" customWidth="1"/>
    <col min="6" max="6" width="13.85546875" bestFit="1" customWidth="1"/>
    <col min="7" max="7" width="15.140625" bestFit="1" customWidth="1"/>
    <col min="8" max="8" width="14.42578125" bestFit="1" customWidth="1"/>
    <col min="9" max="9" width="14.5703125" bestFit="1" customWidth="1"/>
    <col min="10" max="10" width="13.85546875" bestFit="1" customWidth="1"/>
    <col min="11" max="11" width="9" bestFit="1" customWidth="1"/>
    <col min="12" max="12" width="14.5703125" bestFit="1" customWidth="1"/>
    <col min="13" max="13" width="13.85546875" bestFit="1" customWidth="1"/>
    <col min="14" max="14" width="9" bestFit="1" customWidth="1"/>
    <col min="15" max="15" width="14.5703125" bestFit="1" customWidth="1"/>
    <col min="16" max="16" width="13.85546875" bestFit="1" customWidth="1"/>
    <col min="17" max="17" width="9" bestFit="1" customWidth="1"/>
    <col min="18" max="18" width="14.5703125" bestFit="1" customWidth="1"/>
    <col min="19" max="19" width="13.85546875" bestFit="1" customWidth="1"/>
  </cols>
  <sheetData>
    <row r="1" spans="3:8" x14ac:dyDescent="0.25">
      <c r="C1" s="301" t="s">
        <v>87</v>
      </c>
      <c r="D1" s="301"/>
      <c r="E1" s="301"/>
      <c r="F1" s="301"/>
      <c r="G1" s="301"/>
      <c r="H1" s="301"/>
    </row>
    <row r="2" spans="3:8" x14ac:dyDescent="0.25">
      <c r="C2" s="301"/>
      <c r="D2" s="301"/>
      <c r="E2" s="301"/>
      <c r="F2" s="301"/>
      <c r="G2" s="301"/>
      <c r="H2" s="301"/>
    </row>
    <row r="3" spans="3:8" x14ac:dyDescent="0.25">
      <c r="C3" s="301"/>
      <c r="D3" s="301"/>
      <c r="E3" s="301"/>
      <c r="F3" s="301"/>
      <c r="G3" s="301"/>
      <c r="H3" s="301"/>
    </row>
    <row r="4" spans="3:8" x14ac:dyDescent="0.25">
      <c r="C4" s="301"/>
      <c r="D4" s="301"/>
      <c r="E4" s="301"/>
      <c r="F4" s="301"/>
      <c r="G4" s="301"/>
      <c r="H4" s="301"/>
    </row>
    <row r="8" spans="3:8" ht="15.75" thickBot="1" x14ac:dyDescent="0.3"/>
    <row r="9" spans="3:8" ht="15.75" thickBot="1" x14ac:dyDescent="0.3">
      <c r="C9" s="302" t="s">
        <v>82</v>
      </c>
      <c r="D9" s="302"/>
      <c r="E9" s="302"/>
      <c r="F9" s="302"/>
      <c r="G9" s="302"/>
      <c r="H9" s="302"/>
    </row>
    <row r="10" spans="3:8" ht="15.75" thickBot="1" x14ac:dyDescent="0.3">
      <c r="C10" s="94" t="s">
        <v>73</v>
      </c>
      <c r="D10" s="94" t="s">
        <v>74</v>
      </c>
      <c r="E10" s="94" t="s">
        <v>75</v>
      </c>
      <c r="F10" s="94" t="s">
        <v>76</v>
      </c>
      <c r="G10" s="94" t="s">
        <v>77</v>
      </c>
      <c r="H10" s="94" t="s">
        <v>78</v>
      </c>
    </row>
    <row r="11" spans="3:8" ht="15.75" thickBot="1" x14ac:dyDescent="0.3">
      <c r="C11" s="35" t="s">
        <v>79</v>
      </c>
      <c r="D11" s="35">
        <v>4</v>
      </c>
      <c r="E11" s="233">
        <v>50.16</v>
      </c>
      <c r="F11" s="233">
        <v>200.64</v>
      </c>
      <c r="G11" s="233">
        <v>6019.2</v>
      </c>
      <c r="H11" s="233">
        <v>73233.600000000006</v>
      </c>
    </row>
    <row r="12" spans="3:8" ht="15.75" thickBot="1" x14ac:dyDescent="0.3">
      <c r="C12" s="35" t="s">
        <v>80</v>
      </c>
      <c r="D12" s="35">
        <v>3</v>
      </c>
      <c r="E12" s="233">
        <v>12.83</v>
      </c>
      <c r="F12" s="233">
        <v>38.49</v>
      </c>
      <c r="G12" s="233">
        <v>1154.7</v>
      </c>
      <c r="H12" s="233">
        <v>13856.4</v>
      </c>
    </row>
    <row r="13" spans="3:8" ht="15.75" thickBot="1" x14ac:dyDescent="0.3">
      <c r="C13" s="95" t="s">
        <v>81</v>
      </c>
      <c r="D13" s="95"/>
      <c r="E13" s="234"/>
      <c r="F13" s="234">
        <f>SUM(F11,F12)</f>
        <v>239.13</v>
      </c>
      <c r="G13" s="234">
        <f>SUM(G11,G12)</f>
        <v>7173.9</v>
      </c>
      <c r="H13" s="235">
        <f>SUM(H11,H12)</f>
        <v>87090</v>
      </c>
    </row>
    <row r="14" spans="3:8" ht="15.75" thickBot="1" x14ac:dyDescent="0.3">
      <c r="C14" s="14"/>
      <c r="D14" s="14"/>
      <c r="E14" s="14"/>
      <c r="F14" s="14"/>
      <c r="G14" s="14"/>
      <c r="H14" s="14"/>
    </row>
    <row r="15" spans="3:8" ht="15.75" thickBot="1" x14ac:dyDescent="0.3">
      <c r="C15" s="302" t="s">
        <v>83</v>
      </c>
      <c r="D15" s="302"/>
      <c r="E15" s="302"/>
      <c r="F15" s="302"/>
      <c r="G15" s="302"/>
      <c r="H15" s="302"/>
    </row>
    <row r="16" spans="3:8" ht="15.75" thickBot="1" x14ac:dyDescent="0.3">
      <c r="C16" s="94" t="s">
        <v>73</v>
      </c>
      <c r="D16" s="94" t="s">
        <v>74</v>
      </c>
      <c r="E16" s="94" t="s">
        <v>75</v>
      </c>
      <c r="F16" s="94" t="s">
        <v>76</v>
      </c>
      <c r="G16" s="94" t="s">
        <v>77</v>
      </c>
      <c r="H16" s="94" t="s">
        <v>78</v>
      </c>
    </row>
    <row r="17" spans="2:10" ht="15.75" thickBot="1" x14ac:dyDescent="0.3">
      <c r="C17" s="35" t="s">
        <v>79</v>
      </c>
      <c r="D17" s="35">
        <v>4</v>
      </c>
      <c r="E17" s="233">
        <v>50.16</v>
      </c>
      <c r="F17" s="233">
        <v>200.64</v>
      </c>
      <c r="G17" s="233">
        <v>6019.2</v>
      </c>
      <c r="H17" s="233">
        <v>73233.600000000006</v>
      </c>
    </row>
    <row r="18" spans="2:10" ht="15.75" thickBot="1" x14ac:dyDescent="0.3">
      <c r="C18" s="35" t="s">
        <v>80</v>
      </c>
      <c r="D18" s="35">
        <v>3</v>
      </c>
      <c r="E18" s="233">
        <v>12.83</v>
      </c>
      <c r="F18" s="233">
        <v>38.49</v>
      </c>
      <c r="G18" s="233">
        <v>1154.7</v>
      </c>
      <c r="H18" s="233">
        <v>13856.4</v>
      </c>
    </row>
    <row r="19" spans="2:10" ht="15.75" thickBot="1" x14ac:dyDescent="0.3">
      <c r="C19" s="95" t="s">
        <v>81</v>
      </c>
      <c r="D19" s="95"/>
      <c r="E19" s="234"/>
      <c r="F19" s="234">
        <f>SUM(F17,F18)</f>
        <v>239.13</v>
      </c>
      <c r="G19" s="234">
        <f>SUM(G17,G18)</f>
        <v>7173.9</v>
      </c>
      <c r="H19" s="235">
        <f>SUM(H17,H18)</f>
        <v>87090</v>
      </c>
    </row>
    <row r="20" spans="2:10" ht="15.75" thickBot="1" x14ac:dyDescent="0.3">
      <c r="C20" s="14"/>
      <c r="D20" s="14"/>
      <c r="E20" s="14"/>
      <c r="F20" s="14"/>
      <c r="G20" s="14"/>
      <c r="H20" s="14"/>
    </row>
    <row r="21" spans="2:10" ht="15.75" thickBot="1" x14ac:dyDescent="0.3">
      <c r="C21" s="302" t="s">
        <v>84</v>
      </c>
      <c r="D21" s="302"/>
      <c r="E21" s="302"/>
      <c r="F21" s="302"/>
      <c r="G21" s="302"/>
      <c r="H21" s="302"/>
    </row>
    <row r="22" spans="2:10" ht="15.75" thickBot="1" x14ac:dyDescent="0.3">
      <c r="C22" s="94" t="s">
        <v>73</v>
      </c>
      <c r="D22" s="94" t="s">
        <v>74</v>
      </c>
      <c r="E22" s="94" t="s">
        <v>75</v>
      </c>
      <c r="F22" s="94" t="s">
        <v>76</v>
      </c>
      <c r="G22" s="94" t="s">
        <v>77</v>
      </c>
      <c r="H22" s="94" t="s">
        <v>78</v>
      </c>
    </row>
    <row r="23" spans="2:10" ht="15.75" thickBot="1" x14ac:dyDescent="0.3">
      <c r="C23" s="35" t="s">
        <v>79</v>
      </c>
      <c r="D23" s="35">
        <v>4</v>
      </c>
      <c r="E23" s="233">
        <v>50.16</v>
      </c>
      <c r="F23" s="233">
        <v>200.64</v>
      </c>
      <c r="G23" s="233">
        <v>6019.2</v>
      </c>
      <c r="H23" s="233">
        <v>73233.600000000006</v>
      </c>
      <c r="J23" t="s">
        <v>2</v>
      </c>
    </row>
    <row r="24" spans="2:10" ht="15.75" thickBot="1" x14ac:dyDescent="0.3">
      <c r="C24" s="35" t="s">
        <v>80</v>
      </c>
      <c r="D24" s="35">
        <v>3</v>
      </c>
      <c r="E24" s="233">
        <v>12.83</v>
      </c>
      <c r="F24" s="233">
        <v>38.49</v>
      </c>
      <c r="G24" s="233">
        <v>1154.7</v>
      </c>
      <c r="H24" s="233">
        <v>13856.4</v>
      </c>
    </row>
    <row r="25" spans="2:10" ht="15.75" thickBot="1" x14ac:dyDescent="0.3">
      <c r="C25" s="95" t="s">
        <v>81</v>
      </c>
      <c r="D25" s="95"/>
      <c r="E25" s="234"/>
      <c r="F25" s="234">
        <f>SUM(F23,F24)</f>
        <v>239.13</v>
      </c>
      <c r="G25" s="234">
        <f>SUM(G23,G24)</f>
        <v>7173.9</v>
      </c>
      <c r="H25" s="235">
        <f>SUM(H23,H24)</f>
        <v>87090</v>
      </c>
    </row>
    <row r="27" spans="2:10" ht="15.75" thickBot="1" x14ac:dyDescent="0.3"/>
    <row r="28" spans="2:10" ht="15.75" thickBot="1" x14ac:dyDescent="0.3">
      <c r="B28" s="98"/>
      <c r="C28" s="305" t="s">
        <v>92</v>
      </c>
      <c r="D28" s="304"/>
      <c r="E28" s="303" t="s">
        <v>91</v>
      </c>
      <c r="F28" s="304"/>
      <c r="G28" s="303" t="s">
        <v>90</v>
      </c>
      <c r="H28" s="304"/>
      <c r="I28" s="97"/>
      <c r="J28" s="97"/>
    </row>
    <row r="29" spans="2:10" ht="15.75" thickBot="1" x14ac:dyDescent="0.3">
      <c r="B29" s="96"/>
      <c r="C29" s="96" t="s">
        <v>77</v>
      </c>
      <c r="D29" s="96" t="s">
        <v>78</v>
      </c>
      <c r="E29" s="96" t="s">
        <v>77</v>
      </c>
      <c r="F29" s="96" t="s">
        <v>78</v>
      </c>
      <c r="G29" s="96" t="s">
        <v>77</v>
      </c>
      <c r="H29" s="96" t="s">
        <v>78</v>
      </c>
    </row>
    <row r="30" spans="2:10" ht="15.75" thickBot="1" x14ac:dyDescent="0.3">
      <c r="B30" s="88" t="s">
        <v>85</v>
      </c>
      <c r="C30" s="232">
        <v>162</v>
      </c>
      <c r="D30" s="232">
        <v>1944</v>
      </c>
      <c r="E30" s="232">
        <v>162</v>
      </c>
      <c r="F30" s="232">
        <v>1944</v>
      </c>
      <c r="G30" s="232">
        <v>162</v>
      </c>
      <c r="H30" s="232">
        <v>1944</v>
      </c>
    </row>
    <row r="31" spans="2:10" ht="15.75" thickBot="1" x14ac:dyDescent="0.3">
      <c r="B31" s="88" t="s">
        <v>86</v>
      </c>
      <c r="C31" s="232">
        <v>643.75</v>
      </c>
      <c r="D31" s="232">
        <v>7831.8</v>
      </c>
      <c r="E31" s="232">
        <v>643.75</v>
      </c>
      <c r="F31" s="232">
        <v>7831.8</v>
      </c>
      <c r="G31" s="232">
        <v>643.75</v>
      </c>
      <c r="H31" s="232">
        <v>7831.8</v>
      </c>
    </row>
    <row r="32" spans="2:10" ht="15.75" thickBot="1" x14ac:dyDescent="0.3">
      <c r="B32" s="91" t="s">
        <v>81</v>
      </c>
      <c r="C32" s="236">
        <f t="shared" ref="C32:H32" si="0">SUM(C30,C31)</f>
        <v>805.75</v>
      </c>
      <c r="D32" s="236">
        <f t="shared" si="0"/>
        <v>9775.7999999999993</v>
      </c>
      <c r="E32" s="236">
        <f t="shared" si="0"/>
        <v>805.75</v>
      </c>
      <c r="F32" s="236">
        <f t="shared" si="0"/>
        <v>9775.7999999999993</v>
      </c>
      <c r="G32" s="236">
        <f t="shared" si="0"/>
        <v>805.75</v>
      </c>
      <c r="H32" s="236">
        <f t="shared" si="0"/>
        <v>9775.7999999999993</v>
      </c>
    </row>
    <row r="33" spans="2:8" ht="15.75" thickBot="1" x14ac:dyDescent="0.3">
      <c r="B33" s="88" t="s">
        <v>89</v>
      </c>
      <c r="C33" s="232">
        <v>20.149999999999999</v>
      </c>
      <c r="D33" s="232">
        <v>241.74</v>
      </c>
      <c r="E33" s="232">
        <v>20.149999999999999</v>
      </c>
      <c r="F33" s="232">
        <v>241.74</v>
      </c>
      <c r="G33" s="232">
        <v>20.149999999999999</v>
      </c>
      <c r="H33" s="232">
        <v>241.74</v>
      </c>
    </row>
    <row r="34" spans="2:8" ht="15.75" thickBot="1" x14ac:dyDescent="0.3">
      <c r="B34" s="91" t="s">
        <v>88</v>
      </c>
      <c r="C34" s="236">
        <f>SUM(C30,C31,C33)</f>
        <v>825.9</v>
      </c>
      <c r="D34" s="236">
        <f t="shared" ref="D34:F34" si="1">SUM(D30,D31,D33)</f>
        <v>10017.539999999999</v>
      </c>
      <c r="E34" s="236">
        <f t="shared" si="1"/>
        <v>825.9</v>
      </c>
      <c r="F34" s="236">
        <f t="shared" si="1"/>
        <v>10017.539999999999</v>
      </c>
      <c r="G34" s="236">
        <f t="shared" ref="G34" si="2">SUM(G30,G31,G33)</f>
        <v>825.9</v>
      </c>
      <c r="H34" s="236">
        <f t="shared" ref="H34" si="3">SUM(H30,H31,H33)</f>
        <v>10017.539999999999</v>
      </c>
    </row>
  </sheetData>
  <mergeCells count="7">
    <mergeCell ref="C1:H4"/>
    <mergeCell ref="E28:F28"/>
    <mergeCell ref="G28:H28"/>
    <mergeCell ref="C28:D28"/>
    <mergeCell ref="C9:H9"/>
    <mergeCell ref="C15:H15"/>
    <mergeCell ref="C21:H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7133-831F-45F6-9738-EEEE7DD9FBC5}">
  <dimension ref="A1:N54"/>
  <sheetViews>
    <sheetView topLeftCell="A7" zoomScale="73" zoomScaleNormal="73" workbookViewId="0">
      <selection activeCell="N24" sqref="N24"/>
    </sheetView>
  </sheetViews>
  <sheetFormatPr defaultRowHeight="15" x14ac:dyDescent="0.25"/>
  <cols>
    <col min="1" max="1" width="36.5703125" bestFit="1" customWidth="1"/>
    <col min="2" max="2" width="9" bestFit="1" customWidth="1"/>
    <col min="3" max="3" width="14.7109375" customWidth="1"/>
    <col min="4" max="4" width="8.42578125" bestFit="1" customWidth="1"/>
    <col min="5" max="5" width="9.5703125" bestFit="1" customWidth="1"/>
    <col min="6" max="6" width="7.28515625" bestFit="1" customWidth="1"/>
    <col min="7" max="7" width="9.5703125" bestFit="1" customWidth="1"/>
    <col min="8" max="8" width="11.7109375" bestFit="1" customWidth="1"/>
    <col min="9" max="9" width="11.5703125" bestFit="1" customWidth="1"/>
    <col min="10" max="10" width="13.42578125" customWidth="1"/>
    <col min="11" max="11" width="16.140625" customWidth="1"/>
    <col min="13" max="13" width="11.5703125" customWidth="1"/>
  </cols>
  <sheetData>
    <row r="1" spans="1:14" x14ac:dyDescent="0.25">
      <c r="A1" s="308" t="s">
        <v>31</v>
      </c>
      <c r="B1" s="308"/>
      <c r="C1" s="317">
        <v>32348</v>
      </c>
      <c r="G1" s="307" t="s">
        <v>112</v>
      </c>
      <c r="H1" s="307"/>
      <c r="I1" s="307"/>
      <c r="J1" s="307"/>
      <c r="K1" s="307"/>
      <c r="L1" s="307"/>
    </row>
    <row r="2" spans="1:14" x14ac:dyDescent="0.25">
      <c r="A2" s="308" t="s">
        <v>93</v>
      </c>
      <c r="B2" s="308"/>
      <c r="C2" s="123" t="s">
        <v>7</v>
      </c>
      <c r="G2" s="307"/>
      <c r="H2" s="307"/>
      <c r="I2" s="307"/>
      <c r="J2" s="307"/>
      <c r="K2" s="307"/>
      <c r="L2" s="307"/>
    </row>
    <row r="3" spans="1:14" x14ac:dyDescent="0.25">
      <c r="A3" s="308" t="s">
        <v>94</v>
      </c>
      <c r="B3" s="308"/>
      <c r="C3" s="6"/>
      <c r="G3" s="307"/>
      <c r="H3" s="307"/>
      <c r="I3" s="307"/>
      <c r="J3" s="307"/>
      <c r="K3" s="307"/>
      <c r="L3" s="307"/>
    </row>
    <row r="4" spans="1:14" x14ac:dyDescent="0.25">
      <c r="A4" s="308" t="s">
        <v>95</v>
      </c>
      <c r="B4" s="308"/>
      <c r="C4" s="7">
        <v>1.3299999999999999E-2</v>
      </c>
      <c r="G4" s="307"/>
      <c r="H4" s="307"/>
      <c r="I4" s="307"/>
      <c r="J4" s="307"/>
      <c r="K4" s="307"/>
      <c r="L4" s="307"/>
    </row>
    <row r="5" spans="1:14" ht="15.75" x14ac:dyDescent="0.25">
      <c r="A5" s="101" t="s">
        <v>96</v>
      </c>
      <c r="B5" s="101"/>
      <c r="C5" s="316">
        <f>PMT(C12,C8,C9,C10)*-1</f>
        <v>998.07299487480066</v>
      </c>
      <c r="G5" s="307"/>
      <c r="H5" s="307"/>
      <c r="I5" s="307"/>
      <c r="J5" s="307"/>
      <c r="K5" s="307"/>
      <c r="L5" s="307"/>
    </row>
    <row r="6" spans="1:14" ht="15.75" x14ac:dyDescent="0.25">
      <c r="A6" s="3"/>
      <c r="B6" s="3"/>
      <c r="C6" s="100"/>
    </row>
    <row r="7" spans="1:14" x14ac:dyDescent="0.25">
      <c r="A7" s="102" t="s">
        <v>97</v>
      </c>
      <c r="B7" s="102"/>
      <c r="C7" s="108">
        <v>6.9500000000000006E-2</v>
      </c>
    </row>
    <row r="8" spans="1:14" x14ac:dyDescent="0.25">
      <c r="A8" s="102" t="s">
        <v>98</v>
      </c>
      <c r="B8" s="102"/>
      <c r="C8" s="104">
        <v>36</v>
      </c>
    </row>
    <row r="9" spans="1:14" ht="15.75" thickBot="1" x14ac:dyDescent="0.3">
      <c r="A9" s="102" t="s">
        <v>99</v>
      </c>
      <c r="B9" s="102"/>
      <c r="C9" s="318">
        <f>C1</f>
        <v>32348</v>
      </c>
    </row>
    <row r="10" spans="1:14" ht="27.6" customHeight="1" thickBot="1" x14ac:dyDescent="0.3">
      <c r="A10" s="8" t="s">
        <v>100</v>
      </c>
      <c r="B10" s="8"/>
      <c r="C10" s="107">
        <v>0</v>
      </c>
      <c r="G10" s="120" t="s">
        <v>105</v>
      </c>
      <c r="H10" s="50">
        <v>2020</v>
      </c>
      <c r="I10" s="50">
        <v>2021</v>
      </c>
      <c r="J10" s="50">
        <v>2022</v>
      </c>
      <c r="K10" s="121" t="s">
        <v>8</v>
      </c>
    </row>
    <row r="11" spans="1:14" ht="15.75" thickBot="1" x14ac:dyDescent="0.3">
      <c r="A11" s="103" t="s">
        <v>101</v>
      </c>
      <c r="B11" s="103"/>
      <c r="C11" s="105">
        <v>12</v>
      </c>
      <c r="G11" s="122" t="s">
        <v>110</v>
      </c>
      <c r="H11" s="319">
        <f>SUM(J18:J29)</f>
        <v>10044.650718051447</v>
      </c>
      <c r="I11" s="319">
        <f>SUM(J30:J41)</f>
        <v>10765.42639325964</v>
      </c>
      <c r="J11" s="324">
        <f>SUM(J42:J53)</f>
        <v>11537.92288868891</v>
      </c>
      <c r="K11" s="325">
        <f>SUM(H11:J11)</f>
        <v>32348</v>
      </c>
    </row>
    <row r="12" spans="1:14" ht="15.75" thickBot="1" x14ac:dyDescent="0.3">
      <c r="A12" s="103" t="s">
        <v>102</v>
      </c>
      <c r="B12" s="103"/>
      <c r="C12" s="106">
        <f>C7/C11</f>
        <v>5.7916666666666672E-3</v>
      </c>
      <c r="G12" s="122" t="s">
        <v>111</v>
      </c>
      <c r="H12" s="326">
        <f>SUM(I18:I29)</f>
        <v>1932.2252204461602</v>
      </c>
      <c r="I12" s="326">
        <f>SUM(I30:I41)</f>
        <v>1211.4495452379663</v>
      </c>
      <c r="J12" s="327">
        <f>SUM(I42:I53)</f>
        <v>438.95304980869753</v>
      </c>
      <c r="K12" s="328">
        <f>SUM(H12:J12)</f>
        <v>3582.6278154928236</v>
      </c>
    </row>
    <row r="13" spans="1:14" ht="15.75" thickBot="1" x14ac:dyDescent="0.3">
      <c r="A13" s="309" t="s">
        <v>103</v>
      </c>
      <c r="B13" s="309"/>
      <c r="C13" s="104">
        <v>1</v>
      </c>
      <c r="G13" s="121" t="s">
        <v>18</v>
      </c>
      <c r="H13" s="325">
        <f>SUM(H11:H12)</f>
        <v>11976.875938497607</v>
      </c>
      <c r="I13" s="325">
        <f t="shared" ref="I13:J13" si="0">SUM(I11:I12)</f>
        <v>11976.875938497607</v>
      </c>
      <c r="J13" s="325">
        <f t="shared" si="0"/>
        <v>11976.875938497607</v>
      </c>
      <c r="K13" s="325">
        <f>SUM(H13:J13)</f>
        <v>35930.627815492822</v>
      </c>
    </row>
    <row r="14" spans="1:14" x14ac:dyDescent="0.25">
      <c r="A14" s="309" t="s">
        <v>103</v>
      </c>
      <c r="B14" s="309"/>
      <c r="C14" s="104">
        <v>1</v>
      </c>
    </row>
    <row r="15" spans="1:14" ht="18" x14ac:dyDescent="0.25">
      <c r="G15" s="306" t="s">
        <v>104</v>
      </c>
      <c r="H15" s="306"/>
      <c r="I15" s="306"/>
      <c r="J15" s="306"/>
      <c r="K15" s="306"/>
    </row>
    <row r="16" spans="1:14" ht="28.5" x14ac:dyDescent="0.25">
      <c r="G16" s="109" t="s">
        <v>105</v>
      </c>
      <c r="H16" s="109" t="s">
        <v>106</v>
      </c>
      <c r="I16" s="109" t="s">
        <v>107</v>
      </c>
      <c r="J16" s="109" t="s">
        <v>108</v>
      </c>
      <c r="K16" s="109" t="s">
        <v>109</v>
      </c>
      <c r="N16" s="4"/>
    </row>
    <row r="17" spans="7:11" x14ac:dyDescent="0.25">
      <c r="G17" s="110"/>
      <c r="H17" s="111"/>
      <c r="I17" s="112"/>
      <c r="J17" s="113"/>
      <c r="K17" s="323">
        <f>C9</f>
        <v>32348</v>
      </c>
    </row>
    <row r="18" spans="7:11" x14ac:dyDescent="0.25">
      <c r="G18" s="114">
        <f>IF(C$9&gt;0,1,"")</f>
        <v>1</v>
      </c>
      <c r="H18" s="320">
        <f>C5</f>
        <v>998.07299487480066</v>
      </c>
      <c r="I18" s="320">
        <f t="shared" ref="I18:I53" si="1">K17*C$12</f>
        <v>187.34883333333335</v>
      </c>
      <c r="J18" s="320">
        <f t="shared" ref="J18:J53" si="2">H18-I18</f>
        <v>810.72416154146731</v>
      </c>
      <c r="K18" s="320">
        <f t="shared" ref="K18:K53" si="3">IF(G18="","",K17-J18)</f>
        <v>31537.275838458532</v>
      </c>
    </row>
    <row r="19" spans="7:11" x14ac:dyDescent="0.25">
      <c r="G19" s="115">
        <f t="shared" ref="G19:G53" si="4">IF(G18&lt;C$9,G18+1,"")</f>
        <v>2</v>
      </c>
      <c r="H19" s="321">
        <f t="shared" ref="H19:H53" si="5">H18</f>
        <v>998.07299487480066</v>
      </c>
      <c r="I19" s="321">
        <f t="shared" si="1"/>
        <v>182.65338923107234</v>
      </c>
      <c r="J19" s="321">
        <f t="shared" si="2"/>
        <v>815.41960564372835</v>
      </c>
      <c r="K19" s="321">
        <f t="shared" si="3"/>
        <v>30721.856232814804</v>
      </c>
    </row>
    <row r="20" spans="7:11" x14ac:dyDescent="0.25">
      <c r="G20" s="114">
        <f t="shared" si="4"/>
        <v>3</v>
      </c>
      <c r="H20" s="320">
        <f t="shared" si="5"/>
        <v>998.07299487480066</v>
      </c>
      <c r="I20" s="320">
        <f t="shared" si="1"/>
        <v>177.93075068171908</v>
      </c>
      <c r="J20" s="320">
        <f t="shared" si="2"/>
        <v>820.14224419308152</v>
      </c>
      <c r="K20" s="320">
        <f t="shared" si="3"/>
        <v>29901.713988621723</v>
      </c>
    </row>
    <row r="21" spans="7:11" x14ac:dyDescent="0.25">
      <c r="G21" s="115">
        <f t="shared" si="4"/>
        <v>4</v>
      </c>
      <c r="H21" s="321">
        <f t="shared" si="5"/>
        <v>998.07299487480066</v>
      </c>
      <c r="I21" s="321">
        <f t="shared" si="1"/>
        <v>173.18076018410082</v>
      </c>
      <c r="J21" s="321">
        <f t="shared" si="2"/>
        <v>824.89223469069987</v>
      </c>
      <c r="K21" s="321">
        <f t="shared" si="3"/>
        <v>29076.821753931024</v>
      </c>
    </row>
    <row r="22" spans="7:11" x14ac:dyDescent="0.25">
      <c r="G22" s="114">
        <f t="shared" si="4"/>
        <v>5</v>
      </c>
      <c r="H22" s="320">
        <f t="shared" si="5"/>
        <v>998.07299487480066</v>
      </c>
      <c r="I22" s="320">
        <f t="shared" si="1"/>
        <v>168.40325932485052</v>
      </c>
      <c r="J22" s="320">
        <f t="shared" si="2"/>
        <v>829.66973554995013</v>
      </c>
      <c r="K22" s="320">
        <f t="shared" si="3"/>
        <v>28247.152018381075</v>
      </c>
    </row>
    <row r="23" spans="7:11" x14ac:dyDescent="0.25">
      <c r="G23" s="115">
        <f t="shared" si="4"/>
        <v>6</v>
      </c>
      <c r="H23" s="321">
        <f t="shared" si="5"/>
        <v>998.07299487480066</v>
      </c>
      <c r="I23" s="321">
        <f t="shared" si="1"/>
        <v>163.59808877312375</v>
      </c>
      <c r="J23" s="321">
        <f t="shared" si="2"/>
        <v>834.47490610167688</v>
      </c>
      <c r="K23" s="321">
        <f t="shared" si="3"/>
        <v>27412.677112279398</v>
      </c>
    </row>
    <row r="24" spans="7:11" x14ac:dyDescent="0.25">
      <c r="G24" s="114">
        <f t="shared" si="4"/>
        <v>7</v>
      </c>
      <c r="H24" s="320">
        <f t="shared" si="5"/>
        <v>998.07299487480066</v>
      </c>
      <c r="I24" s="320">
        <f t="shared" si="1"/>
        <v>158.76508827528485</v>
      </c>
      <c r="J24" s="320">
        <f t="shared" si="2"/>
        <v>839.30790659951583</v>
      </c>
      <c r="K24" s="320">
        <f t="shared" si="3"/>
        <v>26573.369205679883</v>
      </c>
    </row>
    <row r="25" spans="7:11" x14ac:dyDescent="0.25">
      <c r="G25" s="115">
        <f t="shared" si="4"/>
        <v>8</v>
      </c>
      <c r="H25" s="321">
        <f t="shared" si="5"/>
        <v>998.07299487480066</v>
      </c>
      <c r="I25" s="321">
        <f t="shared" si="1"/>
        <v>153.90409664956266</v>
      </c>
      <c r="J25" s="321">
        <f t="shared" si="2"/>
        <v>844.16889822523797</v>
      </c>
      <c r="K25" s="321">
        <f t="shared" si="3"/>
        <v>25729.200307454645</v>
      </c>
    </row>
    <row r="26" spans="7:11" x14ac:dyDescent="0.25">
      <c r="G26" s="114">
        <f t="shared" si="4"/>
        <v>9</v>
      </c>
      <c r="H26" s="320">
        <f t="shared" si="5"/>
        <v>998.07299487480066</v>
      </c>
      <c r="I26" s="320">
        <f t="shared" si="1"/>
        <v>149.01495178067483</v>
      </c>
      <c r="J26" s="320">
        <f t="shared" si="2"/>
        <v>849.05804309412588</v>
      </c>
      <c r="K26" s="320">
        <f t="shared" si="3"/>
        <v>24880.142264360518</v>
      </c>
    </row>
    <row r="27" spans="7:11" x14ac:dyDescent="0.25">
      <c r="G27" s="115">
        <f t="shared" si="4"/>
        <v>10</v>
      </c>
      <c r="H27" s="321">
        <f t="shared" si="5"/>
        <v>998.07299487480066</v>
      </c>
      <c r="I27" s="321">
        <f t="shared" si="1"/>
        <v>144.09749061442136</v>
      </c>
      <c r="J27" s="321">
        <f t="shared" si="2"/>
        <v>853.97550426037924</v>
      </c>
      <c r="K27" s="321">
        <f t="shared" si="3"/>
        <v>24026.166760100139</v>
      </c>
    </row>
    <row r="28" spans="7:11" x14ac:dyDescent="0.25">
      <c r="G28" s="114">
        <f t="shared" si="4"/>
        <v>11</v>
      </c>
      <c r="H28" s="320">
        <f t="shared" si="5"/>
        <v>998.07299487480066</v>
      </c>
      <c r="I28" s="320">
        <f t="shared" si="1"/>
        <v>139.15154915224664</v>
      </c>
      <c r="J28" s="320">
        <f t="shared" si="2"/>
        <v>858.92144572255404</v>
      </c>
      <c r="K28" s="320">
        <f t="shared" si="3"/>
        <v>23167.245314377586</v>
      </c>
    </row>
    <row r="29" spans="7:11" x14ac:dyDescent="0.25">
      <c r="G29" s="115">
        <f t="shared" si="4"/>
        <v>12</v>
      </c>
      <c r="H29" s="321">
        <f t="shared" si="5"/>
        <v>998.07299487480066</v>
      </c>
      <c r="I29" s="321">
        <f t="shared" si="1"/>
        <v>134.17696244577019</v>
      </c>
      <c r="J29" s="321">
        <f t="shared" si="2"/>
        <v>863.89603242903047</v>
      </c>
      <c r="K29" s="321">
        <f t="shared" si="3"/>
        <v>22303.349281948555</v>
      </c>
    </row>
    <row r="30" spans="7:11" x14ac:dyDescent="0.25">
      <c r="G30" s="114">
        <f t="shared" si="4"/>
        <v>13</v>
      </c>
      <c r="H30" s="320">
        <f t="shared" si="5"/>
        <v>998.07299487480066</v>
      </c>
      <c r="I30" s="320">
        <f t="shared" si="1"/>
        <v>129.17356459128538</v>
      </c>
      <c r="J30" s="320">
        <f t="shared" si="2"/>
        <v>868.89943028351524</v>
      </c>
      <c r="K30" s="320">
        <f t="shared" si="3"/>
        <v>21434.449851665038</v>
      </c>
    </row>
    <row r="31" spans="7:11" x14ac:dyDescent="0.25">
      <c r="G31" s="115">
        <f t="shared" si="4"/>
        <v>14</v>
      </c>
      <c r="H31" s="321">
        <f t="shared" si="5"/>
        <v>998.07299487480066</v>
      </c>
      <c r="I31" s="321">
        <f t="shared" si="1"/>
        <v>124.14118872422669</v>
      </c>
      <c r="J31" s="321">
        <f t="shared" si="2"/>
        <v>873.93180615057395</v>
      </c>
      <c r="K31" s="321">
        <f t="shared" si="3"/>
        <v>20560.518045514465</v>
      </c>
    </row>
    <row r="32" spans="7:11" x14ac:dyDescent="0.25">
      <c r="G32" s="114">
        <f t="shared" si="4"/>
        <v>15</v>
      </c>
      <c r="H32" s="320">
        <f t="shared" si="5"/>
        <v>998.07299487480066</v>
      </c>
      <c r="I32" s="320">
        <f t="shared" si="1"/>
        <v>119.07966701360462</v>
      </c>
      <c r="J32" s="320">
        <f t="shared" si="2"/>
        <v>878.99332786119601</v>
      </c>
      <c r="K32" s="320">
        <f t="shared" si="3"/>
        <v>19681.524717653268</v>
      </c>
    </row>
    <row r="33" spans="7:11" x14ac:dyDescent="0.25">
      <c r="G33" s="115">
        <f t="shared" si="4"/>
        <v>16</v>
      </c>
      <c r="H33" s="321">
        <f t="shared" si="5"/>
        <v>998.07299487480066</v>
      </c>
      <c r="I33" s="321">
        <f t="shared" si="1"/>
        <v>113.98883065640852</v>
      </c>
      <c r="J33" s="321">
        <f t="shared" si="2"/>
        <v>884.08416421839217</v>
      </c>
      <c r="K33" s="321">
        <f t="shared" si="3"/>
        <v>18797.440553434877</v>
      </c>
    </row>
    <row r="34" spans="7:11" x14ac:dyDescent="0.25">
      <c r="G34" s="114">
        <f t="shared" si="4"/>
        <v>17</v>
      </c>
      <c r="H34" s="320">
        <f t="shared" si="5"/>
        <v>998.07299487480066</v>
      </c>
      <c r="I34" s="320">
        <f t="shared" si="1"/>
        <v>108.86850987197701</v>
      </c>
      <c r="J34" s="320">
        <f t="shared" si="2"/>
        <v>889.20448500282362</v>
      </c>
      <c r="K34" s="320">
        <f t="shared" si="3"/>
        <v>17908.236068432052</v>
      </c>
    </row>
    <row r="35" spans="7:11" x14ac:dyDescent="0.25">
      <c r="G35" s="115">
        <f t="shared" si="4"/>
        <v>18</v>
      </c>
      <c r="H35" s="321">
        <f t="shared" si="5"/>
        <v>998.07299487480066</v>
      </c>
      <c r="I35" s="321">
        <f t="shared" si="1"/>
        <v>103.71853389633564</v>
      </c>
      <c r="J35" s="321">
        <f t="shared" si="2"/>
        <v>894.354460978465</v>
      </c>
      <c r="K35" s="321">
        <f t="shared" si="3"/>
        <v>17013.881607453586</v>
      </c>
    </row>
    <row r="36" spans="7:11" x14ac:dyDescent="0.25">
      <c r="G36" s="114">
        <f t="shared" si="4"/>
        <v>19</v>
      </c>
      <c r="H36" s="320">
        <f t="shared" si="5"/>
        <v>998.07299487480066</v>
      </c>
      <c r="I36" s="320">
        <f t="shared" si="1"/>
        <v>98.538730976502023</v>
      </c>
      <c r="J36" s="320">
        <f t="shared" si="2"/>
        <v>899.5342638982986</v>
      </c>
      <c r="K36" s="320">
        <f t="shared" si="3"/>
        <v>16114.347343555288</v>
      </c>
    </row>
    <row r="37" spans="7:11" x14ac:dyDescent="0.25">
      <c r="G37" s="115">
        <f t="shared" si="4"/>
        <v>20</v>
      </c>
      <c r="H37" s="321">
        <f t="shared" si="5"/>
        <v>998.07299487480066</v>
      </c>
      <c r="I37" s="321">
        <f t="shared" si="1"/>
        <v>93.328928364757715</v>
      </c>
      <c r="J37" s="321">
        <f t="shared" si="2"/>
        <v>904.7440665100429</v>
      </c>
      <c r="K37" s="321">
        <f t="shared" si="3"/>
        <v>15209.603277045246</v>
      </c>
    </row>
    <row r="38" spans="7:11" x14ac:dyDescent="0.25">
      <c r="G38" s="114">
        <f t="shared" si="4"/>
        <v>21</v>
      </c>
      <c r="H38" s="320">
        <f t="shared" si="5"/>
        <v>998.07299487480066</v>
      </c>
      <c r="I38" s="320">
        <f t="shared" si="1"/>
        <v>88.088952312887059</v>
      </c>
      <c r="J38" s="320">
        <f t="shared" si="2"/>
        <v>909.98404256191361</v>
      </c>
      <c r="K38" s="320">
        <f t="shared" si="3"/>
        <v>14299.619234483333</v>
      </c>
    </row>
    <row r="39" spans="7:11" x14ac:dyDescent="0.25">
      <c r="G39" s="115">
        <f t="shared" si="4"/>
        <v>22</v>
      </c>
      <c r="H39" s="321">
        <f t="shared" si="5"/>
        <v>998.07299487480066</v>
      </c>
      <c r="I39" s="321">
        <f t="shared" si="1"/>
        <v>82.818628066382644</v>
      </c>
      <c r="J39" s="321">
        <f t="shared" si="2"/>
        <v>915.25436680841801</v>
      </c>
      <c r="K39" s="321">
        <f t="shared" si="3"/>
        <v>13384.364867674914</v>
      </c>
    </row>
    <row r="40" spans="7:11" x14ac:dyDescent="0.25">
      <c r="G40" s="114">
        <f t="shared" si="4"/>
        <v>23</v>
      </c>
      <c r="H40" s="320">
        <f t="shared" si="5"/>
        <v>998.07299487480066</v>
      </c>
      <c r="I40" s="320">
        <f t="shared" si="1"/>
        <v>77.517779858617217</v>
      </c>
      <c r="J40" s="320">
        <f t="shared" si="2"/>
        <v>920.55521501618341</v>
      </c>
      <c r="K40" s="320">
        <f t="shared" si="3"/>
        <v>12463.809652658731</v>
      </c>
    </row>
    <row r="41" spans="7:11" x14ac:dyDescent="0.25">
      <c r="G41" s="115">
        <f t="shared" si="4"/>
        <v>24</v>
      </c>
      <c r="H41" s="321">
        <f t="shared" si="5"/>
        <v>998.07299487480066</v>
      </c>
      <c r="I41" s="321">
        <f t="shared" si="1"/>
        <v>72.186230904981826</v>
      </c>
      <c r="J41" s="321">
        <f t="shared" si="2"/>
        <v>925.88676396981884</v>
      </c>
      <c r="K41" s="321">
        <f t="shared" si="3"/>
        <v>11537.922888688912</v>
      </c>
    </row>
    <row r="42" spans="7:11" x14ac:dyDescent="0.25">
      <c r="G42" s="114">
        <f t="shared" si="4"/>
        <v>25</v>
      </c>
      <c r="H42" s="320">
        <f t="shared" si="5"/>
        <v>998.07299487480066</v>
      </c>
      <c r="I42" s="320">
        <f t="shared" si="1"/>
        <v>66.823803396989959</v>
      </c>
      <c r="J42" s="320">
        <f t="shared" si="2"/>
        <v>931.24919147781065</v>
      </c>
      <c r="K42" s="320">
        <f t="shared" si="3"/>
        <v>10606.673697211101</v>
      </c>
    </row>
    <row r="43" spans="7:11" x14ac:dyDescent="0.25">
      <c r="G43" s="115">
        <f t="shared" si="4"/>
        <v>26</v>
      </c>
      <c r="H43" s="321">
        <f t="shared" si="5"/>
        <v>998.07299487480066</v>
      </c>
      <c r="I43" s="321">
        <f t="shared" si="1"/>
        <v>61.430318496347631</v>
      </c>
      <c r="J43" s="321">
        <f t="shared" si="2"/>
        <v>936.64267637845307</v>
      </c>
      <c r="K43" s="321">
        <f t="shared" si="3"/>
        <v>9670.0310208326482</v>
      </c>
    </row>
    <row r="44" spans="7:11" x14ac:dyDescent="0.25">
      <c r="G44" s="114">
        <f t="shared" si="4"/>
        <v>27</v>
      </c>
      <c r="H44" s="320">
        <f t="shared" si="5"/>
        <v>998.07299487480066</v>
      </c>
      <c r="I44" s="320">
        <f t="shared" si="1"/>
        <v>56.005596328989093</v>
      </c>
      <c r="J44" s="320">
        <f t="shared" si="2"/>
        <v>942.06739854581156</v>
      </c>
      <c r="K44" s="320">
        <f t="shared" si="3"/>
        <v>8727.9636222868357</v>
      </c>
    </row>
    <row r="45" spans="7:11" x14ac:dyDescent="0.25">
      <c r="G45" s="115">
        <f t="shared" si="4"/>
        <v>28</v>
      </c>
      <c r="H45" s="321">
        <f t="shared" si="5"/>
        <v>998.07299487480066</v>
      </c>
      <c r="I45" s="321">
        <f t="shared" si="1"/>
        <v>50.549455979077926</v>
      </c>
      <c r="J45" s="321">
        <f t="shared" si="2"/>
        <v>947.52353889572271</v>
      </c>
      <c r="K45" s="321">
        <f t="shared" si="3"/>
        <v>7780.4400833911131</v>
      </c>
    </row>
    <row r="46" spans="7:11" x14ac:dyDescent="0.25">
      <c r="G46" s="114">
        <f t="shared" si="4"/>
        <v>29</v>
      </c>
      <c r="H46" s="320">
        <f t="shared" si="5"/>
        <v>998.07299487480066</v>
      </c>
      <c r="I46" s="320">
        <f t="shared" si="1"/>
        <v>45.061715482973533</v>
      </c>
      <c r="J46" s="320">
        <f t="shared" si="2"/>
        <v>953.01127939182709</v>
      </c>
      <c r="K46" s="320">
        <f t="shared" si="3"/>
        <v>6827.4288039992862</v>
      </c>
    </row>
    <row r="47" spans="7:11" x14ac:dyDescent="0.25">
      <c r="G47" s="115">
        <f t="shared" si="4"/>
        <v>30</v>
      </c>
      <c r="H47" s="321">
        <f t="shared" si="5"/>
        <v>998.07299487480066</v>
      </c>
      <c r="I47" s="321">
        <f t="shared" si="1"/>
        <v>39.542191823162533</v>
      </c>
      <c r="J47" s="321">
        <f t="shared" si="2"/>
        <v>958.53080305163815</v>
      </c>
      <c r="K47" s="321">
        <f t="shared" si="3"/>
        <v>5868.8980009476481</v>
      </c>
    </row>
    <row r="48" spans="7:11" x14ac:dyDescent="0.25">
      <c r="G48" s="114">
        <f t="shared" si="4"/>
        <v>31</v>
      </c>
      <c r="H48" s="320">
        <f t="shared" si="5"/>
        <v>998.07299487480066</v>
      </c>
      <c r="I48" s="320">
        <f t="shared" si="1"/>
        <v>33.990700922155135</v>
      </c>
      <c r="J48" s="320">
        <f t="shared" si="2"/>
        <v>964.0822939526455</v>
      </c>
      <c r="K48" s="320">
        <f t="shared" si="3"/>
        <v>4904.815706995003</v>
      </c>
    </row>
    <row r="49" spans="7:11" x14ac:dyDescent="0.25">
      <c r="G49" s="115">
        <f t="shared" si="4"/>
        <v>32</v>
      </c>
      <c r="H49" s="321">
        <f t="shared" si="5"/>
        <v>998.07299487480066</v>
      </c>
      <c r="I49" s="321">
        <f t="shared" si="1"/>
        <v>28.40705763634606</v>
      </c>
      <c r="J49" s="321">
        <f t="shared" si="2"/>
        <v>969.6659372384546</v>
      </c>
      <c r="K49" s="321">
        <f t="shared" si="3"/>
        <v>3935.1497697565483</v>
      </c>
    </row>
    <row r="50" spans="7:11" x14ac:dyDescent="0.25">
      <c r="G50" s="114">
        <f t="shared" si="4"/>
        <v>33</v>
      </c>
      <c r="H50" s="320">
        <f t="shared" si="5"/>
        <v>998.07299487480066</v>
      </c>
      <c r="I50" s="320">
        <f t="shared" si="1"/>
        <v>22.791075749840012</v>
      </c>
      <c r="J50" s="320">
        <f t="shared" si="2"/>
        <v>975.28191912496061</v>
      </c>
      <c r="K50" s="320">
        <f t="shared" si="3"/>
        <v>2959.8678506315878</v>
      </c>
    </row>
    <row r="51" spans="7:11" x14ac:dyDescent="0.25">
      <c r="G51" s="115">
        <f t="shared" si="4"/>
        <v>34</v>
      </c>
      <c r="H51" s="321">
        <f t="shared" si="5"/>
        <v>998.07299487480066</v>
      </c>
      <c r="I51" s="321">
        <f t="shared" si="1"/>
        <v>17.142567968241281</v>
      </c>
      <c r="J51" s="321">
        <f t="shared" si="2"/>
        <v>980.93042690655943</v>
      </c>
      <c r="K51" s="321">
        <f t="shared" si="3"/>
        <v>1978.9374237250283</v>
      </c>
    </row>
    <row r="52" spans="7:11" x14ac:dyDescent="0.25">
      <c r="G52" s="114">
        <f t="shared" si="4"/>
        <v>35</v>
      </c>
      <c r="H52" s="320">
        <f t="shared" si="5"/>
        <v>998.07299487480066</v>
      </c>
      <c r="I52" s="320">
        <f t="shared" si="1"/>
        <v>11.461345912407458</v>
      </c>
      <c r="J52" s="320">
        <f t="shared" si="2"/>
        <v>986.61164896239325</v>
      </c>
      <c r="K52" s="320">
        <f t="shared" si="3"/>
        <v>992.32577476263509</v>
      </c>
    </row>
    <row r="53" spans="7:11" ht="15.75" thickBot="1" x14ac:dyDescent="0.3">
      <c r="G53" s="124">
        <f t="shared" si="4"/>
        <v>36</v>
      </c>
      <c r="H53" s="322">
        <f t="shared" si="5"/>
        <v>998.07299487480066</v>
      </c>
      <c r="I53" s="322">
        <f t="shared" si="1"/>
        <v>5.7472201121669286</v>
      </c>
      <c r="J53" s="322">
        <f t="shared" si="2"/>
        <v>992.32577476263373</v>
      </c>
      <c r="K53" s="322">
        <f t="shared" si="3"/>
        <v>1.3642420526593924E-12</v>
      </c>
    </row>
    <row r="54" spans="7:11" ht="15.75" thickBot="1" x14ac:dyDescent="0.3">
      <c r="G54" s="125"/>
      <c r="H54" s="329">
        <f>SUM(H18:H53)</f>
        <v>35930.627815492822</v>
      </c>
      <c r="I54" s="329">
        <f>SUM(I18:I53)</f>
        <v>3582.6278154928241</v>
      </c>
      <c r="J54" s="329">
        <f>SUM(J18:J53)</f>
        <v>32347.999999999996</v>
      </c>
      <c r="K54" s="126"/>
    </row>
  </sheetData>
  <mergeCells count="8">
    <mergeCell ref="G15:K15"/>
    <mergeCell ref="G1:L5"/>
    <mergeCell ref="A1:B1"/>
    <mergeCell ref="A2:B2"/>
    <mergeCell ref="A3:B3"/>
    <mergeCell ref="A4:B4"/>
    <mergeCell ref="A13:B13"/>
    <mergeCell ref="A14:B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7DAA-E3CD-4E3E-9CFB-05E9FF6F78D1}">
  <dimension ref="B2:J45"/>
  <sheetViews>
    <sheetView topLeftCell="A22" zoomScaleNormal="100" workbookViewId="0">
      <selection activeCell="E44" sqref="E44"/>
    </sheetView>
  </sheetViews>
  <sheetFormatPr defaultRowHeight="15" x14ac:dyDescent="0.25"/>
  <cols>
    <col min="2" max="2" width="63.7109375" customWidth="1"/>
    <col min="3" max="3" width="13.7109375" customWidth="1"/>
    <col min="4" max="7" width="12.7109375" bestFit="1" customWidth="1"/>
    <col min="9" max="9" width="16.28515625" bestFit="1" customWidth="1"/>
    <col min="10" max="10" width="11.7109375" bestFit="1" customWidth="1"/>
    <col min="11" max="11" width="3.7109375" customWidth="1"/>
    <col min="12" max="12" width="9.85546875" bestFit="1" customWidth="1"/>
    <col min="14" max="14" width="24.28515625" bestFit="1" customWidth="1"/>
    <col min="15" max="15" width="10" bestFit="1" customWidth="1"/>
  </cols>
  <sheetData>
    <row r="2" spans="2:10" ht="15.75" thickBot="1" x14ac:dyDescent="0.3"/>
    <row r="3" spans="2:10" ht="15.75" thickBot="1" x14ac:dyDescent="0.3">
      <c r="B3" s="133" t="s">
        <v>113</v>
      </c>
      <c r="C3" s="127">
        <v>2020</v>
      </c>
      <c r="D3" s="127">
        <v>2021</v>
      </c>
      <c r="E3" s="127">
        <v>2022</v>
      </c>
      <c r="F3" s="127">
        <v>2023</v>
      </c>
      <c r="G3" s="128">
        <v>2024</v>
      </c>
    </row>
    <row r="4" spans="2:10" ht="15.75" thickBot="1" x14ac:dyDescent="0.3">
      <c r="B4" s="129" t="s">
        <v>114</v>
      </c>
      <c r="C4" s="135">
        <v>137256</v>
      </c>
      <c r="D4" s="135">
        <v>137256</v>
      </c>
      <c r="E4" s="135">
        <v>137256</v>
      </c>
      <c r="F4" s="135">
        <v>137256</v>
      </c>
      <c r="G4" s="135">
        <v>137256</v>
      </c>
    </row>
    <row r="5" spans="2:10" ht="15.75" thickBot="1" x14ac:dyDescent="0.3">
      <c r="B5" s="130" t="s">
        <v>115</v>
      </c>
      <c r="C5" s="136">
        <v>97107.54</v>
      </c>
      <c r="D5" s="136">
        <v>97107.54</v>
      </c>
      <c r="E5" s="136">
        <v>97107.54</v>
      </c>
      <c r="F5" s="136">
        <v>97107.54</v>
      </c>
      <c r="G5" s="136">
        <v>97107.54</v>
      </c>
    </row>
    <row r="6" spans="2:10" ht="15.75" thickBot="1" x14ac:dyDescent="0.3">
      <c r="B6" s="89" t="s">
        <v>116</v>
      </c>
      <c r="C6" s="137">
        <v>87090</v>
      </c>
      <c r="D6" s="137">
        <v>87090</v>
      </c>
      <c r="E6" s="137">
        <v>87090</v>
      </c>
      <c r="F6" s="137">
        <v>87090</v>
      </c>
      <c r="G6" s="137">
        <v>87090</v>
      </c>
    </row>
    <row r="7" spans="2:10" ht="15.75" thickBot="1" x14ac:dyDescent="0.3">
      <c r="B7" s="89" t="s">
        <v>117</v>
      </c>
      <c r="C7" s="137">
        <v>9775.7999999999993</v>
      </c>
      <c r="D7" s="137">
        <v>9775.7999999999993</v>
      </c>
      <c r="E7" s="137">
        <v>9775.7999999999993</v>
      </c>
      <c r="F7" s="137">
        <v>9775.7999999999993</v>
      </c>
      <c r="G7" s="137">
        <v>9775.7999999999993</v>
      </c>
    </row>
    <row r="8" spans="2:10" ht="15.75" thickBot="1" x14ac:dyDescent="0.3">
      <c r="B8" s="89" t="s">
        <v>118</v>
      </c>
      <c r="C8" s="137">
        <v>241.74</v>
      </c>
      <c r="D8" s="137">
        <v>241.74</v>
      </c>
      <c r="E8" s="137">
        <v>241.74</v>
      </c>
      <c r="F8" s="137">
        <v>241.74</v>
      </c>
      <c r="G8" s="137">
        <v>241.74</v>
      </c>
    </row>
    <row r="9" spans="2:10" ht="15.75" thickBot="1" x14ac:dyDescent="0.3">
      <c r="B9" s="131" t="s">
        <v>119</v>
      </c>
      <c r="C9" s="138">
        <f>C4-SUM(C6:C8)</f>
        <v>40148.459999999992</v>
      </c>
      <c r="D9" s="138">
        <f t="shared" ref="D9:G9" si="0">D4-SUM(D6:D8)</f>
        <v>40148.459999999992</v>
      </c>
      <c r="E9" s="138">
        <f t="shared" si="0"/>
        <v>40148.459999999992</v>
      </c>
      <c r="F9" s="138">
        <f t="shared" si="0"/>
        <v>40148.459999999992</v>
      </c>
      <c r="G9" s="138">
        <f t="shared" si="0"/>
        <v>40148.459999999992</v>
      </c>
    </row>
    <row r="10" spans="2:10" ht="15.75" thickBot="1" x14ac:dyDescent="0.3">
      <c r="B10" s="89" t="s">
        <v>41</v>
      </c>
      <c r="C10" s="137">
        <v>6885.7</v>
      </c>
      <c r="D10" s="137">
        <v>6885.7</v>
      </c>
      <c r="E10" s="137">
        <v>6885.7</v>
      </c>
      <c r="F10" s="137">
        <v>6885.7</v>
      </c>
      <c r="G10" s="137">
        <v>6885.7</v>
      </c>
    </row>
    <row r="11" spans="2:10" ht="15.75" thickBot="1" x14ac:dyDescent="0.3">
      <c r="B11" s="89" t="s">
        <v>111</v>
      </c>
      <c r="C11" s="137">
        <v>1932.2777850001976</v>
      </c>
      <c r="D11" s="137">
        <v>1211.4825016989471</v>
      </c>
      <c r="E11" s="137">
        <v>438.96499115542144</v>
      </c>
      <c r="F11" s="137"/>
      <c r="G11" s="137"/>
    </row>
    <row r="12" spans="2:10" ht="15.75" thickBot="1" x14ac:dyDescent="0.3">
      <c r="B12" s="132" t="s">
        <v>120</v>
      </c>
      <c r="C12" s="139">
        <f>SUM(C6:C8,C10:C11)</f>
        <v>105925.51778500021</v>
      </c>
      <c r="D12" s="139">
        <f t="shared" ref="D12:G12" si="1">SUM(D6:D8,D10:D11)</f>
        <v>105204.72250169895</v>
      </c>
      <c r="E12" s="139">
        <f t="shared" si="1"/>
        <v>104432.20499115542</v>
      </c>
      <c r="F12" s="139">
        <f t="shared" si="1"/>
        <v>103993.24</v>
      </c>
      <c r="G12" s="139">
        <f t="shared" si="1"/>
        <v>103993.24</v>
      </c>
    </row>
    <row r="13" spans="2:10" ht="15.75" thickBot="1" x14ac:dyDescent="0.3">
      <c r="B13" s="132" t="s">
        <v>121</v>
      </c>
      <c r="C13" s="139">
        <f>C9-C10-C11</f>
        <v>31330.482214999796</v>
      </c>
      <c r="D13" s="139">
        <f t="shared" ref="D13:G13" si="2">D9-D10-D11</f>
        <v>32051.277498301046</v>
      </c>
      <c r="E13" s="139">
        <f t="shared" si="2"/>
        <v>32823.795008844572</v>
      </c>
      <c r="F13" s="139">
        <f t="shared" si="2"/>
        <v>33262.759999999995</v>
      </c>
      <c r="G13" s="139">
        <f t="shared" si="2"/>
        <v>33262.759999999995</v>
      </c>
    </row>
    <row r="14" spans="2:10" ht="15.75" thickBot="1" x14ac:dyDescent="0.3">
      <c r="B14" s="89" t="s">
        <v>122</v>
      </c>
      <c r="C14" s="137">
        <f>C13*$J$14</f>
        <v>6266.0964429999594</v>
      </c>
      <c r="D14" s="137">
        <f>D13*$J$14</f>
        <v>6410.2554996602094</v>
      </c>
      <c r="E14" s="137">
        <f>E13*$J$14</f>
        <v>6564.7590017689145</v>
      </c>
      <c r="F14" s="137">
        <f>F13*$J$14</f>
        <v>6652.5519999999997</v>
      </c>
      <c r="G14" s="137">
        <f>G13*$J$14</f>
        <v>6652.5519999999997</v>
      </c>
      <c r="I14" s="148" t="s">
        <v>129</v>
      </c>
      <c r="J14" s="147">
        <v>0.2</v>
      </c>
    </row>
    <row r="15" spans="2:10" ht="15.75" thickBot="1" x14ac:dyDescent="0.3">
      <c r="B15" s="134" t="s">
        <v>123</v>
      </c>
      <c r="C15" s="90">
        <f>C13-C14</f>
        <v>25064.385771999838</v>
      </c>
      <c r="D15" s="90">
        <f t="shared" ref="D15:G15" si="3">D13-D14</f>
        <v>25641.021998640837</v>
      </c>
      <c r="E15" s="90">
        <f t="shared" si="3"/>
        <v>26259.036007075658</v>
      </c>
      <c r="F15" s="90">
        <f t="shared" si="3"/>
        <v>26610.207999999995</v>
      </c>
      <c r="G15" s="90">
        <f t="shared" si="3"/>
        <v>26610.207999999995</v>
      </c>
    </row>
    <row r="16" spans="2:10" ht="15.75" thickBot="1" x14ac:dyDescent="0.3">
      <c r="C16" s="87"/>
    </row>
    <row r="17" spans="2:10" ht="15.75" thickBot="1" x14ac:dyDescent="0.3">
      <c r="B17" s="164" t="s">
        <v>126</v>
      </c>
      <c r="C17" s="165">
        <f>C15/C4</f>
        <v>0.18261049259777232</v>
      </c>
      <c r="D17" s="165">
        <f t="shared" ref="D17:G17" si="4">D15/D4</f>
        <v>0.18681166578248556</v>
      </c>
      <c r="E17" s="165">
        <f t="shared" si="4"/>
        <v>0.19131430325141091</v>
      </c>
      <c r="F17" s="165">
        <f t="shared" si="4"/>
        <v>0.19387282158885583</v>
      </c>
      <c r="G17" s="166">
        <f t="shared" si="4"/>
        <v>0.19387282158885583</v>
      </c>
    </row>
    <row r="18" spans="2:10" ht="15.75" thickBot="1" x14ac:dyDescent="0.3">
      <c r="B18" s="149"/>
      <c r="C18" s="92"/>
      <c r="D18" s="9"/>
      <c r="E18" s="9"/>
      <c r="F18" s="9"/>
      <c r="G18" s="32"/>
      <c r="I18" s="146" t="s">
        <v>124</v>
      </c>
      <c r="J18" s="157">
        <f>'In + Am'!C7</f>
        <v>56369.930000000008</v>
      </c>
    </row>
    <row r="19" spans="2:10" ht="30" x14ac:dyDescent="0.25">
      <c r="B19" s="162" t="s">
        <v>127</v>
      </c>
      <c r="C19" s="163">
        <f>C15/$J$18</f>
        <v>0.44464106611450172</v>
      </c>
      <c r="D19" s="163">
        <f t="shared" ref="D19:G19" si="5">D15/$J$18</f>
        <v>0.45487056660600489</v>
      </c>
      <c r="E19" s="163">
        <f t="shared" si="5"/>
        <v>0.46583410706870942</v>
      </c>
      <c r="F19" s="163">
        <f t="shared" si="5"/>
        <v>0.47206388228617618</v>
      </c>
      <c r="G19" s="167">
        <f t="shared" si="5"/>
        <v>0.47206388228617618</v>
      </c>
    </row>
    <row r="20" spans="2:10" x14ac:dyDescent="0.25">
      <c r="B20" s="149"/>
      <c r="C20" s="9"/>
      <c r="D20" s="9"/>
      <c r="E20" s="9"/>
      <c r="F20" s="9"/>
      <c r="G20" s="32"/>
    </row>
    <row r="21" spans="2:10" ht="16.149999999999999" customHeight="1" thickBot="1" x14ac:dyDescent="0.3">
      <c r="B21" s="168" t="s">
        <v>143</v>
      </c>
      <c r="C21" s="169">
        <f>C12/C4</f>
        <v>0.77173688425278464</v>
      </c>
      <c r="D21" s="169">
        <f t="shared" ref="D21:G21" si="6">D12/D4</f>
        <v>0.76648541777189305</v>
      </c>
      <c r="E21" s="169">
        <f t="shared" si="6"/>
        <v>0.76085712093573632</v>
      </c>
      <c r="F21" s="169">
        <f t="shared" si="6"/>
        <v>0.75765897301393026</v>
      </c>
      <c r="G21" s="170">
        <f t="shared" si="6"/>
        <v>0.75765897301393026</v>
      </c>
    </row>
    <row r="22" spans="2:10" ht="15.75" thickBot="1" x14ac:dyDescent="0.3"/>
    <row r="23" spans="2:10" ht="15" customHeight="1" x14ac:dyDescent="0.25">
      <c r="B23" s="291" t="s">
        <v>130</v>
      </c>
      <c r="C23" s="292"/>
      <c r="D23" s="292"/>
      <c r="E23" s="292"/>
      <c r="F23" s="293"/>
    </row>
    <row r="24" spans="2:10" ht="15.75" thickBot="1" x14ac:dyDescent="0.3">
      <c r="B24" s="149"/>
      <c r="C24" s="9"/>
      <c r="D24" s="9"/>
      <c r="E24" s="9"/>
      <c r="F24" s="32"/>
    </row>
    <row r="25" spans="2:10" ht="15" customHeight="1" thickBot="1" x14ac:dyDescent="0.3">
      <c r="B25" s="312" t="s">
        <v>126</v>
      </c>
      <c r="C25" s="313"/>
      <c r="D25" s="142">
        <f>E15/C4</f>
        <v>0.19131430325141091</v>
      </c>
      <c r="E25" s="9"/>
      <c r="F25" s="32"/>
    </row>
    <row r="26" spans="2:10" ht="15.75" thickBot="1" x14ac:dyDescent="0.3">
      <c r="B26" s="149"/>
      <c r="C26" s="9"/>
      <c r="D26" s="9"/>
      <c r="E26" s="9"/>
      <c r="F26" s="32"/>
    </row>
    <row r="27" spans="2:10" ht="15.75" thickBot="1" x14ac:dyDescent="0.3">
      <c r="B27" s="310" t="s">
        <v>127</v>
      </c>
      <c r="C27" s="314"/>
      <c r="D27" s="143">
        <f>E15/J18</f>
        <v>0.46583410706870942</v>
      </c>
      <c r="E27" s="9"/>
      <c r="F27" s="32"/>
    </row>
    <row r="28" spans="2:10" ht="15.75" thickBot="1" x14ac:dyDescent="0.3">
      <c r="B28" s="149"/>
      <c r="C28" s="9"/>
      <c r="D28" s="150"/>
      <c r="E28" s="9"/>
      <c r="F28" s="32"/>
    </row>
    <row r="29" spans="2:10" ht="15.75" thickBot="1" x14ac:dyDescent="0.3">
      <c r="B29" s="310" t="s">
        <v>128</v>
      </c>
      <c r="C29" s="311"/>
      <c r="D29" s="144">
        <f>E4/J18</f>
        <v>2.434915210999907</v>
      </c>
      <c r="E29" s="141" t="s">
        <v>125</v>
      </c>
      <c r="F29" s="32"/>
      <c r="G29" s="2"/>
    </row>
    <row r="30" spans="2:10" ht="15.75" thickBot="1" x14ac:dyDescent="0.3">
      <c r="B30" s="149"/>
      <c r="C30" s="9"/>
      <c r="D30" s="9"/>
      <c r="E30" s="9"/>
      <c r="F30" s="32"/>
      <c r="G30" s="2"/>
    </row>
    <row r="31" spans="2:10" ht="15.75" thickBot="1" x14ac:dyDescent="0.3">
      <c r="B31" s="310" t="s">
        <v>142</v>
      </c>
      <c r="C31" s="311"/>
      <c r="D31" s="145">
        <f>(E15+E10)/J18</f>
        <v>0.58798611257944888</v>
      </c>
      <c r="E31" s="9"/>
      <c r="F31" s="32"/>
      <c r="G31" s="2"/>
    </row>
    <row r="32" spans="2:10" ht="15.75" thickBot="1" x14ac:dyDescent="0.3">
      <c r="B32" s="10"/>
      <c r="C32" s="11"/>
      <c r="D32" s="11"/>
      <c r="E32" s="11"/>
      <c r="F32" s="151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ht="15.75" thickBot="1" x14ac:dyDescent="0.3">
      <c r="B34" s="2"/>
      <c r="C34" s="2"/>
      <c r="D34" s="2"/>
      <c r="E34" s="2"/>
      <c r="F34" s="2"/>
      <c r="G34" s="2"/>
    </row>
    <row r="35" spans="2:7" ht="15.75" thickBot="1" x14ac:dyDescent="0.3">
      <c r="B35" s="116" t="s">
        <v>131</v>
      </c>
      <c r="C35" s="330">
        <f>SUM(C36:C39)</f>
        <v>9522.6</v>
      </c>
      <c r="D35" s="2"/>
      <c r="E35" s="2"/>
      <c r="F35" s="2"/>
      <c r="G35" s="2"/>
    </row>
    <row r="36" spans="2:7" ht="15.75" thickBot="1" x14ac:dyDescent="0.3">
      <c r="B36" s="118" t="s">
        <v>41</v>
      </c>
      <c r="C36" s="331">
        <v>6885.7</v>
      </c>
      <c r="D36" s="2"/>
      <c r="E36" s="158" t="s">
        <v>138</v>
      </c>
      <c r="F36" s="159" t="s">
        <v>140</v>
      </c>
      <c r="G36" s="160">
        <f>C35/(G4-C40)</f>
        <v>0.22487942008286149</v>
      </c>
    </row>
    <row r="37" spans="2:7" x14ac:dyDescent="0.25">
      <c r="B37" s="118" t="s">
        <v>111</v>
      </c>
      <c r="C37" s="331">
        <v>440</v>
      </c>
      <c r="D37" s="2"/>
      <c r="E37" s="2"/>
      <c r="F37" s="2"/>
      <c r="G37" s="2"/>
    </row>
    <row r="38" spans="2:7" ht="15.75" thickBot="1" x14ac:dyDescent="0.3">
      <c r="B38" s="118" t="s">
        <v>132</v>
      </c>
      <c r="C38" s="331">
        <v>1955.16</v>
      </c>
      <c r="D38" s="2"/>
      <c r="E38" s="2"/>
      <c r="F38" s="2"/>
      <c r="G38" s="2"/>
    </row>
    <row r="39" spans="2:7" ht="15.75" thickBot="1" x14ac:dyDescent="0.3">
      <c r="B39" s="118" t="s">
        <v>133</v>
      </c>
      <c r="C39" s="331">
        <v>241.74</v>
      </c>
      <c r="D39" s="2"/>
      <c r="E39" s="158" t="s">
        <v>139</v>
      </c>
      <c r="F39" s="159" t="s">
        <v>141</v>
      </c>
      <c r="G39" s="161">
        <f>(C35+C40)/E4</f>
        <v>0.76086466165413535</v>
      </c>
    </row>
    <row r="40" spans="2:7" x14ac:dyDescent="0.25">
      <c r="B40" s="152" t="s">
        <v>134</v>
      </c>
      <c r="C40" s="332">
        <f>SUM(C41:C42)</f>
        <v>94910.64</v>
      </c>
      <c r="D40" s="2"/>
      <c r="E40" s="2"/>
      <c r="F40" s="2"/>
      <c r="G40" s="2"/>
    </row>
    <row r="41" spans="2:7" x14ac:dyDescent="0.25">
      <c r="B41" s="118" t="s">
        <v>135</v>
      </c>
      <c r="C41" s="331">
        <v>87090</v>
      </c>
      <c r="D41" s="2"/>
      <c r="E41" s="2"/>
      <c r="F41" s="2"/>
      <c r="G41" s="2"/>
    </row>
    <row r="42" spans="2:7" x14ac:dyDescent="0.25">
      <c r="B42" s="118" t="s">
        <v>136</v>
      </c>
      <c r="C42" s="331">
        <v>7820.64</v>
      </c>
      <c r="D42" s="2"/>
      <c r="E42" s="2"/>
      <c r="F42" s="2"/>
      <c r="G42" s="2"/>
    </row>
    <row r="43" spans="2:7" ht="15.75" thickBot="1" x14ac:dyDescent="0.3">
      <c r="B43" s="155" t="s">
        <v>137</v>
      </c>
      <c r="C43" s="333">
        <f>SUM(C35,C40)</f>
        <v>104433.24</v>
      </c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</sheetData>
  <mergeCells count="5">
    <mergeCell ref="B31:C31"/>
    <mergeCell ref="B29:C29"/>
    <mergeCell ref="B25:C25"/>
    <mergeCell ref="B27:C27"/>
    <mergeCell ref="B23:F23"/>
  </mergeCells>
  <pageMargins left="0.7" right="0.7" top="0.75" bottom="0.75" header="0.3" footer="0.3"/>
  <pageSetup orientation="portrait" horizontalDpi="300" verticalDpi="300" r:id="rId1"/>
  <ignoredErrors>
    <ignoredError sqref="C12:F12 G12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61D6-0020-4522-BF4F-DE8A2E2071F2}">
  <dimension ref="C3:J13"/>
  <sheetViews>
    <sheetView tabSelected="1" zoomScaleNormal="100" workbookViewId="0">
      <selection activeCell="E10" sqref="E10:J13"/>
    </sheetView>
  </sheetViews>
  <sheetFormatPr defaultRowHeight="15" x14ac:dyDescent="0.25"/>
  <cols>
    <col min="3" max="3" width="45.5703125" bestFit="1" customWidth="1"/>
    <col min="4" max="4" width="7.7109375" bestFit="1" customWidth="1"/>
    <col min="5" max="5" width="8.28515625" bestFit="1" customWidth="1"/>
    <col min="6" max="8" width="7.85546875" bestFit="1" customWidth="1"/>
  </cols>
  <sheetData>
    <row r="3" spans="3:10" ht="15.75" thickBot="1" x14ac:dyDescent="0.3"/>
    <row r="4" spans="3:10" ht="15.75" thickBot="1" x14ac:dyDescent="0.3">
      <c r="C4" s="96" t="s">
        <v>144</v>
      </c>
      <c r="D4" s="96" t="s">
        <v>145</v>
      </c>
      <c r="E4" s="96">
        <v>2020</v>
      </c>
      <c r="F4" s="96">
        <v>2021</v>
      </c>
      <c r="G4" s="96">
        <v>2022</v>
      </c>
      <c r="H4" s="96">
        <v>2023</v>
      </c>
      <c r="I4" s="96">
        <v>2024</v>
      </c>
      <c r="J4" s="96">
        <v>2025</v>
      </c>
    </row>
    <row r="5" spans="3:10" ht="15.75" thickBot="1" x14ac:dyDescent="0.3">
      <c r="C5" s="173" t="s">
        <v>146</v>
      </c>
      <c r="D5" s="68">
        <v>1</v>
      </c>
      <c r="E5" s="68">
        <v>137370</v>
      </c>
      <c r="F5" s="68">
        <v>137370</v>
      </c>
      <c r="G5" s="68">
        <v>137370</v>
      </c>
      <c r="H5" s="68">
        <v>137370</v>
      </c>
      <c r="I5" s="68">
        <v>137370</v>
      </c>
      <c r="J5" s="68">
        <v>137370</v>
      </c>
    </row>
    <row r="6" spans="3:10" ht="15.75" thickBot="1" x14ac:dyDescent="0.3">
      <c r="C6" s="173" t="s">
        <v>147</v>
      </c>
      <c r="D6" s="68">
        <v>7</v>
      </c>
      <c r="E6" s="68">
        <v>87090</v>
      </c>
      <c r="F6" s="68">
        <v>87090</v>
      </c>
      <c r="G6" s="68">
        <v>87090</v>
      </c>
      <c r="H6" s="68">
        <v>87090</v>
      </c>
      <c r="I6" s="68">
        <v>87090</v>
      </c>
      <c r="J6" s="68">
        <v>87090</v>
      </c>
    </row>
    <row r="7" spans="3:10" ht="15.75" thickBot="1" x14ac:dyDescent="0.3">
      <c r="C7" s="173" t="s">
        <v>148</v>
      </c>
      <c r="D7" s="68">
        <v>30</v>
      </c>
      <c r="E7" s="68">
        <v>2384</v>
      </c>
      <c r="F7" s="68">
        <v>2384</v>
      </c>
      <c r="G7" s="68">
        <v>2384</v>
      </c>
      <c r="H7" s="68">
        <v>2384</v>
      </c>
      <c r="I7" s="68">
        <v>2384</v>
      </c>
      <c r="J7" s="68">
        <v>2384</v>
      </c>
    </row>
    <row r="8" spans="3:10" s="2" customFormat="1" ht="15.75" thickBot="1" x14ac:dyDescent="0.3">
      <c r="C8" s="176"/>
      <c r="D8" s="176"/>
      <c r="E8" s="176"/>
      <c r="F8" s="176"/>
      <c r="G8" s="176"/>
      <c r="H8" s="176"/>
      <c r="I8" s="176"/>
      <c r="J8" s="176"/>
    </row>
    <row r="9" spans="3:10" ht="15.75" thickBot="1" x14ac:dyDescent="0.3">
      <c r="C9" s="91" t="s">
        <v>149</v>
      </c>
      <c r="D9" s="91" t="s">
        <v>150</v>
      </c>
      <c r="E9" s="91">
        <v>2020</v>
      </c>
      <c r="F9" s="91">
        <v>2021</v>
      </c>
      <c r="G9" s="91">
        <v>2022</v>
      </c>
      <c r="H9" s="91">
        <v>2023</v>
      </c>
      <c r="I9" s="91">
        <v>2024</v>
      </c>
      <c r="J9" s="91">
        <v>2025</v>
      </c>
    </row>
    <row r="10" spans="3:10" ht="15.75" thickBot="1" x14ac:dyDescent="0.3">
      <c r="C10" s="174" t="s">
        <v>146</v>
      </c>
      <c r="D10" s="68">
        <v>360</v>
      </c>
      <c r="E10" s="237">
        <f>E5/$D$10</f>
        <v>381.58333333333331</v>
      </c>
      <c r="F10" s="237">
        <f>F5/$D$10</f>
        <v>381.58333333333331</v>
      </c>
      <c r="G10" s="237">
        <f>G5/$D$10</f>
        <v>381.58333333333331</v>
      </c>
      <c r="H10" s="237">
        <f>H5/$D$10</f>
        <v>381.58333333333331</v>
      </c>
      <c r="I10" s="237">
        <f t="shared" ref="I10:J10" si="0">I5/$D$10</f>
        <v>381.58333333333331</v>
      </c>
      <c r="J10" s="237">
        <f t="shared" si="0"/>
        <v>381.58333333333331</v>
      </c>
    </row>
    <row r="11" spans="3:10" ht="15.75" thickBot="1" x14ac:dyDescent="0.3">
      <c r="C11" s="174" t="s">
        <v>147</v>
      </c>
      <c r="D11" s="68">
        <v>52</v>
      </c>
      <c r="E11" s="237">
        <f>E6/$D$11</f>
        <v>1674.8076923076924</v>
      </c>
      <c r="F11" s="237">
        <f t="shared" ref="F11:H11" si="1">F6/$D$11</f>
        <v>1674.8076923076924</v>
      </c>
      <c r="G11" s="237">
        <f t="shared" si="1"/>
        <v>1674.8076923076924</v>
      </c>
      <c r="H11" s="237">
        <f t="shared" si="1"/>
        <v>1674.8076923076924</v>
      </c>
      <c r="I11" s="237">
        <f t="shared" ref="I11:J11" si="2">I6/$D$11</f>
        <v>1674.8076923076924</v>
      </c>
      <c r="J11" s="237">
        <f t="shared" si="2"/>
        <v>1674.8076923076924</v>
      </c>
    </row>
    <row r="12" spans="3:10" ht="15.75" thickBot="1" x14ac:dyDescent="0.3">
      <c r="C12" s="174" t="s">
        <v>148</v>
      </c>
      <c r="D12" s="68">
        <f>360/D7</f>
        <v>12</v>
      </c>
      <c r="E12" s="237">
        <f>E7/$D$12</f>
        <v>198.66666666666666</v>
      </c>
      <c r="F12" s="237">
        <f t="shared" ref="F12:H12" si="3">F7/$D$12</f>
        <v>198.66666666666666</v>
      </c>
      <c r="G12" s="237">
        <f t="shared" si="3"/>
        <v>198.66666666666666</v>
      </c>
      <c r="H12" s="237">
        <f t="shared" si="3"/>
        <v>198.66666666666666</v>
      </c>
      <c r="I12" s="237">
        <f t="shared" ref="I12:J12" si="4">I7/$D$12</f>
        <v>198.66666666666666</v>
      </c>
      <c r="J12" s="237">
        <f t="shared" si="4"/>
        <v>198.66666666666666</v>
      </c>
    </row>
    <row r="13" spans="3:10" ht="15.75" thickBot="1" x14ac:dyDescent="0.3">
      <c r="C13" s="175" t="s">
        <v>54</v>
      </c>
      <c r="D13" s="175" t="s">
        <v>151</v>
      </c>
      <c r="E13" s="238">
        <f t="shared" ref="E13:G13" si="5">E10+E11-E12</f>
        <v>1857.7243589743591</v>
      </c>
      <c r="F13" s="238">
        <f t="shared" si="5"/>
        <v>1857.7243589743591</v>
      </c>
      <c r="G13" s="238">
        <f t="shared" si="5"/>
        <v>1857.7243589743591</v>
      </c>
      <c r="H13" s="238">
        <f>H10+H11-H12</f>
        <v>1857.7243589743591</v>
      </c>
      <c r="I13" s="238">
        <f t="shared" ref="I13:J13" si="6">I10+I11-I12</f>
        <v>1857.7243589743591</v>
      </c>
      <c r="J13" s="238">
        <f t="shared" si="6"/>
        <v>1857.7243589743591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BC68-7375-4510-8BC3-010C720B082A}">
  <dimension ref="A1:P38"/>
  <sheetViews>
    <sheetView zoomScale="91" zoomScaleNormal="100" workbookViewId="0">
      <selection activeCell="H32" sqref="H32"/>
    </sheetView>
  </sheetViews>
  <sheetFormatPr defaultRowHeight="15" x14ac:dyDescent="0.25"/>
  <cols>
    <col min="2" max="2" width="45.5703125" bestFit="1" customWidth="1"/>
    <col min="3" max="3" width="14.28515625" customWidth="1"/>
    <col min="4" max="9" width="10" bestFit="1" customWidth="1"/>
    <col min="10" max="10" width="28.42578125" bestFit="1" customWidth="1"/>
    <col min="11" max="11" width="19.7109375" bestFit="1" customWidth="1"/>
    <col min="12" max="12" width="11" bestFit="1" customWidth="1"/>
    <col min="13" max="16" width="10" bestFit="1" customWidth="1"/>
  </cols>
  <sheetData>
    <row r="1" spans="1:16" ht="15.75" thickBot="1" x14ac:dyDescent="0.3">
      <c r="A1" t="s">
        <v>175</v>
      </c>
      <c r="C1" s="315" t="s">
        <v>176</v>
      </c>
      <c r="D1" s="315"/>
      <c r="E1" s="315"/>
      <c r="K1" s="315" t="s">
        <v>177</v>
      </c>
      <c r="L1" s="315"/>
      <c r="M1" s="315"/>
      <c r="N1" s="315"/>
      <c r="O1" s="315"/>
    </row>
    <row r="2" spans="1:16" x14ac:dyDescent="0.25">
      <c r="B2" s="47" t="s">
        <v>152</v>
      </c>
      <c r="C2" s="48">
        <v>2019</v>
      </c>
      <c r="D2" s="48">
        <v>2020</v>
      </c>
      <c r="E2" s="48">
        <v>2021</v>
      </c>
      <c r="F2" s="48">
        <v>2022</v>
      </c>
      <c r="G2" s="48">
        <v>2023</v>
      </c>
      <c r="H2" s="49">
        <v>2024</v>
      </c>
      <c r="J2" s="116" t="s">
        <v>152</v>
      </c>
      <c r="K2" s="117">
        <v>2019</v>
      </c>
      <c r="L2" s="117">
        <v>2020</v>
      </c>
      <c r="M2" s="117">
        <v>2021</v>
      </c>
      <c r="N2" s="117">
        <v>2022</v>
      </c>
      <c r="O2" s="117">
        <v>2023</v>
      </c>
      <c r="P2" s="172">
        <v>2024</v>
      </c>
    </row>
    <row r="3" spans="1:16" ht="15.75" thickBot="1" x14ac:dyDescent="0.3">
      <c r="B3" s="178"/>
      <c r="C3" s="179">
        <v>0</v>
      </c>
      <c r="D3" s="179">
        <v>1</v>
      </c>
      <c r="E3" s="179">
        <v>2</v>
      </c>
      <c r="F3" s="179">
        <v>3</v>
      </c>
      <c r="G3" s="179">
        <v>4</v>
      </c>
      <c r="H3" s="180">
        <v>5</v>
      </c>
      <c r="J3" s="155"/>
      <c r="K3" s="44">
        <v>0</v>
      </c>
      <c r="L3" s="44">
        <v>1</v>
      </c>
      <c r="M3" s="44">
        <v>2</v>
      </c>
      <c r="N3" s="44">
        <v>3</v>
      </c>
      <c r="O3" s="44">
        <v>4</v>
      </c>
      <c r="P3" s="45">
        <v>5</v>
      </c>
    </row>
    <row r="4" spans="1:16" ht="15.75" thickBot="1" x14ac:dyDescent="0.3">
      <c r="B4" s="181" t="s">
        <v>153</v>
      </c>
      <c r="C4" s="181">
        <f>SUM(C5:C6)</f>
        <v>0</v>
      </c>
      <c r="D4" s="181">
        <f t="shared" ref="D4:H4" si="0">SUM(D5:D6)</f>
        <v>137370</v>
      </c>
      <c r="E4" s="181">
        <f t="shared" si="0"/>
        <v>137370</v>
      </c>
      <c r="F4" s="181">
        <f t="shared" si="0"/>
        <v>137370</v>
      </c>
      <c r="G4" s="181">
        <f t="shared" si="0"/>
        <v>137370</v>
      </c>
      <c r="H4" s="181">
        <f t="shared" si="0"/>
        <v>137370</v>
      </c>
      <c r="J4" s="177" t="s">
        <v>153</v>
      </c>
      <c r="K4" s="250">
        <f>SUM(K5:K6)</f>
        <v>56369.93</v>
      </c>
      <c r="L4" s="177">
        <f t="shared" ref="L4:P4" si="1">SUM(L5:L6)</f>
        <v>137370</v>
      </c>
      <c r="M4" s="177">
        <f t="shared" si="1"/>
        <v>137370</v>
      </c>
      <c r="N4" s="177">
        <f t="shared" si="1"/>
        <v>137370</v>
      </c>
      <c r="O4" s="177">
        <f t="shared" si="1"/>
        <v>137370</v>
      </c>
      <c r="P4" s="177">
        <f t="shared" si="1"/>
        <v>137370</v>
      </c>
    </row>
    <row r="5" spans="1:16" ht="15.75" thickBot="1" x14ac:dyDescent="0.3">
      <c r="B5" s="182" t="s">
        <v>154</v>
      </c>
      <c r="C5" s="182"/>
      <c r="D5" s="182">
        <v>137370</v>
      </c>
      <c r="E5" s="182">
        <v>137370</v>
      </c>
      <c r="F5" s="182">
        <v>137370</v>
      </c>
      <c r="G5" s="182">
        <v>137370</v>
      </c>
      <c r="H5" s="182">
        <v>137370</v>
      </c>
      <c r="J5" s="68" t="s">
        <v>154</v>
      </c>
      <c r="K5" s="68">
        <v>0</v>
      </c>
      <c r="L5" s="68">
        <v>137370</v>
      </c>
      <c r="M5" s="68">
        <v>137370</v>
      </c>
      <c r="N5" s="68">
        <v>137370</v>
      </c>
      <c r="O5" s="68">
        <v>137370</v>
      </c>
      <c r="P5" s="68">
        <v>137370</v>
      </c>
    </row>
    <row r="6" spans="1:16" ht="15.75" thickBot="1" x14ac:dyDescent="0.3">
      <c r="B6" s="182" t="s">
        <v>155</v>
      </c>
      <c r="C6" s="182"/>
      <c r="D6" s="182"/>
      <c r="E6" s="182"/>
      <c r="F6" s="182"/>
      <c r="G6" s="182"/>
      <c r="H6" s="182"/>
      <c r="J6" s="68" t="s">
        <v>165</v>
      </c>
      <c r="K6" s="237">
        <v>56369.93</v>
      </c>
      <c r="L6" s="68">
        <v>0</v>
      </c>
      <c r="M6" s="68">
        <v>0</v>
      </c>
      <c r="N6" s="68">
        <v>0</v>
      </c>
      <c r="O6" s="68">
        <v>0</v>
      </c>
      <c r="P6" s="68">
        <v>0</v>
      </c>
    </row>
    <row r="7" spans="1:16" ht="15.75" thickBot="1" x14ac:dyDescent="0.3">
      <c r="B7" s="182" t="s">
        <v>156</v>
      </c>
      <c r="C7" s="182"/>
      <c r="D7" s="182"/>
      <c r="E7" s="182"/>
      <c r="F7" s="182"/>
      <c r="G7" s="182"/>
      <c r="H7" s="182">
        <v>20218</v>
      </c>
      <c r="J7" s="68" t="s">
        <v>166</v>
      </c>
      <c r="K7" s="237">
        <v>24021.05</v>
      </c>
      <c r="L7" s="68"/>
      <c r="M7" s="68"/>
      <c r="N7" s="68"/>
      <c r="O7" s="68"/>
      <c r="P7" s="68"/>
    </row>
    <row r="8" spans="1:16" ht="15.75" thickBot="1" x14ac:dyDescent="0.3">
      <c r="B8" s="182" t="s">
        <v>157</v>
      </c>
      <c r="C8" s="182"/>
      <c r="D8" s="240"/>
      <c r="E8" s="240"/>
      <c r="F8" s="240"/>
      <c r="G8" s="240"/>
      <c r="H8" s="240">
        <v>1857.72</v>
      </c>
      <c r="J8" s="68" t="s">
        <v>167</v>
      </c>
      <c r="K8" s="237">
        <v>32348.880000000001</v>
      </c>
      <c r="L8" s="68"/>
      <c r="M8" s="68"/>
      <c r="N8" s="68"/>
      <c r="O8" s="68"/>
      <c r="P8" s="68"/>
    </row>
    <row r="9" spans="1:16" ht="15.75" thickBot="1" x14ac:dyDescent="0.3">
      <c r="B9" s="183" t="s">
        <v>158</v>
      </c>
      <c r="C9" s="239">
        <f>SUM(C10:C13)</f>
        <v>54512.21</v>
      </c>
      <c r="D9" s="239">
        <f>SUM(D10:D13)</f>
        <v>10507.874358974359</v>
      </c>
      <c r="E9" s="239">
        <f t="shared" ref="E9:H9" si="2">SUM(E10:E13)</f>
        <v>10651.874358974359</v>
      </c>
      <c r="F9" s="239">
        <f t="shared" si="2"/>
        <v>10806.274358974359</v>
      </c>
      <c r="G9" s="239">
        <f t="shared" si="2"/>
        <v>10894.274358974359</v>
      </c>
      <c r="H9" s="239">
        <f t="shared" si="2"/>
        <v>10894.274358974359</v>
      </c>
      <c r="J9" s="68" t="s">
        <v>168</v>
      </c>
      <c r="K9" s="68"/>
      <c r="L9" s="68"/>
      <c r="M9" s="68"/>
      <c r="N9" s="68"/>
      <c r="O9" s="68"/>
      <c r="P9" s="68">
        <v>18387</v>
      </c>
    </row>
    <row r="10" spans="1:16" ht="15.75" thickBot="1" x14ac:dyDescent="0.3">
      <c r="B10" s="182" t="s">
        <v>159</v>
      </c>
      <c r="C10" s="240">
        <v>54512.21</v>
      </c>
      <c r="D10" s="182"/>
      <c r="E10" s="182"/>
      <c r="F10" s="182"/>
      <c r="G10" s="182"/>
      <c r="H10" s="182"/>
      <c r="J10" s="68" t="s">
        <v>169</v>
      </c>
      <c r="K10" s="68"/>
      <c r="L10" s="68"/>
      <c r="M10" s="68"/>
      <c r="N10" s="68"/>
      <c r="O10" s="68"/>
      <c r="P10" s="68">
        <v>20245</v>
      </c>
    </row>
    <row r="11" spans="1:16" ht="15.75" thickBot="1" x14ac:dyDescent="0.3">
      <c r="B11" s="182" t="s">
        <v>160</v>
      </c>
      <c r="C11" s="182"/>
      <c r="D11" s="241">
        <f>TOBS!E13</f>
        <v>1857.7243589743591</v>
      </c>
      <c r="E11" s="241">
        <f>TOBS!F13</f>
        <v>1857.7243589743591</v>
      </c>
      <c r="F11" s="241">
        <f>TOBS!G13</f>
        <v>1857.7243589743591</v>
      </c>
      <c r="G11" s="241">
        <f>TOBS!H13</f>
        <v>1857.7243589743591</v>
      </c>
      <c r="H11" s="241">
        <f>TOBS!I13</f>
        <v>1857.7243589743591</v>
      </c>
      <c r="J11" s="68" t="s">
        <v>170</v>
      </c>
      <c r="K11" s="68"/>
      <c r="L11" s="68"/>
      <c r="M11" s="68"/>
      <c r="N11" s="68"/>
      <c r="O11" s="68"/>
      <c r="P11" s="68">
        <v>1857</v>
      </c>
    </row>
    <row r="12" spans="1:16" ht="15.75" thickBot="1" x14ac:dyDescent="0.3">
      <c r="B12" s="182" t="s">
        <v>161</v>
      </c>
      <c r="C12" s="182"/>
      <c r="D12" s="182">
        <v>2384</v>
      </c>
      <c r="E12" s="182">
        <v>2384</v>
      </c>
      <c r="F12" s="182">
        <v>2384</v>
      </c>
      <c r="G12" s="182">
        <v>2384</v>
      </c>
      <c r="H12" s="182">
        <v>2384</v>
      </c>
      <c r="J12" s="177" t="s">
        <v>158</v>
      </c>
      <c r="K12" s="250">
        <v>56369.93</v>
      </c>
      <c r="L12" s="250">
        <f>L15+L16+L14</f>
        <v>20099.874358974361</v>
      </c>
      <c r="M12" s="250">
        <f t="shared" ref="M12:P12" si="3">M15+M16+M14</f>
        <v>20243.874358974361</v>
      </c>
      <c r="N12" s="250">
        <f t="shared" si="3"/>
        <v>20402.274358974359</v>
      </c>
      <c r="O12" s="250">
        <f t="shared" si="3"/>
        <v>8510.2743589743586</v>
      </c>
      <c r="P12" s="250">
        <f t="shared" si="3"/>
        <v>8510.2743589743586</v>
      </c>
    </row>
    <row r="13" spans="1:16" ht="15.75" thickBot="1" x14ac:dyDescent="0.3">
      <c r="B13" s="182" t="s">
        <v>162</v>
      </c>
      <c r="C13" s="182"/>
      <c r="D13" s="240">
        <v>6266.15</v>
      </c>
      <c r="E13" s="240">
        <v>6410.15</v>
      </c>
      <c r="F13" s="240">
        <v>6564.55</v>
      </c>
      <c r="G13" s="240">
        <v>6652.55</v>
      </c>
      <c r="H13" s="240">
        <v>6652.55</v>
      </c>
      <c r="J13" s="68" t="s">
        <v>171</v>
      </c>
      <c r="K13" s="68" t="s">
        <v>35</v>
      </c>
      <c r="L13" s="237"/>
      <c r="M13" s="237"/>
      <c r="N13" s="237"/>
      <c r="O13" s="237"/>
      <c r="P13" s="237"/>
    </row>
    <row r="14" spans="1:16" ht="15.75" thickBot="1" x14ac:dyDescent="0.3">
      <c r="B14" s="183" t="s">
        <v>163</v>
      </c>
      <c r="C14" s="239">
        <f>C4-C9</f>
        <v>-54512.21</v>
      </c>
      <c r="D14" s="239">
        <f t="shared" ref="D14:G14" si="4">D4-D9</f>
        <v>126862.12564102565</v>
      </c>
      <c r="E14" s="239">
        <f t="shared" si="4"/>
        <v>126718.12564102565</v>
      </c>
      <c r="F14" s="239">
        <f t="shared" si="4"/>
        <v>126563.72564102564</v>
      </c>
      <c r="G14" s="239">
        <f t="shared" si="4"/>
        <v>126475.72564102564</v>
      </c>
      <c r="H14" s="239">
        <f>H4-H9</f>
        <v>126475.72564102564</v>
      </c>
      <c r="J14" s="46" t="s">
        <v>172</v>
      </c>
      <c r="K14" s="46"/>
      <c r="L14" s="251">
        <f>TOBS!E13</f>
        <v>1857.7243589743591</v>
      </c>
      <c r="M14" s="251">
        <f>TOBS!F13</f>
        <v>1857.7243589743591</v>
      </c>
      <c r="N14" s="251">
        <f>TOBS!G13</f>
        <v>1857.7243589743591</v>
      </c>
      <c r="O14" s="251">
        <f>TOBS!H13</f>
        <v>1857.7243589743591</v>
      </c>
      <c r="P14" s="251">
        <f>TOBS!I13</f>
        <v>1857.7243589743591</v>
      </c>
    </row>
    <row r="15" spans="1:16" ht="15.75" thickBot="1" x14ac:dyDescent="0.3">
      <c r="B15" s="99" t="s">
        <v>164</v>
      </c>
      <c r="C15" s="239">
        <f>C5-C10</f>
        <v>-54512.21</v>
      </c>
      <c r="D15" s="242">
        <f>C15+D14</f>
        <v>72349.91564102564</v>
      </c>
      <c r="E15" s="242">
        <f t="shared" ref="E15:H15" si="5">D15+E14</f>
        <v>199068.0412820513</v>
      </c>
      <c r="F15" s="242">
        <f t="shared" si="5"/>
        <v>325631.76692307694</v>
      </c>
      <c r="G15" s="242">
        <f t="shared" si="5"/>
        <v>452107.49256410258</v>
      </c>
      <c r="H15" s="242">
        <f t="shared" si="5"/>
        <v>578583.21820512821</v>
      </c>
      <c r="J15" s="68" t="s">
        <v>173</v>
      </c>
      <c r="K15" s="68"/>
      <c r="L15" s="237">
        <v>6266.15</v>
      </c>
      <c r="M15" s="237">
        <v>6410.15</v>
      </c>
      <c r="N15" s="237">
        <v>6564.55</v>
      </c>
      <c r="O15" s="237">
        <v>6652.55</v>
      </c>
      <c r="P15" s="237">
        <v>6652.55</v>
      </c>
    </row>
    <row r="16" spans="1:16" ht="15.75" thickBot="1" x14ac:dyDescent="0.3">
      <c r="B16" s="5"/>
      <c r="C16" s="5"/>
      <c r="D16" s="5"/>
      <c r="E16" s="5"/>
      <c r="F16" s="5"/>
      <c r="G16" s="5"/>
      <c r="H16" s="5"/>
      <c r="J16" s="68" t="s">
        <v>174</v>
      </c>
      <c r="K16" s="68"/>
      <c r="L16" s="252">
        <v>11976</v>
      </c>
      <c r="M16" s="252">
        <v>11976</v>
      </c>
      <c r="N16" s="252">
        <v>11980</v>
      </c>
      <c r="O16" s="237"/>
      <c r="P16" s="237"/>
    </row>
    <row r="17" spans="2:16" ht="15.75" thickBot="1" x14ac:dyDescent="0.3">
      <c r="B17" s="140" t="s">
        <v>178</v>
      </c>
      <c r="C17" s="141">
        <f>C4+(-C15)/D14</f>
        <v>0.4296964891968626</v>
      </c>
      <c r="J17" s="177" t="s">
        <v>163</v>
      </c>
      <c r="K17" s="177">
        <f>K4-K12</f>
        <v>0</v>
      </c>
      <c r="L17" s="250">
        <f t="shared" ref="L17:P17" si="6">L4-L12</f>
        <v>117270.12564102563</v>
      </c>
      <c r="M17" s="250">
        <f t="shared" si="6"/>
        <v>117126.12564102563</v>
      </c>
      <c r="N17" s="250">
        <f t="shared" si="6"/>
        <v>116967.72564102564</v>
      </c>
      <c r="O17" s="250">
        <f t="shared" si="6"/>
        <v>128859.72564102564</v>
      </c>
      <c r="P17" s="250">
        <f t="shared" si="6"/>
        <v>128859.72564102564</v>
      </c>
    </row>
    <row r="18" spans="2:16" ht="15.75" thickBot="1" x14ac:dyDescent="0.3">
      <c r="J18" s="91" t="s">
        <v>164</v>
      </c>
      <c r="K18" s="91">
        <f>K17</f>
        <v>0</v>
      </c>
      <c r="L18" s="253">
        <f>K18+L17</f>
        <v>117270.12564102563</v>
      </c>
      <c r="M18" s="253">
        <f t="shared" ref="M18:P18" si="7">L18+M17</f>
        <v>234396.25128205126</v>
      </c>
      <c r="N18" s="253">
        <f t="shared" si="7"/>
        <v>351363.9769230769</v>
      </c>
      <c r="O18" s="253">
        <f t="shared" si="7"/>
        <v>480223.70256410254</v>
      </c>
      <c r="P18" s="253">
        <f t="shared" si="7"/>
        <v>609083.42820512818</v>
      </c>
    </row>
    <row r="20" spans="2:16" ht="15.75" thickBot="1" x14ac:dyDescent="0.3"/>
    <row r="21" spans="2:16" x14ac:dyDescent="0.25">
      <c r="B21" s="116" t="s">
        <v>179</v>
      </c>
      <c r="C21" s="117" t="s">
        <v>184</v>
      </c>
      <c r="D21" s="189">
        <v>6.9500000000000006E-2</v>
      </c>
      <c r="E21" s="117"/>
      <c r="F21" s="117"/>
      <c r="G21" s="117"/>
      <c r="H21" s="172"/>
      <c r="I21" s="2"/>
      <c r="J21" s="2"/>
    </row>
    <row r="22" spans="2:16" x14ac:dyDescent="0.25">
      <c r="B22" s="152" t="s">
        <v>180</v>
      </c>
      <c r="C22" s="184">
        <v>0</v>
      </c>
      <c r="D22" s="184">
        <v>1</v>
      </c>
      <c r="E22" s="184">
        <v>2</v>
      </c>
      <c r="F22" s="184">
        <v>3</v>
      </c>
      <c r="G22" s="184">
        <v>4</v>
      </c>
      <c r="H22" s="156">
        <v>5</v>
      </c>
    </row>
    <row r="23" spans="2:16" x14ac:dyDescent="0.25">
      <c r="B23" s="118" t="s">
        <v>181</v>
      </c>
      <c r="C23" s="243">
        <f>C14*1/(1+$D$21)^C22</f>
        <v>-54512.21</v>
      </c>
      <c r="D23" s="243">
        <f t="shared" ref="D23:G23" si="8">D14*1/(1+$D$21)^D22</f>
        <v>118618.16329221657</v>
      </c>
      <c r="E23" s="243">
        <f t="shared" si="8"/>
        <v>110784.03079567586</v>
      </c>
      <c r="F23" s="243">
        <f t="shared" si="8"/>
        <v>103458.66828540433</v>
      </c>
      <c r="G23" s="243">
        <f t="shared" si="8"/>
        <v>96668.287307977953</v>
      </c>
      <c r="H23" s="244">
        <f>H14*1/(1+$D$21)^H22</f>
        <v>90386.43039549129</v>
      </c>
      <c r="I23" s="2"/>
      <c r="J23" s="2"/>
    </row>
    <row r="24" spans="2:16" x14ac:dyDescent="0.25">
      <c r="B24" s="118" t="s">
        <v>182</v>
      </c>
      <c r="C24" s="243">
        <f>C23</f>
        <v>-54512.21</v>
      </c>
      <c r="D24" s="243">
        <f>C24+D23</f>
        <v>64105.953292216574</v>
      </c>
      <c r="E24" s="243">
        <f t="shared" ref="E24:H24" si="9">D24+E23</f>
        <v>174889.98408789243</v>
      </c>
      <c r="F24" s="243">
        <f t="shared" si="9"/>
        <v>278348.65237329679</v>
      </c>
      <c r="G24" s="243">
        <f t="shared" si="9"/>
        <v>375016.93968127476</v>
      </c>
      <c r="H24" s="244">
        <f t="shared" si="9"/>
        <v>465403.37007676606</v>
      </c>
    </row>
    <row r="25" spans="2:16" ht="15.75" thickBot="1" x14ac:dyDescent="0.3">
      <c r="B25" s="154" t="s">
        <v>183</v>
      </c>
      <c r="C25" s="77">
        <f>C22+(-C24)/D23</f>
        <v>0.45956039519604458</v>
      </c>
      <c r="D25" s="11"/>
      <c r="E25" s="11"/>
      <c r="F25" s="11"/>
      <c r="G25" s="11"/>
      <c r="H25" s="151"/>
      <c r="I25" s="2"/>
      <c r="J25" s="2"/>
    </row>
    <row r="28" spans="2:16" ht="15.75" thickBot="1" x14ac:dyDescent="0.3"/>
    <row r="29" spans="2:16" ht="15.75" thickBot="1" x14ac:dyDescent="0.3">
      <c r="B29" s="185" t="s">
        <v>185</v>
      </c>
      <c r="C29" s="245">
        <f>SUM(C23:H23)</f>
        <v>465403.37007676606</v>
      </c>
      <c r="F29" s="140" t="s">
        <v>187</v>
      </c>
      <c r="G29" s="147">
        <f>IRR(C14:H14)</f>
        <v>2.3203786840738116</v>
      </c>
    </row>
    <row r="30" spans="2:16" ht="15.75" thickBot="1" x14ac:dyDescent="0.3">
      <c r="B30" s="119" t="s">
        <v>186</v>
      </c>
      <c r="C30" s="246">
        <f>NPV(D21,D14:H14)-C10</f>
        <v>465403.37007676595</v>
      </c>
    </row>
    <row r="34" spans="2:12" ht="15.75" thickBot="1" x14ac:dyDescent="0.3"/>
    <row r="35" spans="2:12" x14ac:dyDescent="0.25">
      <c r="B35" s="116" t="s">
        <v>188</v>
      </c>
      <c r="C35" s="117" t="s">
        <v>189</v>
      </c>
      <c r="D35" s="117"/>
      <c r="E35" s="189">
        <v>0.15003</v>
      </c>
      <c r="F35" s="172"/>
      <c r="K35" s="42" t="s">
        <v>191</v>
      </c>
      <c r="L35" s="248">
        <f>L36/L37</f>
        <v>8.5375986421531262</v>
      </c>
    </row>
    <row r="36" spans="2:12" x14ac:dyDescent="0.25">
      <c r="B36" s="190" t="s">
        <v>180</v>
      </c>
      <c r="C36" s="43">
        <v>0</v>
      </c>
      <c r="D36" s="43">
        <v>1</v>
      </c>
      <c r="E36" s="43">
        <v>2</v>
      </c>
      <c r="F36" s="153">
        <v>3</v>
      </c>
      <c r="K36" s="171" t="s">
        <v>192</v>
      </c>
      <c r="L36" s="249">
        <f>SUM(C23:H23)</f>
        <v>465403.37007676606</v>
      </c>
    </row>
    <row r="37" spans="2:12" x14ac:dyDescent="0.25">
      <c r="B37" s="186" t="s">
        <v>190</v>
      </c>
      <c r="C37" s="243">
        <f>C14*1/(1+$E$35)^C36</f>
        <v>-54512.21</v>
      </c>
      <c r="D37" s="9">
        <f t="shared" ref="D37:F37" si="10">D14*1/(1+$E$35)^D36</f>
        <v>110312.01415704428</v>
      </c>
      <c r="E37" s="243">
        <f t="shared" si="10"/>
        <v>95812.109277319163</v>
      </c>
      <c r="F37" s="243">
        <f t="shared" si="10"/>
        <v>83211.191695938847</v>
      </c>
      <c r="K37" s="171" t="s">
        <v>193</v>
      </c>
      <c r="L37" s="249">
        <f>C10</f>
        <v>54512.21</v>
      </c>
    </row>
    <row r="38" spans="2:12" ht="15.75" thickBot="1" x14ac:dyDescent="0.3">
      <c r="B38" s="187" t="s">
        <v>182</v>
      </c>
      <c r="C38" s="247">
        <f>C37</f>
        <v>-54512.21</v>
      </c>
      <c r="D38" s="188">
        <f>C38+D37</f>
        <v>55799.80415704428</v>
      </c>
      <c r="E38" s="188">
        <f t="shared" ref="E38:F38" si="11">D38+E37</f>
        <v>151611.91343436344</v>
      </c>
      <c r="F38" s="188">
        <f t="shared" si="11"/>
        <v>234823.10513030228</v>
      </c>
    </row>
  </sheetData>
  <mergeCells count="2">
    <mergeCell ref="C1:E1"/>
    <mergeCell ref="K1:O1"/>
  </mergeCells>
  <phoneticPr fontId="29" type="noConversion"/>
  <pageMargins left="0.7" right="0.7" top="0.75" bottom="0.75" header="0.3" footer="0.3"/>
  <ignoredErrors>
    <ignoredError sqref="H4 K4:P4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37A8B474099347893ECE1925719C02" ma:contentTypeVersion="8" ma:contentTypeDescription="Stvaranje novog dokumenta." ma:contentTypeScope="" ma:versionID="4143d838019bb7f6c7d2214b2e02bcd8">
  <xsd:schema xmlns:xsd="http://www.w3.org/2001/XMLSchema" xmlns:xs="http://www.w3.org/2001/XMLSchema" xmlns:p="http://schemas.microsoft.com/office/2006/metadata/properties" xmlns:ns3="7a5314bd-1fca-4b82-a2d7-c9fd070a9994" targetNamespace="http://schemas.microsoft.com/office/2006/metadata/properties" ma:root="true" ma:fieldsID="bb0db26c0a68919871c2cebaa1f7783b" ns3:_="">
    <xsd:import namespace="7a5314bd-1fca-4b82-a2d7-c9fd070a99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314bd-1fca-4b82-a2d7-c9fd070a99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A0184B-A9C1-4480-8253-920FAED60F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046A52-4BC6-472B-90DC-72C4DD8E50AB}">
  <ds:schemaRefs>
    <ds:schemaRef ds:uri="http://purl.org/dc/dcmitype/"/>
    <ds:schemaRef ds:uri="http://schemas.microsoft.com/office/2006/documentManagement/types"/>
    <ds:schemaRef ds:uri="7a5314bd-1fca-4b82-a2d7-c9fd070a9994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A3BCC89-A478-48F5-9328-BFD7246CE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5314bd-1fca-4b82-a2d7-c9fd070a9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9</vt:i4>
      </vt:variant>
    </vt:vector>
  </HeadingPairs>
  <TitlesOfParts>
    <vt:vector size="9" baseType="lpstr">
      <vt:lpstr>INV</vt:lpstr>
      <vt:lpstr>In + Am</vt:lpstr>
      <vt:lpstr>Prihodi</vt:lpstr>
      <vt:lpstr>Zalihe</vt:lpstr>
      <vt:lpstr>Rashodi</vt:lpstr>
      <vt:lpstr>Kredit</vt:lpstr>
      <vt:lpstr>RDG</vt:lpstr>
      <vt:lpstr>TOBS</vt:lpstr>
      <vt:lpstr>ET i 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vukosav</dc:creator>
  <cp:lastModifiedBy>Davor Kušić</cp:lastModifiedBy>
  <dcterms:created xsi:type="dcterms:W3CDTF">2020-01-10T20:22:10Z</dcterms:created>
  <dcterms:modified xsi:type="dcterms:W3CDTF">2020-01-16T20:59:58Z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0x0101002137A8B474099347893ECE1925719C02</vt:lpwstr>
  </property>
</Properties>
</file>