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6"/>
  <workbookPr/>
  <mc:AlternateContent xmlns:mc="http://schemas.openxmlformats.org/markup-compatibility/2006">
    <mc:Choice Requires="x15">
      <x15ac:absPath xmlns:x15ac="http://schemas.microsoft.com/office/spreadsheetml/2010/11/ac" url="C:\Users\Pekashy\Dropbox\Учеба\1 курс\Скаты и конспекты\"/>
    </mc:Choice>
  </mc:AlternateContent>
  <xr:revisionPtr revIDLastSave="5" documentId="19DE3741205FEE347D70BF78662F462E6009FDE4" xr6:coauthVersionLast="17" xr6:coauthVersionMax="17" xr10:uidLastSave="{4D6978DD-C83E-A844-82DD-FA1FFCD8E037}"/>
  <bookViews>
    <workbookView xWindow="0" yWindow="0" windowWidth="17970" windowHeight="6180" xr2:uid="{00000000-000D-0000-FFFF-FFFF00000000}"/>
  </bookViews>
  <sheets>
    <sheet name="Лист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L7" i="1"/>
  <c r="D5" i="1"/>
  <c r="M5" i="1"/>
  <c r="I5" i="1"/>
  <c r="G36" i="1"/>
  <c r="H36" i="1"/>
  <c r="C36" i="1"/>
  <c r="K31" i="1"/>
  <c r="C31" i="1"/>
  <c r="I31" i="1"/>
  <c r="A31" i="1"/>
  <c r="B31" i="1"/>
  <c r="D31" i="1"/>
  <c r="I36" i="1"/>
  <c r="G37" i="1"/>
  <c r="H37" i="1"/>
  <c r="C37" i="1"/>
  <c r="I37" i="1"/>
  <c r="G38" i="1"/>
  <c r="H38" i="1"/>
  <c r="C38" i="1"/>
  <c r="I38" i="1"/>
  <c r="G39" i="1"/>
  <c r="H39" i="1"/>
  <c r="C39" i="1"/>
  <c r="I39" i="1"/>
  <c r="G5" i="1"/>
  <c r="H5" i="1"/>
  <c r="K2" i="1"/>
  <c r="C2" i="1"/>
  <c r="I2" i="1"/>
  <c r="A2" i="1"/>
  <c r="B2" i="1"/>
  <c r="D2" i="1"/>
  <c r="A5" i="1"/>
  <c r="C5" i="1"/>
  <c r="C10" i="1"/>
  <c r="B3" i="1"/>
  <c r="I10" i="1"/>
  <c r="G6" i="1"/>
  <c r="C6" i="1"/>
  <c r="I6" i="1"/>
  <c r="G7" i="1"/>
  <c r="H7" i="1"/>
  <c r="C7" i="1"/>
  <c r="I7" i="1"/>
  <c r="G8" i="1"/>
  <c r="H8" i="1"/>
  <c r="C8" i="1"/>
  <c r="I8" i="1"/>
  <c r="G9" i="1"/>
  <c r="H9" i="1"/>
  <c r="C9" i="1"/>
  <c r="I9" i="1"/>
  <c r="I15" i="1"/>
  <c r="G35" i="1"/>
  <c r="H35" i="1"/>
  <c r="C35" i="1"/>
  <c r="I35" i="1"/>
  <c r="B54" i="1"/>
  <c r="C53" i="1"/>
  <c r="C54" i="1"/>
  <c r="C55" i="1"/>
  <c r="D54" i="1"/>
  <c r="A15" i="1"/>
  <c r="D35" i="1"/>
  <c r="M35" i="1"/>
  <c r="D36" i="1"/>
  <c r="M36" i="1"/>
  <c r="D37" i="1"/>
  <c r="M37" i="1"/>
  <c r="D38" i="1"/>
  <c r="M38" i="1"/>
  <c r="D39" i="1"/>
  <c r="M39" i="1"/>
  <c r="L35" i="1"/>
  <c r="L36" i="1"/>
  <c r="L37" i="1"/>
  <c r="L38" i="1"/>
  <c r="L39" i="1"/>
  <c r="Q35" i="1"/>
  <c r="R35" i="1"/>
  <c r="C19" i="1"/>
  <c r="D19" i="1"/>
  <c r="M19" i="1"/>
  <c r="C20" i="1"/>
  <c r="D20" i="1"/>
  <c r="M20" i="1"/>
  <c r="C21" i="1"/>
  <c r="D21" i="1"/>
  <c r="M21" i="1"/>
  <c r="C22" i="1"/>
  <c r="D22" i="1"/>
  <c r="M22" i="1"/>
  <c r="G19" i="1"/>
  <c r="L19" i="1"/>
  <c r="G20" i="1"/>
  <c r="L20" i="1"/>
  <c r="G21" i="1"/>
  <c r="L21" i="1"/>
  <c r="G22" i="1"/>
  <c r="L22" i="1"/>
  <c r="Q18" i="1"/>
  <c r="R18" i="1"/>
  <c r="Q4" i="1"/>
  <c r="D6" i="1"/>
  <c r="M6" i="1"/>
  <c r="D7" i="1"/>
  <c r="M7" i="1"/>
  <c r="D8" i="1"/>
  <c r="M8" i="1"/>
  <c r="D9" i="1"/>
  <c r="M9" i="1"/>
  <c r="L5" i="1"/>
  <c r="L6" i="1"/>
  <c r="L8" i="1"/>
  <c r="L9" i="1"/>
  <c r="R4" i="1"/>
  <c r="N39" i="1"/>
  <c r="N38" i="1"/>
  <c r="N37" i="1"/>
  <c r="N36" i="1"/>
  <c r="N35" i="1"/>
  <c r="N22" i="1"/>
  <c r="N21" i="1"/>
  <c r="N20" i="1"/>
  <c r="N19" i="1"/>
  <c r="N6" i="1"/>
  <c r="N7" i="1"/>
  <c r="N8" i="1"/>
  <c r="N9" i="1"/>
  <c r="N5" i="1"/>
  <c r="G13" i="1"/>
  <c r="D10" i="1"/>
  <c r="A32" i="1"/>
  <c r="B32" i="1"/>
  <c r="E32" i="1"/>
  <c r="G32" i="1"/>
  <c r="H20" i="1"/>
  <c r="H21" i="1"/>
  <c r="H22" i="1"/>
  <c r="H19" i="1"/>
  <c r="D3" i="1"/>
  <c r="A16" i="1"/>
  <c r="K15" i="1"/>
  <c r="C15" i="1"/>
  <c r="D15" i="1"/>
  <c r="B15" i="1"/>
  <c r="I21" i="1"/>
  <c r="E31" i="1"/>
  <c r="G31" i="1"/>
  <c r="I22" i="1"/>
  <c r="I20" i="1"/>
  <c r="I19" i="1"/>
  <c r="B16" i="1"/>
  <c r="E16" i="1"/>
  <c r="G16" i="1"/>
  <c r="E15" i="1"/>
  <c r="G15" i="1"/>
  <c r="A3" i="1"/>
  <c r="F6" i="1"/>
  <c r="E3" i="1"/>
  <c r="G3" i="1"/>
  <c r="K13" i="1"/>
  <c r="F5" i="1"/>
  <c r="K29" i="1"/>
  <c r="K45" i="1"/>
  <c r="F39" i="1"/>
  <c r="F38" i="1"/>
  <c r="E2" i="1"/>
  <c r="G2" i="1"/>
  <c r="F35" i="1"/>
  <c r="F36" i="1"/>
  <c r="F37" i="1"/>
  <c r="F7" i="1"/>
  <c r="F19" i="1"/>
  <c r="F9" i="1"/>
  <c r="F8" i="1"/>
  <c r="F21" i="1"/>
  <c r="F20" i="1"/>
  <c r="F22" i="1"/>
  <c r="K30" i="1"/>
  <c r="K46" i="1"/>
  <c r="B51" i="1"/>
  <c r="K14" i="1"/>
  <c r="C51" i="1"/>
  <c r="C52" i="1"/>
  <c r="C50" i="1"/>
  <c r="B57" i="1"/>
  <c r="B59" i="1"/>
  <c r="B58" i="1"/>
  <c r="D51" i="1"/>
  <c r="C57" i="1"/>
</calcChain>
</file>

<file path=xl/sharedStrings.xml><?xml version="1.0" encoding="utf-8"?>
<sst xmlns="http://schemas.openxmlformats.org/spreadsheetml/2006/main" count="83" uniqueCount="27">
  <si>
    <t>Q</t>
  </si>
  <si>
    <t>m_1</t>
  </si>
  <si>
    <t>C_p</t>
  </si>
  <si>
    <t>\alpha</t>
  </si>
  <si>
    <t>P_0</t>
  </si>
  <si>
    <t>I_0</t>
  </si>
  <si>
    <t>R</t>
  </si>
  <si>
    <t>U</t>
  </si>
  <si>
    <t>P</t>
  </si>
  <si>
    <t>epsilon</t>
  </si>
  <si>
    <t>I</t>
  </si>
  <si>
    <t>Желаемое \DeltaT</t>
  </si>
  <si>
    <t>P_atm</t>
  </si>
  <si>
    <t>nu</t>
  </si>
  <si>
    <t>T</t>
  </si>
  <si>
    <t>cp</t>
  </si>
  <si>
    <t>b</t>
  </si>
  <si>
    <t>delta T(из мощности)</t>
  </si>
  <si>
    <t>T реальное</t>
  </si>
  <si>
    <t>рассчетный ток I</t>
  </si>
  <si>
    <t>T^2</t>
  </si>
  <si>
    <t>P^2</t>
  </si>
  <si>
    <t>TP</t>
  </si>
  <si>
    <t>sigma</t>
  </si>
  <si>
    <t>&lt;Cp&gt;</t>
  </si>
  <si>
    <t>a</t>
  </si>
  <si>
    <t>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</si>
</sst>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E+00"/>
    <numFmt numFmtId="166" formatCode="0E+00"/>
    <numFmt numFmtId="167" formatCode="0.00000"/>
    <numFmt numFmtId="168" formatCode="0.0000"/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2" borderId="0" xfId="0" applyNumberFormat="1" applyFill="1"/>
    <xf numFmtId="2" fontId="0" fillId="2" borderId="0" xfId="0" applyNumberFormat="1" applyFill="1"/>
    <xf numFmtId="169" fontId="0" fillId="0" borderId="0" xfId="0" applyNumberFormat="1"/>
    <xf numFmtId="0" fontId="0" fillId="2" borderId="0" xfId="0" applyFill="1"/>
    <xf numFmtId="169" fontId="0" fillId="2" borderId="0" xfId="0" applyNumberFormat="1" applyFill="1"/>
    <xf numFmtId="2" fontId="0" fillId="2" borderId="0" xfId="0" applyNumberFormat="1" applyFill="1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600618683587E-2"/>
          <c:y val="5.0925925925925923E-2"/>
          <c:w val="0.88097998184569626"/>
          <c:h val="0.86019171989991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2"/>
            <c:dispRSqr val="0"/>
            <c:dispEq val="0"/>
          </c:trendline>
          <c:xVal>
            <c:numRef>
              <c:f>Лист1!$G$5:$G$9</c:f>
              <c:numCache>
                <c:formatCode>0.00</c:formatCode>
                <c:ptCount val="5"/>
                <c:pt idx="0">
                  <c:v>2.0094562647754142</c:v>
                </c:pt>
                <c:pt idx="1">
                  <c:v>3.8061465721040193</c:v>
                </c:pt>
                <c:pt idx="2">
                  <c:v>6.3593380614657224</c:v>
                </c:pt>
                <c:pt idx="3">
                  <c:v>8.8652482269503547</c:v>
                </c:pt>
                <c:pt idx="4">
                  <c:v>12.245862884160758</c:v>
                </c:pt>
              </c:numCache>
            </c:numRef>
          </c:xVal>
          <c:yVal>
            <c:numRef>
              <c:f>Лист1!$D$5:$D$9</c:f>
              <c:numCache>
                <c:formatCode>0.0000</c:formatCode>
                <c:ptCount val="5"/>
                <c:pt idx="0">
                  <c:v>0.35633499999999996</c:v>
                </c:pt>
                <c:pt idx="1">
                  <c:v>0.58950000000000002</c:v>
                </c:pt>
                <c:pt idx="2">
                  <c:v>0.87640815000000016</c:v>
                </c:pt>
                <c:pt idx="3">
                  <c:v>1.2199124000000001</c:v>
                </c:pt>
                <c:pt idx="4">
                  <c:v>1.6625990999999998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171-BC26-F16D29B7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38376"/>
        <c:axId val="259637720"/>
      </c:scatterChart>
      <c:valAx>
        <c:axId val="2596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7720"/>
        <c:crosses val="autoZero"/>
        <c:crossBetween val="midCat"/>
      </c:valAx>
      <c:valAx>
        <c:axId val="2596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</a:t>
                </a:r>
                <a:r>
                  <a:rPr lang="ru-RU"/>
                  <a:t>Вт</a:t>
                </a:r>
                <a:r>
                  <a:rPr lang="en-US"/>
                  <a:t>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600618683587E-2"/>
          <c:y val="5.0925925925925923E-2"/>
          <c:w val="0.88097998184569626"/>
          <c:h val="0.86019171989991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Лист1!$G$19:$G$22</c:f>
              <c:numCache>
                <c:formatCode>0.00</c:formatCode>
                <c:ptCount val="4"/>
                <c:pt idx="0">
                  <c:v>2.1276595744680851</c:v>
                </c:pt>
                <c:pt idx="1">
                  <c:v>4.3735224586288419</c:v>
                </c:pt>
                <c:pt idx="2">
                  <c:v>7.2576832151300241</c:v>
                </c:pt>
                <c:pt idx="3">
                  <c:v>12.718676122931445</c:v>
                </c:pt>
              </c:numCache>
            </c:numRef>
          </c:xVal>
          <c:yVal>
            <c:numRef>
              <c:f>Лист1!$D$19:$D$22</c:f>
              <c:numCache>
                <c:formatCode>0.0000</c:formatCode>
                <c:ptCount val="4"/>
                <c:pt idx="0">
                  <c:v>6.9211999999999996E-2</c:v>
                </c:pt>
                <c:pt idx="1">
                  <c:v>0.21504960000000001</c:v>
                </c:pt>
                <c:pt idx="2">
                  <c:v>0.35787501999999993</c:v>
                </c:pt>
                <c:pt idx="3">
                  <c:v>0.58682000000000012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8-4E3A-AAB0-5AD12ED3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38376"/>
        <c:axId val="259637720"/>
      </c:scatterChart>
      <c:valAx>
        <c:axId val="2596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7720"/>
        <c:crosses val="autoZero"/>
        <c:crossBetween val="midCat"/>
      </c:valAx>
      <c:valAx>
        <c:axId val="2596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</a:t>
                </a:r>
                <a:r>
                  <a:rPr lang="ru-RU"/>
                  <a:t>Вт</a:t>
                </a:r>
                <a:r>
                  <a:rPr lang="en-US"/>
                  <a:t>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600618683587E-2"/>
          <c:y val="5.0925925925925923E-2"/>
          <c:w val="0.88097998184569626"/>
          <c:h val="0.86019171989991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1.5"/>
            <c:dispRSqr val="0"/>
            <c:dispEq val="0"/>
          </c:trendline>
          <c:xVal>
            <c:numRef>
              <c:f>Лист1!$G$35:$G$39</c:f>
              <c:numCache>
                <c:formatCode>0.00</c:formatCode>
                <c:ptCount val="5"/>
                <c:pt idx="0">
                  <c:v>1.6075650118203313</c:v>
                </c:pt>
                <c:pt idx="1">
                  <c:v>3.8061465721040193</c:v>
                </c:pt>
                <c:pt idx="2">
                  <c:v>6.3829787234042561</c:v>
                </c:pt>
                <c:pt idx="3">
                  <c:v>8.2269503546099276</c:v>
                </c:pt>
                <c:pt idx="4">
                  <c:v>10.874704491725771</c:v>
                </c:pt>
              </c:numCache>
            </c:numRef>
          </c:xVal>
          <c:yVal>
            <c:numRef>
              <c:f>Лист1!$D$35:$D$39</c:f>
              <c:numCache>
                <c:formatCode>0.0000</c:formatCode>
                <c:ptCount val="5"/>
                <c:pt idx="0">
                  <c:v>0.16368775199999999</c:v>
                </c:pt>
                <c:pt idx="1">
                  <c:v>0.36193679999999995</c:v>
                </c:pt>
                <c:pt idx="2">
                  <c:v>0.58107720400000007</c:v>
                </c:pt>
                <c:pt idx="3">
                  <c:v>0.7406974380000001</c:v>
                </c:pt>
                <c:pt idx="4">
                  <c:v>0.87181200000000014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8-4A20-8D3B-BC8EC8EC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38376"/>
        <c:axId val="259637720"/>
      </c:scatterChart>
      <c:valAx>
        <c:axId val="2596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7720"/>
        <c:crosses val="autoZero"/>
        <c:crossBetween val="midCat"/>
      </c:valAx>
      <c:valAx>
        <c:axId val="2596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</a:t>
                </a:r>
                <a:r>
                  <a:rPr lang="ru-RU"/>
                  <a:t>Вт</a:t>
                </a:r>
                <a:r>
                  <a:rPr lang="en-US"/>
                  <a:t>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63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0</xdr:row>
      <xdr:rowOff>124691</xdr:rowOff>
    </xdr:from>
    <xdr:to>
      <xdr:col>27</xdr:col>
      <xdr:colOff>439882</xdr:colOff>
      <xdr:row>15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16</xdr:row>
      <xdr:rowOff>0</xdr:rowOff>
    </xdr:from>
    <xdr:to>
      <xdr:col>27</xdr:col>
      <xdr:colOff>363682</xdr:colOff>
      <xdr:row>30</xdr:row>
      <xdr:rowOff>75334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27</xdr:col>
      <xdr:colOff>297007</xdr:colOff>
      <xdr:row>46</xdr:row>
      <xdr:rowOff>75334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D1" zoomScaleNormal="100" workbookViewId="0" xr3:uid="{AEA406A1-0E4B-5B11-9CD5-51D6E497D94C}">
      <selection activeCell="G6" sqref="G6"/>
    </sheetView>
  </sheetViews>
  <sheetFormatPr defaultRowHeight="15" x14ac:dyDescent="0.2"/>
  <cols>
    <col min="1" max="1" width="11.97265625" bestFit="1" customWidth="1"/>
    <col min="2" max="2" width="9.55078125" bestFit="1" customWidth="1"/>
    <col min="3" max="3" width="9.953125" bestFit="1" customWidth="1"/>
    <col min="4" max="4" width="9.55078125" bestFit="1" customWidth="1"/>
    <col min="6" max="6" width="23.40625" customWidth="1"/>
    <col min="7" max="7" width="21.65625" customWidth="1"/>
    <col min="8" max="8" width="18.4296875" customWidth="1"/>
    <col min="9" max="9" width="28.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14</v>
      </c>
      <c r="I1" t="s">
        <v>12</v>
      </c>
      <c r="J1" t="s">
        <v>6</v>
      </c>
      <c r="K1" t="s">
        <v>13</v>
      </c>
    </row>
    <row r="2" spans="1:18" x14ac:dyDescent="0.2">
      <c r="A2" s="3">
        <f>0.085*10^-3</f>
        <v>8.5000000000000006E-5</v>
      </c>
      <c r="B2" s="1">
        <f>K2*I2*A2/J2/H2</f>
        <v>9.9218156014505593E-2</v>
      </c>
      <c r="C2">
        <f>7/2*J2/K2</f>
        <v>1.0029310344827587</v>
      </c>
      <c r="D2">
        <f>1.7*10^-4</f>
        <v>1.7000000000000001E-4</v>
      </c>
      <c r="E2" s="1">
        <f>C2*B2+D2</f>
        <v>9.9678967851099837E-2</v>
      </c>
      <c r="F2">
        <v>35</v>
      </c>
      <c r="G2" s="3">
        <f>SQRT(E2/F2)</f>
        <v>5.3366379959965654E-2</v>
      </c>
      <c r="H2">
        <v>295.5</v>
      </c>
      <c r="I2">
        <f>98.84*10^3</f>
        <v>98840</v>
      </c>
      <c r="J2">
        <v>8.31</v>
      </c>
      <c r="K2">
        <f>29</f>
        <v>29</v>
      </c>
    </row>
    <row r="3" spans="1:18" x14ac:dyDescent="0.2">
      <c r="A3" s="4">
        <f>A2*SQRT((0.05/1)^2+(1/12)^2)</f>
        <v>8.2605151843641758E-6</v>
      </c>
      <c r="B3" s="4">
        <f>B2*SQRT((H3/H2)^2+(I3/I2)^2)</f>
        <v>1.6795683187545768E-4</v>
      </c>
      <c r="D3" s="5">
        <f>7/D2</f>
        <v>41176.470588235294</v>
      </c>
      <c r="E3" s="4">
        <f>B3*C2</f>
        <v>1.6844911914129954E-4</v>
      </c>
      <c r="G3" s="4">
        <f>1/2*E3*F2</f>
        <v>2.9478595849727418E-3</v>
      </c>
      <c r="H3">
        <v>0.5</v>
      </c>
      <c r="I3">
        <v>5</v>
      </c>
      <c r="R3" t="s">
        <v>23</v>
      </c>
    </row>
    <row r="4" spans="1:18" x14ac:dyDescent="0.2">
      <c r="A4" t="s">
        <v>10</v>
      </c>
      <c r="B4" t="s">
        <v>7</v>
      </c>
      <c r="C4" t="s">
        <v>6</v>
      </c>
      <c r="D4" t="s">
        <v>8</v>
      </c>
      <c r="E4" t="s">
        <v>9</v>
      </c>
      <c r="F4" t="s">
        <v>17</v>
      </c>
      <c r="G4" t="s">
        <v>18</v>
      </c>
      <c r="H4" t="s">
        <v>11</v>
      </c>
      <c r="I4" t="s">
        <v>19</v>
      </c>
      <c r="L4" t="s">
        <v>20</v>
      </c>
      <c r="M4" t="s">
        <v>21</v>
      </c>
      <c r="N4" t="s">
        <v>22</v>
      </c>
      <c r="P4" t="s">
        <v>16</v>
      </c>
      <c r="Q4" s="2">
        <f>J13</f>
        <v>0.12720000000000001</v>
      </c>
      <c r="R4" s="2">
        <f>1/SQRT(5)*SQRT((AVERAGE(M5:M9)-AVERAGE(D5:D9)^2)/(AVERAGE(L5:L9)-AVERAGE(G5:G9)^2)-Q4^2)</f>
        <v>6.323897715137794E-2</v>
      </c>
    </row>
    <row r="5" spans="1:18" x14ac:dyDescent="0.2">
      <c r="A5" s="6">
        <f>101.81*10^-3</f>
        <v>0.10181</v>
      </c>
      <c r="B5" s="2">
        <v>3.5</v>
      </c>
      <c r="C5" s="5">
        <f>B5/A5</f>
        <v>34.377762498772221</v>
      </c>
      <c r="D5" s="7">
        <f>A5^2*C5</f>
        <v>0.35633499999999996</v>
      </c>
      <c r="E5">
        <v>8.5000000000000006E-2</v>
      </c>
      <c r="F5" s="5">
        <f>D5/($C$2*$B$2+$D$2)</f>
        <v>3.574826341824608</v>
      </c>
      <c r="G5" s="5">
        <f>E5/84.6*1000*2</f>
        <v>2.0094562647754142</v>
      </c>
      <c r="H5">
        <f>G5</f>
        <v>2.0094562647754142</v>
      </c>
      <c r="I5" s="2">
        <f>SQRT(H5*($C$2*$B$2+$D$2)/(C5))</f>
        <v>7.6331226701760874E-2</v>
      </c>
      <c r="L5" s="5">
        <f>G5^2</f>
        <v>4.0379144800451598</v>
      </c>
      <c r="M5" s="7">
        <f>D5^2</f>
        <v>0.12697463222499997</v>
      </c>
      <c r="N5">
        <f>D5*G5</f>
        <v>0.71603959810874718</v>
      </c>
    </row>
    <row r="6" spans="1:18" x14ac:dyDescent="0.2">
      <c r="A6" s="6">
        <v>0.13100000000000001</v>
      </c>
      <c r="B6" s="2">
        <v>4.5</v>
      </c>
      <c r="C6" s="5">
        <f>B6/A6</f>
        <v>34.351145038167935</v>
      </c>
      <c r="D6" s="7">
        <f>A6^2*C6</f>
        <v>0.58950000000000002</v>
      </c>
      <c r="E6">
        <v>0.161</v>
      </c>
      <c r="F6" s="5">
        <f>D6/($C$2*$B$2+$D$2)</f>
        <v>5.9139857956855399</v>
      </c>
      <c r="G6" s="5">
        <f>E6/84.6*1000*2</f>
        <v>3.8061465721040193</v>
      </c>
      <c r="H6" s="5">
        <f>G6</f>
        <v>3.8061465721040193</v>
      </c>
      <c r="I6" s="2">
        <f t="shared" ref="I6:I9" si="0">SQRT(H6*($C$2*$B$2+$D$2)/(C6))</f>
        <v>0.1050930294711947</v>
      </c>
      <c r="L6" s="5">
        <f t="shared" ref="L6:L10" si="1">G6^2</f>
        <v>14.486751728339177</v>
      </c>
      <c r="M6" s="7">
        <f t="shared" ref="M6:M9" si="2">D6^2</f>
        <v>0.34751025000000002</v>
      </c>
      <c r="N6">
        <f t="shared" ref="N6:N9" si="3">D6*G6</f>
        <v>2.2437234042553196</v>
      </c>
    </row>
    <row r="7" spans="1:18" x14ac:dyDescent="0.2">
      <c r="A7" s="6">
        <v>0.15955</v>
      </c>
      <c r="B7" s="2">
        <v>5.4930000000000003</v>
      </c>
      <c r="C7" s="5">
        <f>B7/A7</f>
        <v>34.428078972109063</v>
      </c>
      <c r="D7" s="7">
        <f>A7^2*C7</f>
        <v>0.87640815000000016</v>
      </c>
      <c r="E7">
        <v>0.26900000000000002</v>
      </c>
      <c r="F7" s="5">
        <f>D7/($C$2*$B$2+$D$2)</f>
        <v>8.7923076341357813</v>
      </c>
      <c r="G7" s="5">
        <f>E7/84.6*1000*2</f>
        <v>6.3593380614657224</v>
      </c>
      <c r="H7">
        <f t="shared" ref="H6:H10" si="4">G7</f>
        <v>6.3593380614657224</v>
      </c>
      <c r="I7" s="2">
        <f t="shared" si="0"/>
        <v>0.1356910887781729</v>
      </c>
      <c r="L7" s="5">
        <f>G5^2</f>
        <v>4.0379144800451598</v>
      </c>
      <c r="M7" s="7">
        <f t="shared" si="2"/>
        <v>0.76809124538642282</v>
      </c>
      <c r="N7">
        <f t="shared" si="3"/>
        <v>5.5733757056737607</v>
      </c>
    </row>
    <row r="8" spans="1:18" x14ac:dyDescent="0.2">
      <c r="A8" s="6">
        <v>0.18820000000000001</v>
      </c>
      <c r="B8" s="2">
        <v>6.4820000000000002</v>
      </c>
      <c r="C8" s="5">
        <f>B8/A8</f>
        <v>34.442082890541975</v>
      </c>
      <c r="D8" s="7">
        <f>A8^2*C8</f>
        <v>1.2199124000000001</v>
      </c>
      <c r="E8">
        <v>0.375</v>
      </c>
      <c r="F8" s="5">
        <f>D8/($C$2*$B$2+$D$2)</f>
        <v>12.238413241018927</v>
      </c>
      <c r="G8" s="5">
        <f>E8/84.6*1000*2</f>
        <v>8.8652482269503547</v>
      </c>
      <c r="H8">
        <f t="shared" si="4"/>
        <v>8.8652482269503547</v>
      </c>
      <c r="I8" s="2">
        <f t="shared" si="0"/>
        <v>0.16017786937355444</v>
      </c>
      <c r="L8" s="5">
        <f t="shared" si="1"/>
        <v>78.592626125446415</v>
      </c>
      <c r="M8" s="7">
        <f t="shared" si="2"/>
        <v>1.4881862636737604</v>
      </c>
      <c r="N8">
        <f t="shared" si="3"/>
        <v>10.814826241134753</v>
      </c>
    </row>
    <row r="9" spans="1:18" x14ac:dyDescent="0.2">
      <c r="A9" s="6">
        <v>0.21962999999999999</v>
      </c>
      <c r="B9" s="2">
        <v>7.57</v>
      </c>
      <c r="C9" s="5">
        <f>B9/A9</f>
        <v>34.467058234303146</v>
      </c>
      <c r="D9" s="7">
        <f>A9^2*C9</f>
        <v>1.6625990999999998</v>
      </c>
      <c r="E9">
        <v>0.51800000000000002</v>
      </c>
      <c r="F9" s="5">
        <f t="shared" ref="F9" si="5">D9/($C$2*$B$2+$D$2)</f>
        <v>16.679537678235047</v>
      </c>
      <c r="G9" s="5">
        <f>E9/84.6*1000*2</f>
        <v>12.245862884160758</v>
      </c>
      <c r="H9">
        <f t="shared" si="4"/>
        <v>12.245862884160758</v>
      </c>
      <c r="I9" s="2">
        <f t="shared" si="0"/>
        <v>0.18818905151470011</v>
      </c>
      <c r="L9" s="5">
        <f t="shared" si="1"/>
        <v>149.96115777766605</v>
      </c>
      <c r="M9" s="7">
        <f t="shared" si="2"/>
        <v>2.7642357673208093</v>
      </c>
      <c r="N9">
        <f t="shared" si="3"/>
        <v>20.359960609929079</v>
      </c>
    </row>
    <row r="10" spans="1:18" x14ac:dyDescent="0.2">
      <c r="C10">
        <f>C5*SQRT((10^-5/A5)^2+(10^-3/B5)^2)</f>
        <v>1.0386423243078905E-2</v>
      </c>
      <c r="D10" s="1">
        <f>D5*SQRT(4*(10^-5/A5)^2+($C$10/C5)^2)</f>
        <v>1.2841446997904871E-4</v>
      </c>
      <c r="I10" s="2">
        <f>I5*SQRT((0.01/H5)^2+(C10/C5)^2+(B$3/B2)^2)</f>
        <v>4.0189766766648185E-4</v>
      </c>
      <c r="L10" s="5"/>
    </row>
    <row r="12" spans="1:18" x14ac:dyDescent="0.2">
      <c r="J12" t="s">
        <v>16</v>
      </c>
      <c r="K12" t="s">
        <v>15</v>
      </c>
    </row>
    <row r="13" spans="1:18" x14ac:dyDescent="0.2">
      <c r="G13">
        <f t="shared" ref="G13" si="6">E13/84.6*1000*2</f>
        <v>0</v>
      </c>
      <c r="J13">
        <v>0.12720000000000001</v>
      </c>
      <c r="K13" s="8">
        <f>J13/B2-$D$2/$B$2</f>
        <v>1.2803100269413226</v>
      </c>
    </row>
    <row r="14" spans="1:18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6</v>
      </c>
      <c r="G14" t="s">
        <v>5</v>
      </c>
      <c r="H14" t="s">
        <v>14</v>
      </c>
      <c r="I14" t="s">
        <v>12</v>
      </c>
      <c r="J14" t="s">
        <v>6</v>
      </c>
      <c r="K14" s="9">
        <f>K13*SQRT((B3/B2)^2+(R4/Q4)^2)</f>
        <v>0.63652488898644954</v>
      </c>
    </row>
    <row r="15" spans="1:18" x14ac:dyDescent="0.2">
      <c r="A15" s="1">
        <f>1/42.84*10^-3</f>
        <v>2.3342670401493929E-5</v>
      </c>
      <c r="B15" s="1">
        <f>K15*I15*A15/J15/H15</f>
        <v>2.7247255455183604E-2</v>
      </c>
      <c r="C15">
        <f>7/2*J15/K15</f>
        <v>1.0029310344827587</v>
      </c>
      <c r="D15">
        <f>1.7*10^-4</f>
        <v>1.7000000000000001E-4</v>
      </c>
      <c r="E15" s="1">
        <f>C15*B15+D15</f>
        <v>2.7497118100483282E-2</v>
      </c>
      <c r="F15">
        <v>35</v>
      </c>
      <c r="G15" s="3">
        <f>SQRT(E15/F15)</f>
        <v>2.8029126738592727E-2</v>
      </c>
      <c r="H15">
        <v>295.5</v>
      </c>
      <c r="I15">
        <f>98.84*10^3</f>
        <v>98840</v>
      </c>
      <c r="J15">
        <v>8.31</v>
      </c>
      <c r="K15">
        <f>29</f>
        <v>29</v>
      </c>
    </row>
    <row r="16" spans="1:18" x14ac:dyDescent="0.2">
      <c r="A16" s="4">
        <f>A15*SQRT((0.05/1)^2+(1/12)^2)</f>
        <v>2.2684998034723388E-6</v>
      </c>
      <c r="B16" s="4">
        <f>B15*SQRT((H16/H15)^2+(I16/I15)^2)</f>
        <v>4.6124246684093387E-5</v>
      </c>
      <c r="D16" s="1"/>
      <c r="E16" s="4">
        <f>B16*C15</f>
        <v>4.6259438441615735E-5</v>
      </c>
      <c r="G16" s="4">
        <f>1/2*E16*F15</f>
        <v>8.0954017272827535E-4</v>
      </c>
      <c r="H16">
        <v>0.5</v>
      </c>
      <c r="I16">
        <v>5</v>
      </c>
    </row>
    <row r="17" spans="1:18" x14ac:dyDescent="0.2">
      <c r="R17" t="s">
        <v>23</v>
      </c>
    </row>
    <row r="18" spans="1:18" x14ac:dyDescent="0.2">
      <c r="A18" t="s">
        <v>10</v>
      </c>
      <c r="B18" t="s">
        <v>7</v>
      </c>
      <c r="C18" t="s">
        <v>6</v>
      </c>
      <c r="D18" t="s">
        <v>8</v>
      </c>
      <c r="E18" t="s">
        <v>9</v>
      </c>
      <c r="F18" t="s">
        <v>17</v>
      </c>
      <c r="G18" t="s">
        <v>18</v>
      </c>
      <c r="H18" t="s">
        <v>11</v>
      </c>
      <c r="I18" t="s">
        <v>19</v>
      </c>
      <c r="L18" t="s">
        <v>20</v>
      </c>
      <c r="M18" t="s">
        <v>21</v>
      </c>
      <c r="N18" t="s">
        <v>22</v>
      </c>
      <c r="P18" t="s">
        <v>16</v>
      </c>
      <c r="Q18" s="2">
        <f>J29</f>
        <v>4.8000000000000001E-2</v>
      </c>
      <c r="R18" s="2">
        <f>1/SQRT(5)*SQRT((AVERAGE(M19:M22)-AVERAGE(D19:D22)^2)/(AVERAGE(L19:L22)-AVERAGE(G19:G22)^2)-Q18^2)</f>
        <v>1.8957142725147648E-3</v>
      </c>
    </row>
    <row r="19" spans="1:18" x14ac:dyDescent="0.2">
      <c r="A19" s="6">
        <v>4.3999999999999997E-2</v>
      </c>
      <c r="B19" s="2">
        <v>1.573</v>
      </c>
      <c r="C19" s="5">
        <f>B19/A19</f>
        <v>35.75</v>
      </c>
      <c r="D19" s="7">
        <f>A19^2*C19</f>
        <v>6.9211999999999996E-2</v>
      </c>
      <c r="E19" s="2">
        <v>0.09</v>
      </c>
      <c r="F19" s="5">
        <f>D19/($C$2*$B$2+$D$2)</f>
        <v>0.69434908378454208</v>
      </c>
      <c r="G19" s="5">
        <f>E19/84.6*1000*2</f>
        <v>2.1276595744680851</v>
      </c>
      <c r="H19">
        <f>G19</f>
        <v>2.1276595744680851</v>
      </c>
      <c r="I19" s="2">
        <f>SQRT(H19*($C$15*$B$15+$D$15)/(C19))</f>
        <v>4.045354984441573E-2</v>
      </c>
      <c r="L19" s="5">
        <f>G19^2</f>
        <v>4.5269352648257124</v>
      </c>
      <c r="M19" s="7">
        <f>D19^2</f>
        <v>4.7903009439999996E-3</v>
      </c>
      <c r="N19">
        <f>D19*G19</f>
        <v>0.1472595744680851</v>
      </c>
    </row>
    <row r="20" spans="1:18" x14ac:dyDescent="0.2">
      <c r="A20" s="6">
        <v>7.8600000000000003E-2</v>
      </c>
      <c r="B20" s="2">
        <v>2.7360000000000002</v>
      </c>
      <c r="C20" s="5">
        <f t="shared" ref="C20:C26" si="7">B20/A20</f>
        <v>34.809160305343511</v>
      </c>
      <c r="D20" s="7">
        <f t="shared" ref="D20:D26" si="8">A20^2*C20</f>
        <v>0.21504960000000001</v>
      </c>
      <c r="E20" s="2">
        <v>0.185</v>
      </c>
      <c r="F20" s="5">
        <f t="shared" ref="F20:F26" si="9">D20/($C$2*$B$2+$D$2)</f>
        <v>2.157422018266085</v>
      </c>
      <c r="G20" s="5">
        <f>E20/84.6*1000*2</f>
        <v>4.3735224586288419</v>
      </c>
      <c r="H20">
        <f t="shared" ref="H20:H22" si="10">G20</f>
        <v>4.3735224586288419</v>
      </c>
      <c r="I20" s="2">
        <f t="shared" ref="I20:I22" si="11">SQRT(H20*($C$15*$B$15+$D$15)/(C20))</f>
        <v>5.8777687627187256E-2</v>
      </c>
      <c r="L20" s="5">
        <f t="shared" ref="L20:L24" si="12">G20^2</f>
        <v>19.127698696130871</v>
      </c>
      <c r="M20" s="7">
        <f t="shared" ref="M20:M23" si="13">D20^2</f>
        <v>4.6246330460160003E-2</v>
      </c>
      <c r="N20">
        <f t="shared" ref="N20:N23" si="14">D20*G20</f>
        <v>0.94052425531914907</v>
      </c>
    </row>
    <row r="21" spans="1:18" x14ac:dyDescent="0.2">
      <c r="A21" s="6">
        <v>0.10145</v>
      </c>
      <c r="B21" s="2">
        <v>3.5276000000000001</v>
      </c>
      <c r="C21" s="5">
        <f t="shared" si="7"/>
        <v>34.771808772794479</v>
      </c>
      <c r="D21" s="7">
        <f t="shared" si="8"/>
        <v>0.35787501999999993</v>
      </c>
      <c r="E21" s="2">
        <v>0.307</v>
      </c>
      <c r="F21" s="5">
        <f t="shared" si="9"/>
        <v>3.5902761406457642</v>
      </c>
      <c r="G21" s="5">
        <f t="shared" ref="G21:G26" si="15">E21/84.6*1000*2</f>
        <v>7.2576832151300241</v>
      </c>
      <c r="H21">
        <f t="shared" si="10"/>
        <v>7.2576832151300241</v>
      </c>
      <c r="I21" s="2">
        <f t="shared" si="11"/>
        <v>7.5758078745238655E-2</v>
      </c>
      <c r="L21" s="5">
        <f t="shared" si="12"/>
        <v>52.673965651180083</v>
      </c>
      <c r="M21" s="7">
        <f t="shared" si="13"/>
        <v>0.12807452994000035</v>
      </c>
      <c r="N21">
        <f t="shared" si="14"/>
        <v>2.5973435257683213</v>
      </c>
    </row>
    <row r="22" spans="1:18" x14ac:dyDescent="0.2">
      <c r="A22" s="6">
        <v>0.13</v>
      </c>
      <c r="B22" s="2">
        <v>4.5140000000000002</v>
      </c>
      <c r="C22" s="5">
        <f t="shared" si="7"/>
        <v>34.723076923076924</v>
      </c>
      <c r="D22" s="7">
        <f t="shared" si="8"/>
        <v>0.58682000000000012</v>
      </c>
      <c r="E22" s="2">
        <v>0.53800000000000003</v>
      </c>
      <c r="F22" s="5">
        <f t="shared" si="9"/>
        <v>5.8870994819748752</v>
      </c>
      <c r="G22" s="5">
        <f>E22/84.6*1000*2</f>
        <v>12.718676122931445</v>
      </c>
      <c r="H22">
        <f t="shared" si="10"/>
        <v>12.718676122931445</v>
      </c>
      <c r="I22" s="2">
        <f t="shared" si="11"/>
        <v>0.10035879598871827</v>
      </c>
      <c r="L22" s="5">
        <f t="shared" si="12"/>
        <v>161.76472232002646</v>
      </c>
      <c r="M22" s="7">
        <f t="shared" si="13"/>
        <v>0.34435771240000013</v>
      </c>
      <c r="N22">
        <f t="shared" si="14"/>
        <v>7.4635735224586321</v>
      </c>
    </row>
    <row r="23" spans="1:18" x14ac:dyDescent="0.2">
      <c r="I23" s="2"/>
      <c r="L23" s="5"/>
      <c r="M23" s="7"/>
    </row>
    <row r="24" spans="1:18" x14ac:dyDescent="0.2">
      <c r="I24" s="2"/>
      <c r="L24" s="5"/>
    </row>
    <row r="25" spans="1:18" x14ac:dyDescent="0.2">
      <c r="I25" s="2"/>
    </row>
    <row r="26" spans="1:18" x14ac:dyDescent="0.2">
      <c r="I26" s="2"/>
    </row>
    <row r="27" spans="1:18" x14ac:dyDescent="0.2">
      <c r="I27" s="2"/>
    </row>
    <row r="28" spans="1:18" x14ac:dyDescent="0.2">
      <c r="J28" t="s">
        <v>16</v>
      </c>
      <c r="K28" t="s">
        <v>15</v>
      </c>
    </row>
    <row r="29" spans="1:18" x14ac:dyDescent="0.2">
      <c r="J29">
        <v>4.8000000000000001E-2</v>
      </c>
      <c r="K29" s="8">
        <f>J29/B15-$D$2/$B$2</f>
        <v>1.7599319218800153</v>
      </c>
    </row>
    <row r="30" spans="1:18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6</v>
      </c>
      <c r="G30" t="s">
        <v>5</v>
      </c>
      <c r="H30" t="s">
        <v>14</v>
      </c>
      <c r="I30" t="s">
        <v>12</v>
      </c>
      <c r="J30" t="s">
        <v>6</v>
      </c>
      <c r="K30" s="9">
        <f>K29*SQRT((B16/B15)^2+(R18/Q18)^2)</f>
        <v>6.9570653343812239E-2</v>
      </c>
    </row>
    <row r="31" spans="1:18" x14ac:dyDescent="0.2">
      <c r="A31" s="1">
        <f>1/19.37*10^-3</f>
        <v>5.1626226122870411E-5</v>
      </c>
      <c r="B31" s="1">
        <f>K31*I31*A31/J31/H31</f>
        <v>6.0261870092930596E-2</v>
      </c>
      <c r="C31">
        <f>7/2*J31/K31</f>
        <v>1.0029310344827587</v>
      </c>
      <c r="D31">
        <f>1.7*10^-4</f>
        <v>1.7000000000000001E-4</v>
      </c>
      <c r="E31" s="1">
        <f>C31*B31+D31</f>
        <v>6.0608499712168501E-2</v>
      </c>
      <c r="F31">
        <v>35</v>
      </c>
      <c r="G31" s="3">
        <f>SQRT(E31/F31)</f>
        <v>4.1613356273529196E-2</v>
      </c>
      <c r="H31">
        <v>295.5</v>
      </c>
      <c r="I31">
        <f>98.84*10^3</f>
        <v>98840</v>
      </c>
      <c r="J31">
        <v>8.31</v>
      </c>
      <c r="K31">
        <f>29</f>
        <v>29</v>
      </c>
    </row>
    <row r="32" spans="1:18" x14ac:dyDescent="0.2">
      <c r="A32" s="4">
        <f>A31*SQRT((0.05/1)^2+(1/12)^2)</f>
        <v>5.0171673505810523E-6</v>
      </c>
      <c r="B32" s="4">
        <f>B31*SQRT((H32/H31)^2+(I32/I31)^2)</f>
        <v>1.0201149860333303E-4</v>
      </c>
      <c r="D32" s="1"/>
      <c r="E32" s="4">
        <f>B32*C31</f>
        <v>1.0231049782337729E-4</v>
      </c>
      <c r="G32" s="4">
        <f>1/2*E32*F31</f>
        <v>1.7904337119091025E-3</v>
      </c>
      <c r="H32">
        <v>0.5</v>
      </c>
      <c r="I32">
        <v>5</v>
      </c>
    </row>
    <row r="34" spans="1:18" x14ac:dyDescent="0.2">
      <c r="A34" t="s">
        <v>10</v>
      </c>
      <c r="B34" t="s">
        <v>7</v>
      </c>
      <c r="C34" t="s">
        <v>6</v>
      </c>
      <c r="D34" t="s">
        <v>8</v>
      </c>
      <c r="E34" t="s">
        <v>9</v>
      </c>
      <c r="F34" t="s">
        <v>17</v>
      </c>
      <c r="G34" t="s">
        <v>18</v>
      </c>
      <c r="H34" t="s">
        <v>11</v>
      </c>
      <c r="I34" t="s">
        <v>19</v>
      </c>
      <c r="L34" t="s">
        <v>20</v>
      </c>
      <c r="M34" t="s">
        <v>21</v>
      </c>
      <c r="N34" t="s">
        <v>22</v>
      </c>
      <c r="R34" t="s">
        <v>23</v>
      </c>
    </row>
    <row r="35" spans="1:18" x14ac:dyDescent="0.2">
      <c r="A35" s="6">
        <v>6.8839999999999998E-2</v>
      </c>
      <c r="B35" s="2">
        <v>2.3778000000000001</v>
      </c>
      <c r="C35" s="5">
        <f>B35/A35</f>
        <v>34.540964555490994</v>
      </c>
      <c r="D35" s="7">
        <f>A35^2*C35</f>
        <v>0.16368775199999999</v>
      </c>
      <c r="E35" s="2">
        <v>6.8000000000000005E-2</v>
      </c>
      <c r="F35">
        <f>D35/($C$2*$B$2+$D$2)</f>
        <v>1.6421493473379087</v>
      </c>
      <c r="G35" s="5">
        <f>E35/84.6*1000*2</f>
        <v>1.6075650118203313</v>
      </c>
      <c r="H35">
        <f>G35</f>
        <v>1.6075650118203313</v>
      </c>
      <c r="I35" s="2">
        <f>SQRT(H35*($C$31*$B$31+$D$31)/(C35))</f>
        <v>5.3110918111818249E-2</v>
      </c>
      <c r="L35" s="5">
        <f>G35^2</f>
        <v>2.5842652672289019</v>
      </c>
      <c r="M35" s="7">
        <f>D35^2</f>
        <v>2.6793680154813503E-2</v>
      </c>
      <c r="N35">
        <f>D35*G35</f>
        <v>0.26313870297872344</v>
      </c>
      <c r="P35" t="s">
        <v>16</v>
      </c>
      <c r="Q35" s="2">
        <f>J45</f>
        <v>7.8E-2</v>
      </c>
      <c r="R35" s="2">
        <f>1/SQRT(5)*SQRT((AVERAGE(M35:M39)-AVERAGE(D35:D39)^2)/(AVERAGE(L35:L39)-AVERAGE(G35:G39)^2)-Q35^2)</f>
        <v>3.8873393099541028E-3</v>
      </c>
    </row>
    <row r="36" spans="1:18" x14ac:dyDescent="0.2">
      <c r="A36" s="6">
        <v>0.10199999999999999</v>
      </c>
      <c r="B36" s="2">
        <v>3.5484</v>
      </c>
      <c r="C36" s="5">
        <f t="shared" ref="C36:C42" si="16">B36/A36</f>
        <v>34.788235294117648</v>
      </c>
      <c r="D36" s="7">
        <f t="shared" ref="D36:D42" si="17">A36^2*C36</f>
        <v>0.36193679999999995</v>
      </c>
      <c r="E36" s="2">
        <v>0.161</v>
      </c>
      <c r="F36">
        <f t="shared" ref="F36:F42" si="18">D36/($C$2*$B$2+$D$2)</f>
        <v>3.6310247568038641</v>
      </c>
      <c r="G36" s="5">
        <f>E36/84.6*1000*2</f>
        <v>3.8061465721040193</v>
      </c>
      <c r="H36">
        <f t="shared" ref="H36:H39" si="19">G36</f>
        <v>3.8061465721040193</v>
      </c>
      <c r="I36" s="2">
        <f t="shared" ref="I36:I39" si="20">SQRT(H36/(C36*($C$31*$B$31+$D$31)))</f>
        <v>1.3435684220920676</v>
      </c>
      <c r="L36" s="5">
        <f t="shared" ref="L36:L39" si="21">G36^2</f>
        <v>14.486751728339177</v>
      </c>
      <c r="M36" s="7">
        <f t="shared" ref="M36:M39" si="22">D36^2</f>
        <v>0.13099824719423997</v>
      </c>
      <c r="N36">
        <f t="shared" ref="N36:N39" si="23">D36*G36</f>
        <v>1.3775845106382978</v>
      </c>
    </row>
    <row r="37" spans="1:18" x14ac:dyDescent="0.2">
      <c r="A37" s="6">
        <v>0.12967000000000001</v>
      </c>
      <c r="B37" s="2">
        <v>4.4812000000000003</v>
      </c>
      <c r="C37" s="5">
        <f t="shared" si="16"/>
        <v>34.55849464024061</v>
      </c>
      <c r="D37" s="7">
        <f t="shared" si="17"/>
        <v>0.58107720400000007</v>
      </c>
      <c r="E37" s="2">
        <v>0.27</v>
      </c>
      <c r="F37">
        <f t="shared" si="18"/>
        <v>5.8294865659926529</v>
      </c>
      <c r="G37" s="5">
        <f t="shared" ref="G37" si="24">E37/84.6*1000*2</f>
        <v>6.3829787234042561</v>
      </c>
      <c r="H37">
        <f t="shared" si="19"/>
        <v>6.3829787234042561</v>
      </c>
      <c r="I37" s="2">
        <f t="shared" si="20"/>
        <v>1.7456916045916706</v>
      </c>
      <c r="L37" s="5">
        <f t="shared" si="21"/>
        <v>40.74241738343143</v>
      </c>
      <c r="M37" s="7">
        <f t="shared" si="22"/>
        <v>0.33765071700845772</v>
      </c>
      <c r="N37">
        <f t="shared" si="23"/>
        <v>3.7090034297872347</v>
      </c>
    </row>
    <row r="38" spans="1:18" x14ac:dyDescent="0.2">
      <c r="A38" s="6">
        <v>0.14638000000000001</v>
      </c>
      <c r="B38" s="2">
        <v>5.0601000000000003</v>
      </c>
      <c r="C38" s="5">
        <f t="shared" si="16"/>
        <v>34.568247028282549</v>
      </c>
      <c r="D38" s="7">
        <f t="shared" si="17"/>
        <v>0.7406974380000001</v>
      </c>
      <c r="E38" s="2">
        <v>0.34799999999999998</v>
      </c>
      <c r="F38">
        <f t="shared" si="18"/>
        <v>7.4308297323709436</v>
      </c>
      <c r="G38" s="5">
        <f>E38/84.6*1000*2</f>
        <v>8.2269503546099276</v>
      </c>
      <c r="H38">
        <f t="shared" si="19"/>
        <v>8.2269503546099276</v>
      </c>
      <c r="I38" s="2">
        <f t="shared" si="20"/>
        <v>1.9815908718230228</v>
      </c>
      <c r="L38" s="5">
        <f t="shared" si="21"/>
        <v>67.682712137216413</v>
      </c>
      <c r="M38" s="7">
        <f t="shared" si="22"/>
        <v>0.54863269465976394</v>
      </c>
      <c r="N38">
        <f t="shared" si="23"/>
        <v>6.0936810502127656</v>
      </c>
    </row>
    <row r="39" spans="1:18" x14ac:dyDescent="0.2">
      <c r="A39" s="6">
        <v>0.1588</v>
      </c>
      <c r="B39" s="2">
        <v>5.49</v>
      </c>
      <c r="C39" s="5">
        <f t="shared" si="16"/>
        <v>34.57178841309824</v>
      </c>
      <c r="D39" s="7">
        <f t="shared" si="17"/>
        <v>0.87181200000000014</v>
      </c>
      <c r="E39" s="2">
        <v>0.46</v>
      </c>
      <c r="F39">
        <f t="shared" si="18"/>
        <v>8.7461981077323205</v>
      </c>
      <c r="G39" s="5">
        <f t="shared" ref="G39:G42" si="25">E39/84.6*1000*2</f>
        <v>10.874704491725771</v>
      </c>
      <c r="H39">
        <f t="shared" si="19"/>
        <v>10.874704491725771</v>
      </c>
      <c r="I39" s="2">
        <f t="shared" si="20"/>
        <v>2.2781433182218147</v>
      </c>
      <c r="L39" s="5">
        <f t="shared" si="21"/>
        <v>118.25919778236066</v>
      </c>
      <c r="M39" s="7">
        <f t="shared" si="22"/>
        <v>0.76005616334400028</v>
      </c>
      <c r="N39">
        <f t="shared" si="23"/>
        <v>9.4806978723404285</v>
      </c>
    </row>
    <row r="40" spans="1:18" x14ac:dyDescent="0.2">
      <c r="I40" s="2"/>
    </row>
    <row r="41" spans="1:18" x14ac:dyDescent="0.2">
      <c r="I41" s="2"/>
    </row>
    <row r="42" spans="1:18" x14ac:dyDescent="0.2">
      <c r="I42" s="2"/>
    </row>
    <row r="44" spans="1:18" x14ac:dyDescent="0.2">
      <c r="J44" t="s">
        <v>16</v>
      </c>
      <c r="K44" t="s">
        <v>15</v>
      </c>
    </row>
    <row r="45" spans="1:18" x14ac:dyDescent="0.2">
      <c r="J45">
        <v>7.8E-2</v>
      </c>
      <c r="K45" s="8">
        <f>J45/B31-$D$2/$B$2</f>
        <v>1.292637407827349</v>
      </c>
    </row>
    <row r="46" spans="1:18" x14ac:dyDescent="0.2">
      <c r="K46" s="9">
        <f>K45*SQRT((B32/B31)^2+(R35/Q35)^2)</f>
        <v>6.445920549192774E-2</v>
      </c>
    </row>
    <row r="50" spans="1:4" x14ac:dyDescent="0.2">
      <c r="C50">
        <f>(K13-B51)^2</f>
        <v>2.689045444271846E-2</v>
      </c>
    </row>
    <row r="51" spans="1:4" x14ac:dyDescent="0.2">
      <c r="A51" s="11" t="s">
        <v>24</v>
      </c>
      <c r="B51" s="12">
        <f>(K13+K45+K29)/3</f>
        <v>1.4442931188828958</v>
      </c>
      <c r="C51">
        <f>(K29-B51)^2</f>
        <v>9.9627853957454451E-2</v>
      </c>
      <c r="D51" s="12">
        <f>SQRT(1/(3*2)*SUM(C50:C52))</f>
        <v>0.15785951723813191</v>
      </c>
    </row>
    <row r="52" spans="1:4" x14ac:dyDescent="0.2">
      <c r="C52">
        <f>(K45-B51)^2</f>
        <v>2.2999454695763488E-2</v>
      </c>
    </row>
    <row r="53" spans="1:4" x14ac:dyDescent="0.2">
      <c r="C53">
        <f>(J45-B54)^2</f>
        <v>4.0959999999999859E-5</v>
      </c>
    </row>
    <row r="54" spans="1:4" x14ac:dyDescent="0.2">
      <c r="A54" s="11" t="s">
        <v>16</v>
      </c>
      <c r="B54" s="13">
        <f>(J45+J29+J13)/3</f>
        <v>8.4399999999999989E-2</v>
      </c>
      <c r="C54">
        <f>(J29-B54)^2</f>
        <v>1.3249599999999992E-3</v>
      </c>
      <c r="D54" s="9">
        <f>SQRT(1/(3*2)*SUM(C53:C55))</f>
        <v>2.3085926448812924E-2</v>
      </c>
    </row>
    <row r="55" spans="1:4" x14ac:dyDescent="0.2">
      <c r="C55">
        <f>(J13-B54)^2</f>
        <v>1.8318400000000017E-3</v>
      </c>
    </row>
    <row r="57" spans="1:4" x14ac:dyDescent="0.2">
      <c r="A57" t="s">
        <v>25</v>
      </c>
      <c r="B57" s="10">
        <f>B51-C2</f>
        <v>0.44136208440013713</v>
      </c>
      <c r="C57">
        <f>B57*K2</f>
        <v>12.799500447603977</v>
      </c>
    </row>
    <row r="58" spans="1:4" x14ac:dyDescent="0.2">
      <c r="A58" t="s">
        <v>26</v>
      </c>
      <c r="B58">
        <f>B51/B59</f>
        <v>3.2723543093781142</v>
      </c>
    </row>
    <row r="59" spans="1:4" x14ac:dyDescent="0.2">
      <c r="B59" s="10">
        <f>B51-C2</f>
        <v>0.44136208440013713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Зязев Егор</dc:creator>
  <cp:lastModifiedBy>Зязев Егор</cp:lastModifiedBy>
  <dcterms:created xsi:type="dcterms:W3CDTF">2017-04-17T03:56:38Z</dcterms:created>
  <dcterms:modified xsi:type="dcterms:W3CDTF">2017-04-23T17:28:40Z</dcterms:modified>
</cp:coreProperties>
</file>