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ython_trading_bot\Forex_Trading_Bot_and_Analysis\bots\hedge\"/>
    </mc:Choice>
  </mc:AlternateContent>
  <xr:revisionPtr revIDLastSave="0" documentId="13_ncr:1_{1CB49F07-DD3D-4F9C-A4F7-99453A196B4F}" xr6:coauthVersionLast="47" xr6:coauthVersionMax="47" xr10:uidLastSave="{00000000-0000-0000-0000-000000000000}"/>
  <bookViews>
    <workbookView xWindow="-120" yWindow="-120" windowWidth="29040" windowHeight="15840" activeTab="4" xr2:uid="{104D2DB4-0238-45CA-80E1-1CC26B168608}"/>
  </bookViews>
  <sheets>
    <sheet name="Sheet1" sheetId="1" r:id="rId1"/>
    <sheet name="a1" sheetId="14" r:id="rId2"/>
    <sheet name="b1" sheetId="16" r:id="rId3"/>
    <sheet name="b2" sheetId="13" r:id="rId4"/>
    <sheet name="b3" sheetId="17" r:id="rId5"/>
    <sheet name="Sheet2" sheetId="20" r:id="rId6"/>
    <sheet name="c" sheetId="19" r:id="rId7"/>
  </sheets>
  <definedNames>
    <definedName name="solver_adj" localSheetId="1" hidden="1">'a1'!$P$11</definedName>
    <definedName name="solver_adj" localSheetId="2" hidden="1">'b1'!$P$12</definedName>
    <definedName name="solver_adj" localSheetId="3" hidden="1">'b2'!$P$12</definedName>
    <definedName name="solver_adj" localSheetId="4" hidden="1">'b3'!$P$12</definedName>
    <definedName name="solver_adj" localSheetId="6" hidden="1">'c'!$P$12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6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6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6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lhs1" localSheetId="1" hidden="1">'a1'!$F$14</definedName>
    <definedName name="solver_lhs1" localSheetId="2" hidden="1">'b1'!$F$15</definedName>
    <definedName name="solver_lhs1" localSheetId="3" hidden="1">'b2'!$F$15</definedName>
    <definedName name="solver_lhs1" localSheetId="4" hidden="1">'b3'!$F$15</definedName>
    <definedName name="solver_lhs1" localSheetId="6" hidden="1">'c'!$F$15</definedName>
    <definedName name="solver_lhs2" localSheetId="1" hidden="1">'a1'!$F$14</definedName>
    <definedName name="solver_lhs2" localSheetId="2" hidden="1">'b1'!$F$15</definedName>
    <definedName name="solver_lhs2" localSheetId="3" hidden="1">'b2'!$F$15</definedName>
    <definedName name="solver_lhs2" localSheetId="4" hidden="1">'b3'!$F$15</definedName>
    <definedName name="solver_lhs2" localSheetId="6" hidden="1">'c'!$F$15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6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6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6" hidden="1">1</definedName>
    <definedName name="solver_opt" localSheetId="1" hidden="1">'a1'!$O$9</definedName>
    <definedName name="solver_opt" localSheetId="2" hidden="1">'b1'!$O$10</definedName>
    <definedName name="solver_opt" localSheetId="3" hidden="1">'b2'!$O$10</definedName>
    <definedName name="solver_opt" localSheetId="4" hidden="1">'b3'!$O$10</definedName>
    <definedName name="solver_opt" localSheetId="6" hidden="1">'c'!$O$10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6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6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6" hidden="1">3</definedName>
    <definedName name="solver_rhs1" localSheetId="1" hidden="1">130</definedName>
    <definedName name="solver_rhs1" localSheetId="2" hidden="1">130</definedName>
    <definedName name="solver_rhs1" localSheetId="3" hidden="1">130</definedName>
    <definedName name="solver_rhs1" localSheetId="4" hidden="1">130</definedName>
    <definedName name="solver_rhs1" localSheetId="6" hidden="1">130</definedName>
    <definedName name="solver_rhs2" localSheetId="1" hidden="1">100</definedName>
    <definedName name="solver_rhs2" localSheetId="2" hidden="1">100</definedName>
    <definedName name="solver_rhs2" localSheetId="3" hidden="1">100</definedName>
    <definedName name="solver_rhs2" localSheetId="4" hidden="1">100</definedName>
    <definedName name="solver_rhs2" localSheetId="6" hidden="1">100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6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6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typ" localSheetId="4" hidden="1">3</definedName>
    <definedName name="solver_typ" localSheetId="6" hidden="1">3</definedName>
    <definedName name="solver_val" localSheetId="1" hidden="1">105</definedName>
    <definedName name="solver_val" localSheetId="2" hidden="1">105</definedName>
    <definedName name="solver_val" localSheetId="3" hidden="1">105</definedName>
    <definedName name="solver_val" localSheetId="4" hidden="1">105</definedName>
    <definedName name="solver_val" localSheetId="6" hidden="1">105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9" l="1"/>
  <c r="D5" i="17"/>
  <c r="D12" i="17" s="1"/>
  <c r="D13" i="17" s="1"/>
  <c r="D6" i="17"/>
  <c r="E14" i="17" s="1"/>
  <c r="F11" i="19"/>
  <c r="P15" i="19" s="1"/>
  <c r="E11" i="19"/>
  <c r="D6" i="19"/>
  <c r="D11" i="19" s="1"/>
  <c r="D14" i="19" s="1"/>
  <c r="D5" i="19"/>
  <c r="D12" i="19" s="1"/>
  <c r="D13" i="19" s="1"/>
  <c r="F12" i="16"/>
  <c r="F11" i="17"/>
  <c r="L15" i="17" s="1"/>
  <c r="F11" i="16"/>
  <c r="J15" i="16" s="1"/>
  <c r="D6" i="16"/>
  <c r="D11" i="16" s="1"/>
  <c r="D14" i="16" s="1"/>
  <c r="D5" i="16"/>
  <c r="D12" i="16" s="1"/>
  <c r="D13" i="16" s="1"/>
  <c r="D6" i="13"/>
  <c r="E14" i="13" s="1"/>
  <c r="D5" i="13"/>
  <c r="D12" i="13" s="1"/>
  <c r="D13" i="13" s="1"/>
  <c r="E13" i="14"/>
  <c r="D11" i="14"/>
  <c r="D12" i="14" s="1"/>
  <c r="F10" i="14"/>
  <c r="H14" i="14" s="1"/>
  <c r="E10" i="14"/>
  <c r="F11" i="14" s="1"/>
  <c r="D10" i="14"/>
  <c r="D13" i="14" s="1"/>
  <c r="F11" i="13"/>
  <c r="F15" i="13" s="1"/>
  <c r="G10" i="13" s="1"/>
  <c r="H15" i="13" s="1"/>
  <c r="I10" i="13" s="1"/>
  <c r="J15" i="13" s="1"/>
  <c r="K10" i="13" s="1"/>
  <c r="L15" i="13" s="1"/>
  <c r="M10" i="13" s="1"/>
  <c r="K11" i="1"/>
  <c r="L10" i="1"/>
  <c r="L13" i="1"/>
  <c r="K13" i="1"/>
  <c r="K10" i="1"/>
  <c r="H2" i="1"/>
  <c r="J23" i="1" s="1"/>
  <c r="H23" i="1"/>
  <c r="H10" i="1"/>
  <c r="H31" i="1" s="1"/>
  <c r="H9" i="1"/>
  <c r="J31" i="1" s="1"/>
  <c r="H8" i="1"/>
  <c r="I29" i="1" s="1"/>
  <c r="H7" i="1"/>
  <c r="I28" i="1" s="1"/>
  <c r="H6" i="1"/>
  <c r="J28" i="1" s="1"/>
  <c r="H5" i="1"/>
  <c r="I26" i="1" s="1"/>
  <c r="H4" i="1"/>
  <c r="I25" i="1" s="1"/>
  <c r="H3" i="1"/>
  <c r="H24" i="1" s="1"/>
  <c r="D3" i="1"/>
  <c r="E3" i="1" s="1"/>
  <c r="D4" i="1"/>
  <c r="E4" i="1" s="1"/>
  <c r="D5" i="1"/>
  <c r="E5" i="1" s="1"/>
  <c r="D6" i="1"/>
  <c r="E6" i="1" s="1"/>
  <c r="D7" i="1"/>
  <c r="E26" i="1" s="1"/>
  <c r="D8" i="1"/>
  <c r="E27" i="1" s="1"/>
  <c r="D9" i="1"/>
  <c r="D28" i="1" s="1"/>
  <c r="D10" i="1"/>
  <c r="C29" i="1" s="1"/>
  <c r="D11" i="1"/>
  <c r="E11" i="1" s="1"/>
  <c r="D12" i="1"/>
  <c r="E12" i="1" s="1"/>
  <c r="D13" i="1"/>
  <c r="E13" i="1" s="1"/>
  <c r="D2" i="1"/>
  <c r="E2" i="1" s="1"/>
  <c r="G28" i="17" l="1"/>
  <c r="V15" i="17"/>
  <c r="X15" i="17"/>
  <c r="R15" i="17"/>
  <c r="T15" i="17"/>
  <c r="P15" i="17"/>
  <c r="T15" i="19"/>
  <c r="R15" i="19"/>
  <c r="F13" i="19"/>
  <c r="J15" i="19"/>
  <c r="F15" i="19"/>
  <c r="H15" i="19"/>
  <c r="F22" i="19"/>
  <c r="L15" i="19"/>
  <c r="N15" i="19"/>
  <c r="E14" i="19"/>
  <c r="D11" i="17"/>
  <c r="D14" i="17" s="1"/>
  <c r="E11" i="17"/>
  <c r="F12" i="17" s="1"/>
  <c r="N15" i="17"/>
  <c r="F15" i="17"/>
  <c r="H15" i="17"/>
  <c r="J15" i="17"/>
  <c r="H15" i="16"/>
  <c r="E11" i="16"/>
  <c r="F15" i="16"/>
  <c r="G10" i="16" s="1"/>
  <c r="N15" i="16"/>
  <c r="L15" i="16"/>
  <c r="I10" i="16"/>
  <c r="K10" i="16"/>
  <c r="O10" i="16"/>
  <c r="M10" i="16"/>
  <c r="E14" i="16"/>
  <c r="N15" i="13"/>
  <c r="O10" i="13" s="1"/>
  <c r="D11" i="13"/>
  <c r="D14" i="13" s="1"/>
  <c r="E11" i="13"/>
  <c r="L14" i="14"/>
  <c r="J14" i="14"/>
  <c r="G9" i="14"/>
  <c r="I9" i="14"/>
  <c r="K9" i="14"/>
  <c r="O9" i="14"/>
  <c r="M9" i="14"/>
  <c r="N14" i="14"/>
  <c r="F12" i="14"/>
  <c r="F14" i="14"/>
  <c r="H28" i="1"/>
  <c r="T10" i="1"/>
  <c r="O13" i="1"/>
  <c r="S10" i="1"/>
  <c r="K12" i="1"/>
  <c r="O12" i="1" s="1"/>
  <c r="T13" i="1"/>
  <c r="R13" i="1"/>
  <c r="P13" i="1"/>
  <c r="N13" i="1"/>
  <c r="U10" i="1"/>
  <c r="R11" i="1"/>
  <c r="N10" i="1"/>
  <c r="P10" i="1"/>
  <c r="R10" i="1"/>
  <c r="T11" i="1"/>
  <c r="P11" i="1"/>
  <c r="N11" i="1"/>
  <c r="O10" i="1"/>
  <c r="I23" i="1"/>
  <c r="Q10" i="1"/>
  <c r="M13" i="1"/>
  <c r="Q13" i="1"/>
  <c r="S13" i="1"/>
  <c r="U13" i="1"/>
  <c r="D26" i="1"/>
  <c r="J26" i="1"/>
  <c r="H29" i="1"/>
  <c r="E9" i="1"/>
  <c r="H27" i="1"/>
  <c r="C28" i="1"/>
  <c r="I24" i="1"/>
  <c r="H26" i="1"/>
  <c r="H25" i="1"/>
  <c r="I31" i="1"/>
  <c r="J30" i="1"/>
  <c r="C24" i="1"/>
  <c r="J29" i="1"/>
  <c r="I30" i="1"/>
  <c r="J25" i="1"/>
  <c r="D31" i="1"/>
  <c r="J24" i="1"/>
  <c r="I27" i="1"/>
  <c r="H30" i="1"/>
  <c r="J27" i="1"/>
  <c r="D24" i="1"/>
  <c r="C27" i="1"/>
  <c r="C32" i="1"/>
  <c r="C25" i="1"/>
  <c r="D32" i="1"/>
  <c r="D27" i="1"/>
  <c r="D25" i="1"/>
  <c r="E25" i="1"/>
  <c r="E24" i="1"/>
  <c r="C23" i="1"/>
  <c r="E8" i="1"/>
  <c r="C26" i="1"/>
  <c r="E7" i="1"/>
  <c r="E23" i="1"/>
  <c r="E32" i="1"/>
  <c r="D23" i="1"/>
  <c r="E31" i="1"/>
  <c r="E30" i="1"/>
  <c r="E10" i="1"/>
  <c r="E29" i="1"/>
  <c r="D30" i="1"/>
  <c r="C31" i="1"/>
  <c r="D29" i="1"/>
  <c r="E28" i="1"/>
  <c r="C30" i="1"/>
  <c r="W10" i="17" l="1"/>
  <c r="Y10" i="17"/>
  <c r="U10" i="17"/>
  <c r="Q10" i="17"/>
  <c r="S10" i="17"/>
  <c r="F19" i="17"/>
  <c r="F13" i="17"/>
  <c r="F28" i="17" s="1"/>
  <c r="K10" i="17"/>
  <c r="Q10" i="19"/>
  <c r="G13" i="19"/>
  <c r="U10" i="19"/>
  <c r="S10" i="19"/>
  <c r="O10" i="19"/>
  <c r="M10" i="19"/>
  <c r="G10" i="19"/>
  <c r="K10" i="19"/>
  <c r="I10" i="19"/>
  <c r="F22" i="17"/>
  <c r="G10" i="17"/>
  <c r="O10" i="17"/>
  <c r="M10" i="17"/>
  <c r="I10" i="17"/>
  <c r="F13" i="16"/>
  <c r="F22" i="16"/>
  <c r="F12" i="13"/>
  <c r="F22" i="13" s="1"/>
  <c r="F21" i="14"/>
  <c r="F13" i="14"/>
  <c r="G12" i="14" s="1"/>
  <c r="S12" i="1"/>
  <c r="S14" i="1" s="1"/>
  <c r="U12" i="1"/>
  <c r="M12" i="1"/>
  <c r="O14" i="1"/>
  <c r="Q12" i="1"/>
  <c r="Q14" i="1" s="1"/>
  <c r="T9" i="1"/>
  <c r="R9" i="1"/>
  <c r="P9" i="1"/>
  <c r="N9" i="1"/>
  <c r="F18" i="17" l="1"/>
  <c r="G13" i="17"/>
  <c r="G14" i="17" s="1"/>
  <c r="G29" i="17" s="1"/>
  <c r="G22" i="19"/>
  <c r="G14" i="19"/>
  <c r="G12" i="19"/>
  <c r="G13" i="16"/>
  <c r="G12" i="16" s="1"/>
  <c r="F13" i="13"/>
  <c r="G13" i="13" s="1"/>
  <c r="G12" i="13" s="1"/>
  <c r="G13" i="14"/>
  <c r="G11" i="14"/>
  <c r="G10" i="14"/>
  <c r="G21" i="14"/>
  <c r="M14" i="1"/>
  <c r="Q5" i="1"/>
  <c r="R5" i="1" s="1"/>
  <c r="G22" i="17" l="1"/>
  <c r="G12" i="17"/>
  <c r="F29" i="17" s="1"/>
  <c r="H12" i="19"/>
  <c r="G22" i="16"/>
  <c r="G14" i="16"/>
  <c r="H12" i="13"/>
  <c r="H11" i="13" s="1"/>
  <c r="H11" i="14"/>
  <c r="H13" i="14" s="1"/>
  <c r="G14" i="13"/>
  <c r="G22" i="13"/>
  <c r="H12" i="17" l="1"/>
  <c r="H13" i="17" s="1"/>
  <c r="F30" i="17" s="1"/>
  <c r="H13" i="19"/>
  <c r="I13" i="19" s="1"/>
  <c r="I12" i="19" s="1"/>
  <c r="H11" i="19"/>
  <c r="H22" i="19"/>
  <c r="H12" i="16"/>
  <c r="H22" i="13"/>
  <c r="H13" i="13"/>
  <c r="I13" i="13" s="1"/>
  <c r="I22" i="13" s="1"/>
  <c r="H10" i="14"/>
  <c r="H12" i="14"/>
  <c r="I12" i="14" s="1"/>
  <c r="I10" i="14" s="1"/>
  <c r="H21" i="14"/>
  <c r="I13" i="17" l="1"/>
  <c r="I12" i="17" s="1"/>
  <c r="F31" i="17" s="1"/>
  <c r="H11" i="17"/>
  <c r="G30" i="17" s="1"/>
  <c r="H22" i="17"/>
  <c r="H13" i="16"/>
  <c r="H11" i="16"/>
  <c r="H22" i="16"/>
  <c r="I14" i="13"/>
  <c r="I12" i="13"/>
  <c r="J12" i="13" s="1"/>
  <c r="J11" i="13" s="1"/>
  <c r="I21" i="14"/>
  <c r="I13" i="14"/>
  <c r="I11" i="14"/>
  <c r="J11" i="14" s="1"/>
  <c r="J10" i="14" s="1"/>
  <c r="J12" i="17" l="1"/>
  <c r="J22" i="17" s="1"/>
  <c r="I22" i="17"/>
  <c r="I14" i="17"/>
  <c r="G31" i="17" s="1"/>
  <c r="I14" i="19"/>
  <c r="I22" i="19"/>
  <c r="I13" i="16"/>
  <c r="J13" i="14"/>
  <c r="J12" i="14"/>
  <c r="J21" i="14"/>
  <c r="J22" i="13"/>
  <c r="J13" i="13"/>
  <c r="K13" i="13" s="1"/>
  <c r="J13" i="17" l="1"/>
  <c r="F32" i="17" s="1"/>
  <c r="J11" i="17"/>
  <c r="G32" i="17" s="1"/>
  <c r="J12" i="19"/>
  <c r="I12" i="16"/>
  <c r="I14" i="16"/>
  <c r="I22" i="16"/>
  <c r="K12" i="14"/>
  <c r="K10" i="14" s="1"/>
  <c r="J18" i="14"/>
  <c r="J19" i="13"/>
  <c r="J19" i="17" l="1"/>
  <c r="K13" i="17"/>
  <c r="K12" i="17" s="1"/>
  <c r="F33" i="17" s="1"/>
  <c r="J13" i="19"/>
  <c r="K13" i="19" s="1"/>
  <c r="J22" i="19"/>
  <c r="J11" i="19"/>
  <c r="J12" i="16"/>
  <c r="K11" i="14"/>
  <c r="L11" i="14" s="1"/>
  <c r="K13" i="14"/>
  <c r="K21" i="14"/>
  <c r="K22" i="13"/>
  <c r="K12" i="13"/>
  <c r="L12" i="13" s="1"/>
  <c r="K14" i="13"/>
  <c r="L12" i="17" l="1"/>
  <c r="L11" i="17" s="1"/>
  <c r="G34" i="17" s="1"/>
  <c r="K14" i="17"/>
  <c r="G33" i="17" s="1"/>
  <c r="K22" i="17"/>
  <c r="J19" i="19"/>
  <c r="K19" i="17"/>
  <c r="J13" i="16"/>
  <c r="J11" i="16"/>
  <c r="J22" i="16"/>
  <c r="L13" i="14"/>
  <c r="K18" i="14"/>
  <c r="K19" i="13"/>
  <c r="L13" i="17" l="1"/>
  <c r="F34" i="17" s="1"/>
  <c r="K12" i="19"/>
  <c r="K14" i="19"/>
  <c r="K22" i="19"/>
  <c r="L22" i="17"/>
  <c r="K13" i="16"/>
  <c r="J19" i="16"/>
  <c r="L12" i="14"/>
  <c r="M12" i="14" s="1"/>
  <c r="L21" i="14"/>
  <c r="L10" i="14"/>
  <c r="L22" i="13"/>
  <c r="L11" i="13"/>
  <c r="L13" i="13"/>
  <c r="M13" i="13" s="1"/>
  <c r="L12" i="19" l="1"/>
  <c r="K19" i="19"/>
  <c r="M13" i="17"/>
  <c r="L19" i="17"/>
  <c r="K14" i="16"/>
  <c r="K22" i="16"/>
  <c r="K12" i="16"/>
  <c r="M10" i="14"/>
  <c r="L18" i="14"/>
  <c r="L19" i="13"/>
  <c r="L22" i="19" l="1"/>
  <c r="L11" i="19"/>
  <c r="L13" i="19"/>
  <c r="M12" i="17"/>
  <c r="F35" i="17" s="1"/>
  <c r="M22" i="17"/>
  <c r="M14" i="17"/>
  <c r="G35" i="17" s="1"/>
  <c r="L12" i="16"/>
  <c r="K19" i="16"/>
  <c r="M11" i="14"/>
  <c r="M13" i="14"/>
  <c r="M21" i="14"/>
  <c r="M14" i="13"/>
  <c r="M22" i="13"/>
  <c r="M12" i="13"/>
  <c r="N12" i="13" s="1"/>
  <c r="M13" i="19" l="1"/>
  <c r="L19" i="19"/>
  <c r="N12" i="17"/>
  <c r="N13" i="17" s="1"/>
  <c r="F36" i="17" s="1"/>
  <c r="M19" i="17"/>
  <c r="L13" i="16"/>
  <c r="L22" i="16"/>
  <c r="L11" i="16"/>
  <c r="N11" i="14"/>
  <c r="N13" i="14" s="1"/>
  <c r="M18" i="14"/>
  <c r="M19" i="13"/>
  <c r="M14" i="19" l="1"/>
  <c r="M22" i="19"/>
  <c r="M12" i="19"/>
  <c r="N22" i="17"/>
  <c r="N11" i="17"/>
  <c r="G36" i="17" s="1"/>
  <c r="M13" i="16"/>
  <c r="L19" i="16"/>
  <c r="N21" i="14"/>
  <c r="N10" i="14"/>
  <c r="N12" i="14"/>
  <c r="O12" i="14" s="1"/>
  <c r="N22" i="13"/>
  <c r="N13" i="13"/>
  <c r="O13" i="13" s="1"/>
  <c r="N11" i="13"/>
  <c r="N12" i="19" l="1"/>
  <c r="M19" i="19"/>
  <c r="O13" i="17"/>
  <c r="O12" i="17" s="1"/>
  <c r="F37" i="17" s="1"/>
  <c r="N19" i="17"/>
  <c r="M14" i="16"/>
  <c r="M12" i="16"/>
  <c r="M22" i="16"/>
  <c r="O10" i="14"/>
  <c r="N18" i="14"/>
  <c r="N19" i="13"/>
  <c r="P12" i="17" l="1"/>
  <c r="P22" i="17" s="1"/>
  <c r="N22" i="19"/>
  <c r="N11" i="19"/>
  <c r="N13" i="19"/>
  <c r="O14" i="17"/>
  <c r="G37" i="17" s="1"/>
  <c r="O22" i="17"/>
  <c r="N12" i="16"/>
  <c r="M19" i="16"/>
  <c r="O21" i="14"/>
  <c r="O13" i="14"/>
  <c r="O11" i="14"/>
  <c r="O22" i="13"/>
  <c r="O12" i="13"/>
  <c r="P12" i="13" s="1"/>
  <c r="O14" i="13"/>
  <c r="O13" i="19" l="1"/>
  <c r="N19" i="19"/>
  <c r="P13" i="17"/>
  <c r="F38" i="17" s="1"/>
  <c r="O19" i="17"/>
  <c r="N22" i="16"/>
  <c r="N11" i="16"/>
  <c r="N13" i="16"/>
  <c r="P11" i="14"/>
  <c r="P13" i="14" s="1"/>
  <c r="O18" i="14"/>
  <c r="O19" i="13"/>
  <c r="Q13" i="17" l="1"/>
  <c r="P19" i="17"/>
  <c r="O14" i="19"/>
  <c r="O22" i="19"/>
  <c r="O12" i="19"/>
  <c r="P12" i="19" s="1"/>
  <c r="P11" i="17"/>
  <c r="G38" i="17" s="1"/>
  <c r="O13" i="16"/>
  <c r="N19" i="16"/>
  <c r="P21" i="14"/>
  <c r="F23" i="14" s="1"/>
  <c r="P12" i="14"/>
  <c r="P18" i="14" s="1"/>
  <c r="P10" i="14"/>
  <c r="P22" i="13"/>
  <c r="F24" i="13" s="1"/>
  <c r="P11" i="13"/>
  <c r="P13" i="13"/>
  <c r="P19" i="13" s="1"/>
  <c r="Q14" i="17" l="1"/>
  <c r="G39" i="17" s="1"/>
  <c r="Q22" i="17"/>
  <c r="Q12" i="17"/>
  <c r="F39" i="17" s="1"/>
  <c r="O19" i="19"/>
  <c r="O22" i="16"/>
  <c r="O14" i="16"/>
  <c r="O12" i="16"/>
  <c r="R12" i="17" l="1"/>
  <c r="Q19" i="17"/>
  <c r="P22" i="19"/>
  <c r="F24" i="19" s="1"/>
  <c r="P13" i="19"/>
  <c r="Q13" i="19" s="1"/>
  <c r="P11" i="19"/>
  <c r="P12" i="16"/>
  <c r="O19" i="16"/>
  <c r="R11" i="17" l="1"/>
  <c r="G40" i="17" s="1"/>
  <c r="R22" i="17"/>
  <c r="R13" i="17"/>
  <c r="P19" i="19"/>
  <c r="P22" i="16"/>
  <c r="F24" i="16" s="1"/>
  <c r="P13" i="16"/>
  <c r="P19" i="16" s="1"/>
  <c r="P11" i="16"/>
  <c r="S13" i="17" l="1"/>
  <c r="S22" i="17" s="1"/>
  <c r="F40" i="17"/>
  <c r="R19" i="17"/>
  <c r="Q12" i="19"/>
  <c r="R12" i="19" s="1"/>
  <c r="Q14" i="19"/>
  <c r="S14" i="17" l="1"/>
  <c r="G41" i="17" s="1"/>
  <c r="S12" i="17"/>
  <c r="S19" i="17" s="1"/>
  <c r="R11" i="19"/>
  <c r="Q19" i="19"/>
  <c r="T12" i="17" l="1"/>
  <c r="F41" i="17"/>
  <c r="R13" i="19"/>
  <c r="S13" i="19" s="1"/>
  <c r="T22" i="17" l="1"/>
  <c r="T11" i="17"/>
  <c r="G42" i="17" s="1"/>
  <c r="T13" i="17"/>
  <c r="R19" i="19"/>
  <c r="F42" i="17" l="1"/>
  <c r="U13" i="17"/>
  <c r="T19" i="17"/>
  <c r="S14" i="19"/>
  <c r="S12" i="19"/>
  <c r="T12" i="19" s="1"/>
  <c r="U22" i="17" l="1"/>
  <c r="U12" i="17"/>
  <c r="U14" i="17"/>
  <c r="G43" i="17" s="1"/>
  <c r="S19" i="19"/>
  <c r="F43" i="17" l="1"/>
  <c r="V12" i="17"/>
  <c r="U19" i="17"/>
  <c r="T13" i="19"/>
  <c r="T11" i="19"/>
  <c r="V11" i="17" l="1"/>
  <c r="G44" i="17" s="1"/>
  <c r="V13" i="17"/>
  <c r="V22" i="17"/>
  <c r="U13" i="19"/>
  <c r="T19" i="19"/>
  <c r="F44" i="17" l="1"/>
  <c r="V19" i="17"/>
  <c r="W13" i="17"/>
  <c r="U12" i="19"/>
  <c r="U19" i="19" s="1"/>
  <c r="U14" i="19"/>
  <c r="W12" i="17" l="1"/>
  <c r="W22" i="17"/>
  <c r="W14" i="17"/>
  <c r="G45" i="17" s="1"/>
  <c r="F45" i="17" l="1"/>
  <c r="X12" i="17"/>
  <c r="W19" i="17"/>
  <c r="X11" i="17" l="1"/>
  <c r="G46" i="17" s="1"/>
  <c r="X13" i="17"/>
  <c r="X22" i="17"/>
  <c r="F46" i="17" l="1"/>
  <c r="Y13" i="17"/>
  <c r="X19" i="17"/>
  <c r="Y22" i="17" l="1"/>
  <c r="Y12" i="17"/>
  <c r="Y14" i="17"/>
  <c r="G47" i="17" s="1" a="1"/>
  <c r="G47" i="17" s="1"/>
  <c r="F47" i="17" l="1"/>
  <c r="Z12" i="17"/>
  <c r="Y19" i="17"/>
  <c r="Z22" i="17" l="1"/>
  <c r="Z13" i="17"/>
  <c r="Z11" i="17"/>
  <c r="G48" i="17" s="1"/>
  <c r="Z19" i="17" l="1"/>
  <c r="F48" i="17"/>
  <c r="F24" i="17"/>
  <c r="E28" i="17" a="1"/>
  <c r="E28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<sst xmlns="http://schemas.openxmlformats.org/spreadsheetml/2006/main" count="133" uniqueCount="53">
  <si>
    <t>BTCUSDm</t>
  </si>
  <si>
    <t>Lot Size</t>
  </si>
  <si>
    <t>Value per Point</t>
  </si>
  <si>
    <t>TP Points</t>
  </si>
  <si>
    <t>Hedge Distance</t>
  </si>
  <si>
    <t>Equity Close</t>
  </si>
  <si>
    <t>Points per pips</t>
  </si>
  <si>
    <t>Lots Size</t>
  </si>
  <si>
    <t>Value per Pips</t>
  </si>
  <si>
    <t>multiplier</t>
  </si>
  <si>
    <t>Equity close</t>
  </si>
  <si>
    <t xml:space="preserve">Hedge Lots size Calculations </t>
  </si>
  <si>
    <t>JUSTICE</t>
  </si>
  <si>
    <t>Profit</t>
  </si>
  <si>
    <r>
      <t>4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</si>
  <si>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5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</si>
  <si>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6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</si>
  <si>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7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</si>
  <si>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8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</si>
  <si>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9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</si>
  <si>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10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</si>
  <si>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t>Amount to Invest</t>
  </si>
  <si>
    <t>KAY</t>
  </si>
  <si>
    <t>Slippage</t>
  </si>
  <si>
    <t>Adjusted  Slippage for Profit target (Incremental)</t>
  </si>
  <si>
    <t>No Adjustments</t>
  </si>
  <si>
    <t>These are estimated not exact, Hence some will give more profit and some less</t>
  </si>
  <si>
    <r>
      <t>11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</si>
  <si>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12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</si>
  <si>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13th</t>
    </r>
    <r>
      <rPr>
        <sz val="11"/>
        <color theme="1"/>
        <rFont val="Aptos Narrow"/>
        <family val="2"/>
        <scheme val="minor"/>
      </rPr>
      <t xml:space="preserve"> Hedge</t>
    </r>
  </si>
  <si>
    <r>
      <t>14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</si>
  <si>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15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</si>
  <si>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12th</t>
    </r>
    <r>
      <rPr>
        <sz val="11"/>
        <color theme="1"/>
        <rFont val="Aptos Narrow"/>
        <family val="2"/>
        <scheme val="minor"/>
      </rPr>
      <t xml:space="preserve"> Hedge</t>
    </r>
  </si>
  <si>
    <t>Adjusted Using Pip Slippage on Losses</t>
  </si>
  <si>
    <t>Adjusted Using Target Increment on Profit</t>
  </si>
  <si>
    <r>
      <t>13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</si>
  <si>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14th</t>
    </r>
    <r>
      <rPr>
        <sz val="11"/>
        <color theme="1"/>
        <rFont val="Aptos Narrow"/>
        <family val="2"/>
        <scheme val="minor"/>
      </rPr>
      <t xml:space="preserve"> Hedge</t>
    </r>
  </si>
  <si>
    <t>Tp distance</t>
  </si>
  <si>
    <t>slippage</t>
  </si>
  <si>
    <t>hedge dist</t>
  </si>
  <si>
    <t>Hedge number</t>
  </si>
  <si>
    <t>Amount</t>
  </si>
  <si>
    <t>Targert</t>
  </si>
  <si>
    <t>Days to stopout</t>
  </si>
  <si>
    <r>
      <t>16th</t>
    </r>
    <r>
      <rPr>
        <sz val="11"/>
        <color theme="1"/>
        <rFont val="Aptos Narrow"/>
        <family val="2"/>
        <scheme val="minor"/>
      </rPr>
      <t xml:space="preserve"> Hedge</t>
    </r>
  </si>
  <si>
    <r>
      <t>17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</si>
  <si>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18th</t>
    </r>
    <r>
      <rPr>
        <sz val="11"/>
        <color theme="1"/>
        <rFont val="Aptos Narrow"/>
        <family val="2"/>
        <scheme val="minor"/>
      </rPr>
      <t xml:space="preserve"> Hedge</t>
    </r>
  </si>
  <si>
    <r>
      <t>19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</si>
  <si>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20th</t>
    </r>
    <r>
      <rPr>
        <sz val="11"/>
        <color theme="1"/>
        <rFont val="Aptos Narrow"/>
        <family val="2"/>
        <scheme val="minor"/>
      </rPr>
      <t xml:space="preserve"> Hedge</t>
    </r>
  </si>
  <si>
    <t>#</t>
  </si>
  <si>
    <t>Lots size</t>
  </si>
  <si>
    <t>Exp Losses</t>
  </si>
  <si>
    <t>Exp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</si>
</sst>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_);[Red]\(&quot;$&quot;#,##0.000\)"/>
    <numFmt numFmtId="165" formatCode="_(* #,##0_);_(* \(#,##0\);_(* &quot;-&quot;??_);_(@_)"/>
    <numFmt numFmtId="166" formatCode="&quot;$&quot;#,##0.0_);[Red]\(&quot;$&quot;#,##0.0\)"/>
    <numFmt numFmtId="167" formatCode="_(* #,##0.0_);_(* \(#,##0.0\);_(* &quot;-&quot;??_);_(@_)"/>
    <numFmt numFmtId="168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2" xfId="0" applyBorder="1" applyAlignment="1">
      <alignment vertical="center" wrapText="1"/>
    </xf>
    <xf numFmtId="8" fontId="0" fillId="0" borderId="3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0" xfId="0" applyNumberFormat="1" applyFont="1"/>
    <xf numFmtId="3" fontId="0" fillId="0" borderId="0" xfId="0" applyNumberFormat="1"/>
    <xf numFmtId="164" fontId="0" fillId="0" borderId="3" xfId="0" applyNumberFormat="1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164" fontId="0" fillId="0" borderId="5" xfId="0" applyNumberFormat="1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8" xfId="0" applyBorder="1"/>
    <xf numFmtId="166" fontId="0" fillId="0" borderId="9" xfId="0" applyNumberFormat="1" applyBorder="1" applyAlignment="1">
      <alignment vertical="center" wrapText="1"/>
    </xf>
    <xf numFmtId="0" fontId="0" fillId="0" borderId="9" xfId="0" applyBorder="1"/>
    <xf numFmtId="0" fontId="0" fillId="0" borderId="1" xfId="0" applyBorder="1"/>
    <xf numFmtId="165" fontId="0" fillId="0" borderId="1" xfId="1" applyNumberFormat="1" applyFont="1" applyBorder="1"/>
    <xf numFmtId="3" fontId="0" fillId="0" borderId="1" xfId="0" applyNumberFormat="1" applyBorder="1"/>
    <xf numFmtId="0" fontId="0" fillId="0" borderId="7" xfId="0" applyBorder="1"/>
    <xf numFmtId="167" fontId="0" fillId="0" borderId="8" xfId="0" applyNumberFormat="1" applyBorder="1"/>
    <xf numFmtId="167" fontId="0" fillId="0" borderId="9" xfId="0" applyNumberFormat="1" applyBorder="1"/>
    <xf numFmtId="167" fontId="0" fillId="0" borderId="0" xfId="0" applyNumberFormat="1"/>
    <xf numFmtId="167" fontId="0" fillId="0" borderId="3" xfId="0" applyNumberFormat="1" applyBorder="1"/>
    <xf numFmtId="167" fontId="0" fillId="0" borderId="6" xfId="0" applyNumberFormat="1" applyBorder="1"/>
    <xf numFmtId="167" fontId="0" fillId="0" borderId="5" xfId="0" applyNumberFormat="1" applyBorder="1"/>
    <xf numFmtId="0" fontId="0" fillId="0" borderId="3" xfId="0" applyBorder="1"/>
    <xf numFmtId="0" fontId="0" fillId="0" borderId="5" xfId="0" applyBorder="1"/>
    <xf numFmtId="0" fontId="0" fillId="2" borderId="7" xfId="0" applyFill="1" applyBorder="1" applyAlignment="1">
      <alignment vertical="center" wrapText="1"/>
    </xf>
    <xf numFmtId="0" fontId="0" fillId="2" borderId="2" xfId="0" applyFill="1" applyBorder="1"/>
    <xf numFmtId="0" fontId="0" fillId="2" borderId="4" xfId="0" applyFill="1" applyBorder="1"/>
    <xf numFmtId="0" fontId="0" fillId="3" borderId="0" xfId="0" applyFill="1"/>
    <xf numFmtId="43" fontId="0" fillId="0" borderId="0" xfId="1" applyFont="1"/>
    <xf numFmtId="165" fontId="0" fillId="4" borderId="0" xfId="1" applyNumberFormat="1" applyFont="1" applyFill="1"/>
    <xf numFmtId="2" fontId="0" fillId="5" borderId="0" xfId="2" applyNumberFormat="1" applyFont="1" applyFill="1"/>
    <xf numFmtId="3" fontId="0" fillId="6" borderId="0" xfId="0" applyNumberFormat="1" applyFill="1"/>
    <xf numFmtId="0" fontId="0" fillId="5" borderId="0" xfId="0" applyFill="1"/>
    <xf numFmtId="1" fontId="0" fillId="4" borderId="0" xfId="1" applyNumberFormat="1" applyFont="1" applyFill="1"/>
    <xf numFmtId="1" fontId="0" fillId="6" borderId="0" xfId="0" applyNumberFormat="1" applyFill="1"/>
    <xf numFmtId="1" fontId="0" fillId="5" borderId="0" xfId="2" applyNumberFormat="1" applyFont="1" applyFill="1"/>
    <xf numFmtId="2" fontId="0" fillId="0" borderId="0" xfId="0" applyNumberFormat="1" applyAlignment="1">
      <alignment horizontal="center"/>
    </xf>
    <xf numFmtId="0" fontId="4" fillId="8" borderId="0" xfId="0" applyFont="1" applyFill="1"/>
    <xf numFmtId="2" fontId="4" fillId="8" borderId="0" xfId="0" applyNumberFormat="1" applyFont="1" applyFill="1"/>
    <xf numFmtId="2" fontId="0" fillId="0" borderId="0" xfId="0" applyNumberFormat="1"/>
    <xf numFmtId="0" fontId="0" fillId="0" borderId="12" xfId="0" applyBorder="1"/>
    <xf numFmtId="43" fontId="4" fillId="8" borderId="0" xfId="0" applyNumberFormat="1" applyFont="1" applyFill="1"/>
    <xf numFmtId="43" fontId="0" fillId="0" borderId="0" xfId="1" applyFont="1" applyBorder="1" applyAlignment="1">
      <alignment vertical="center"/>
    </xf>
    <xf numFmtId="43" fontId="0" fillId="9" borderId="4" xfId="1" applyFont="1" applyFill="1" applyBorder="1"/>
    <xf numFmtId="43" fontId="0" fillId="9" borderId="6" xfId="1" applyFont="1" applyFill="1" applyBorder="1"/>
    <xf numFmtId="43" fontId="0" fillId="9" borderId="5" xfId="1" applyFont="1" applyFill="1" applyBorder="1"/>
    <xf numFmtId="0" fontId="0" fillId="10" borderId="1" xfId="0" applyFill="1" applyBorder="1"/>
    <xf numFmtId="0" fontId="2" fillId="10" borderId="1" xfId="0" applyFont="1" applyFill="1" applyBorder="1"/>
    <xf numFmtId="1" fontId="0" fillId="3" borderId="0" xfId="0" applyNumberFormat="1" applyFill="1" applyAlignment="1">
      <alignment horizontal="center"/>
    </xf>
    <xf numFmtId="2" fontId="0" fillId="9" borderId="0" xfId="0" applyNumberFormat="1" applyFill="1"/>
    <xf numFmtId="0" fontId="0" fillId="0" borderId="16" xfId="0" applyBorder="1"/>
    <xf numFmtId="0" fontId="0" fillId="0" borderId="17" xfId="0" applyBorder="1"/>
    <xf numFmtId="0" fontId="0" fillId="0" borderId="10" xfId="0" applyBorder="1"/>
    <xf numFmtId="43" fontId="0" fillId="0" borderId="0" xfId="0" applyNumberFormat="1"/>
    <xf numFmtId="0" fontId="0" fillId="0" borderId="11" xfId="0" applyBorder="1"/>
    <xf numFmtId="0" fontId="0" fillId="0" borderId="0" xfId="1" applyNumberFormat="1" applyFont="1" applyBorder="1" applyAlignment="1">
      <alignment vertical="center"/>
    </xf>
    <xf numFmtId="168" fontId="0" fillId="0" borderId="0" xfId="0" applyNumberFormat="1"/>
    <xf numFmtId="43" fontId="0" fillId="9" borderId="1" xfId="1" applyFont="1" applyFill="1" applyBorder="1"/>
    <xf numFmtId="44" fontId="0" fillId="0" borderId="0" xfId="2" applyFont="1"/>
    <xf numFmtId="1" fontId="0" fillId="0" borderId="0" xfId="0" applyNumberFormat="1"/>
    <xf numFmtId="0" fontId="4" fillId="11" borderId="0" xfId="0" applyFont="1" applyFill="1" applyAlignment="1">
      <alignment horizontal="right"/>
    </xf>
    <xf numFmtId="1" fontId="0" fillId="7" borderId="10" xfId="0" applyNumberFormat="1" applyFill="1" applyBorder="1" applyAlignment="1">
      <alignment horizontal="center"/>
    </xf>
    <xf numFmtId="1" fontId="0" fillId="7" borderId="1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" fontId="0" fillId="3" borderId="10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651-86E7-40D0-806E-A5984798AFA1}">
  <dimension ref="A1:U32"/>
  <sheetViews>
    <sheetView workbookViewId="0">
      <selection activeCell="F18" sqref="F18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4" width="14.7109375" bestFit="1" customWidth="1"/>
    <col min="5" max="5" width="16.42578125" customWidth="1"/>
    <col min="8" max="8" width="17.28515625" customWidth="1"/>
    <col min="9" max="10" width="14.7109375" bestFit="1" customWidth="1"/>
    <col min="11" max="11" width="11.5703125" bestFit="1" customWidth="1"/>
    <col min="12" max="13" width="9.28515625" bestFit="1" customWidth="1"/>
    <col min="14" max="14" width="9.7109375" bestFit="1" customWidth="1"/>
    <col min="15" max="15" width="11.28515625" bestFit="1" customWidth="1"/>
    <col min="16" max="16" width="12.28515625" bestFit="1" customWidth="1"/>
    <col min="18" max="18" width="11.28515625" bestFit="1" customWidth="1"/>
  </cols>
  <sheetData>
    <row r="1" spans="1:21" ht="30" x14ac:dyDescent="0.25">
      <c r="B1" t="s">
        <v>0</v>
      </c>
      <c r="C1" s="3" t="s">
        <v>1</v>
      </c>
      <c r="D1" s="3" t="s">
        <v>2</v>
      </c>
      <c r="E1" s="3" t="s">
        <v>8</v>
      </c>
      <c r="G1" s="3" t="s">
        <v>1</v>
      </c>
      <c r="H1" s="3" t="s">
        <v>2</v>
      </c>
    </row>
    <row r="2" spans="1:21" x14ac:dyDescent="0.25">
      <c r="A2" t="s">
        <v>6</v>
      </c>
      <c r="B2">
        <v>10</v>
      </c>
      <c r="C2" s="11">
        <v>1</v>
      </c>
      <c r="D2" s="12">
        <f>$B$3*C2</f>
        <v>0.12</v>
      </c>
      <c r="E2" s="13">
        <f>D2*$B$2</f>
        <v>1.2</v>
      </c>
      <c r="G2" s="27">
        <v>0.01</v>
      </c>
      <c r="H2" s="14">
        <f>$B$3*G2</f>
        <v>1.1999999999999999E-3</v>
      </c>
    </row>
    <row r="3" spans="1:21" x14ac:dyDescent="0.25">
      <c r="A3" t="s">
        <v>9</v>
      </c>
      <c r="B3">
        <v>0.12</v>
      </c>
      <c r="C3" s="1">
        <v>0.1</v>
      </c>
      <c r="D3">
        <f t="shared" ref="D3:D13" si="0">$B$3*C3</f>
        <v>1.2E-2</v>
      </c>
      <c r="E3" s="2">
        <f t="shared" ref="E3:E13" si="1">D3*$B$2</f>
        <v>0.12</v>
      </c>
      <c r="G3" s="1">
        <v>0.03</v>
      </c>
      <c r="H3" s="25">
        <f t="shared" ref="H3:H4" si="2">$B$3*G3</f>
        <v>3.5999999999999999E-3</v>
      </c>
    </row>
    <row r="4" spans="1:21" ht="15.75" thickBot="1" x14ac:dyDescent="0.3">
      <c r="C4" s="1">
        <v>0.01</v>
      </c>
      <c r="D4">
        <f t="shared" si="0"/>
        <v>1.1999999999999999E-3</v>
      </c>
      <c r="E4" s="6">
        <f t="shared" si="1"/>
        <v>1.1999999999999999E-2</v>
      </c>
      <c r="G4" s="28">
        <v>7.0000000000000007E-2</v>
      </c>
      <c r="H4" s="25">
        <f t="shared" si="2"/>
        <v>8.4000000000000012E-3</v>
      </c>
      <c r="J4" s="5"/>
    </row>
    <row r="5" spans="1:21" ht="15.75" thickBot="1" x14ac:dyDescent="0.3">
      <c r="C5" s="7">
        <v>7.0000000000000007E-2</v>
      </c>
      <c r="D5">
        <f t="shared" si="0"/>
        <v>8.4000000000000012E-3</v>
      </c>
      <c r="E5" s="6">
        <f t="shared" si="1"/>
        <v>8.4000000000000019E-2</v>
      </c>
      <c r="G5" s="7">
        <v>0.16</v>
      </c>
      <c r="H5" s="25">
        <f t="shared" ref="H5:H10" si="3">$B$3*G5</f>
        <v>1.9199999999999998E-2</v>
      </c>
      <c r="J5" s="15" t="s">
        <v>4</v>
      </c>
      <c r="K5" s="14">
        <v>12000</v>
      </c>
      <c r="M5" s="43">
        <v>-1</v>
      </c>
      <c r="Q5" s="42">
        <f>SUM(M12:M13,N10:N11,O12:O13,P10:P11,Q12:Q13,R10:R11,S12:S13,T10:T11,U12:U13)</f>
        <v>-23673.599999999999</v>
      </c>
      <c r="R5" s="31">
        <f>Q5/2</f>
        <v>-11836.8</v>
      </c>
    </row>
    <row r="6" spans="1:21" x14ac:dyDescent="0.25">
      <c r="C6" s="7">
        <v>0.19</v>
      </c>
      <c r="D6">
        <f t="shared" si="0"/>
        <v>2.2800000000000001E-2</v>
      </c>
      <c r="E6" s="6">
        <f t="shared" si="1"/>
        <v>0.22800000000000001</v>
      </c>
      <c r="G6" s="28">
        <v>0.36</v>
      </c>
      <c r="H6" s="25">
        <f t="shared" si="3"/>
        <v>4.3199999999999995E-2</v>
      </c>
      <c r="J6" s="15" t="s">
        <v>10</v>
      </c>
      <c r="K6" s="26">
        <v>24000</v>
      </c>
    </row>
    <row r="7" spans="1:21" x14ac:dyDescent="0.25">
      <c r="C7" s="7">
        <v>0.43</v>
      </c>
      <c r="D7">
        <f t="shared" si="0"/>
        <v>5.16E-2</v>
      </c>
      <c r="E7" s="6">
        <f t="shared" si="1"/>
        <v>0.51600000000000001</v>
      </c>
      <c r="G7" s="7">
        <v>0.82</v>
      </c>
      <c r="H7" s="25">
        <f t="shared" si="3"/>
        <v>9.8399999999999987E-2</v>
      </c>
    </row>
    <row r="8" spans="1:21" x14ac:dyDescent="0.25">
      <c r="C8" s="7">
        <v>0.91</v>
      </c>
      <c r="D8">
        <f t="shared" si="0"/>
        <v>0.10920000000000001</v>
      </c>
      <c r="E8" s="6">
        <f t="shared" si="1"/>
        <v>1.0920000000000001</v>
      </c>
      <c r="G8" s="28">
        <v>4.22</v>
      </c>
      <c r="H8" s="25">
        <f t="shared" si="3"/>
        <v>0.50639999999999996</v>
      </c>
      <c r="N8">
        <v>1</v>
      </c>
      <c r="O8">
        <v>2</v>
      </c>
      <c r="P8">
        <v>3</v>
      </c>
      <c r="Q8">
        <v>4</v>
      </c>
      <c r="R8">
        <v>5</v>
      </c>
      <c r="S8">
        <v>6</v>
      </c>
      <c r="T8">
        <v>7</v>
      </c>
      <c r="U8">
        <v>8</v>
      </c>
    </row>
    <row r="9" spans="1:21" ht="15.75" thickBot="1" x14ac:dyDescent="0.3">
      <c r="C9" s="7">
        <v>1.87</v>
      </c>
      <c r="D9">
        <f t="shared" si="0"/>
        <v>0.22440000000000002</v>
      </c>
      <c r="E9" s="6">
        <f t="shared" si="1"/>
        <v>2.2440000000000002</v>
      </c>
      <c r="G9" s="7">
        <v>9.58</v>
      </c>
      <c r="H9" s="25">
        <f t="shared" si="3"/>
        <v>1.1496</v>
      </c>
      <c r="N9" s="64">
        <f>SUM(N10:N11,O10)</f>
        <v>100.80000000000001</v>
      </c>
      <c r="O9" s="65"/>
      <c r="P9" s="64">
        <f>SUM(P10:P11,Q10)</f>
        <v>115.20000000000005</v>
      </c>
      <c r="Q9" s="65"/>
      <c r="R9" s="64">
        <f>SUM(R10:R11,S10)</f>
        <v>100.79999999999927</v>
      </c>
      <c r="S9" s="65"/>
      <c r="T9" s="64">
        <f>SUM(T10:T11,U10)</f>
        <v>100.79999999999927</v>
      </c>
      <c r="U9" s="65"/>
    </row>
    <row r="10" spans="1:21" x14ac:dyDescent="0.25">
      <c r="C10" s="7">
        <v>3.79</v>
      </c>
      <c r="D10">
        <f t="shared" si="0"/>
        <v>0.45479999999999998</v>
      </c>
      <c r="E10" s="6">
        <f t="shared" si="1"/>
        <v>4.548</v>
      </c>
      <c r="G10" s="29">
        <v>21.75</v>
      </c>
      <c r="H10" s="26">
        <f t="shared" si="3"/>
        <v>2.61</v>
      </c>
      <c r="J10" s="67" t="s">
        <v>11</v>
      </c>
      <c r="K10" s="37">
        <f>K6*M5</f>
        <v>-24000</v>
      </c>
      <c r="L10" s="32">
        <f>K6</f>
        <v>24000</v>
      </c>
      <c r="N10" s="30">
        <f>N12*$K$10*$B$3</f>
        <v>-144</v>
      </c>
      <c r="O10" s="38">
        <f>O11*$L$10*$B$3</f>
        <v>316.8</v>
      </c>
      <c r="P10" s="30">
        <f>P12*$K$10*$B$3</f>
        <v>-576</v>
      </c>
      <c r="Q10" s="38">
        <f>Q11*$L$10*$B$3</f>
        <v>979.2</v>
      </c>
      <c r="R10" s="30">
        <f>R12*$K$10*$B$3</f>
        <v>-1584.0000000000002</v>
      </c>
      <c r="S10" s="38">
        <f>S11*$L$10*$B$3</f>
        <v>2476.7999999999997</v>
      </c>
      <c r="T10" s="30">
        <f>T12*$K$10*$B$3</f>
        <v>-3830.3999999999996</v>
      </c>
      <c r="U10" s="38">
        <f>U11*$L$10*$B$3</f>
        <v>5846.3999999999987</v>
      </c>
    </row>
    <row r="11" spans="1:21" x14ac:dyDescent="0.25">
      <c r="C11" s="7">
        <v>7.63</v>
      </c>
      <c r="D11">
        <f t="shared" si="0"/>
        <v>0.91559999999999997</v>
      </c>
      <c r="E11" s="6">
        <f t="shared" si="1"/>
        <v>9.1559999999999988</v>
      </c>
      <c r="G11" s="12"/>
      <c r="H11" s="12"/>
      <c r="J11" s="68"/>
      <c r="K11" s="37">
        <f>K5*M5</f>
        <v>-12000</v>
      </c>
      <c r="M11" s="40">
        <v>0.01</v>
      </c>
      <c r="N11" s="30">
        <f>N12*$K$11*$B$3</f>
        <v>-72</v>
      </c>
      <c r="O11" s="40">
        <v>0.11</v>
      </c>
      <c r="P11" s="30">
        <f>P12*$K$11*$B$3</f>
        <v>-288</v>
      </c>
      <c r="Q11" s="40">
        <v>0.34</v>
      </c>
      <c r="R11" s="30">
        <f>R12*$K$11*$B$3</f>
        <v>-792.00000000000011</v>
      </c>
      <c r="S11" s="40">
        <v>0.86</v>
      </c>
      <c r="T11" s="30">
        <f>T12*$K$11*$B$3</f>
        <v>-1915.1999999999998</v>
      </c>
      <c r="U11" s="40">
        <v>2.0299999999999998</v>
      </c>
    </row>
    <row r="12" spans="1:21" x14ac:dyDescent="0.25">
      <c r="C12" s="7">
        <v>15.31</v>
      </c>
      <c r="D12">
        <f t="shared" si="0"/>
        <v>1.8371999999999999</v>
      </c>
      <c r="E12" s="6">
        <f t="shared" si="1"/>
        <v>18.372</v>
      </c>
      <c r="J12" s="68"/>
      <c r="K12" s="36">
        <f>K5*M5</f>
        <v>-12000</v>
      </c>
      <c r="M12" s="33">
        <f>M11*$K$12*$B$3</f>
        <v>-14.399999999999999</v>
      </c>
      <c r="N12" s="40">
        <v>0.05</v>
      </c>
      <c r="O12" s="33">
        <f>O11*$K$12*$B$3</f>
        <v>-158.4</v>
      </c>
      <c r="P12" s="40">
        <v>0.2</v>
      </c>
      <c r="Q12" s="33">
        <f>Q11*$K$12*$B$3</f>
        <v>-489.6</v>
      </c>
      <c r="R12" s="40">
        <v>0.55000000000000004</v>
      </c>
      <c r="S12" s="38">
        <f>S11*$K$12*$B$3</f>
        <v>-1238.3999999999999</v>
      </c>
      <c r="T12" s="41">
        <v>1.33</v>
      </c>
      <c r="U12" s="38">
        <f>U11*$K$12*$B$3</f>
        <v>-2923.1999999999994</v>
      </c>
    </row>
    <row r="13" spans="1:21" ht="15.75" thickBot="1" x14ac:dyDescent="0.3">
      <c r="C13" s="8">
        <v>30.67</v>
      </c>
      <c r="D13" s="10">
        <f t="shared" si="0"/>
        <v>3.6804000000000001</v>
      </c>
      <c r="E13" s="9">
        <f t="shared" si="1"/>
        <v>36.804000000000002</v>
      </c>
      <c r="J13" s="69"/>
      <c r="K13" s="36">
        <f>K6*M5</f>
        <v>-24000</v>
      </c>
      <c r="L13" s="34">
        <f>K6</f>
        <v>24000</v>
      </c>
      <c r="M13" s="33">
        <f>M11*$K$13*$B$3</f>
        <v>-28.799999999999997</v>
      </c>
      <c r="N13" s="30">
        <f>N12*$L$13*$B$3</f>
        <v>144</v>
      </c>
      <c r="O13" s="35">
        <f>O11*$K$13*$B$3</f>
        <v>-316.8</v>
      </c>
      <c r="P13" s="30">
        <f>P12*$L$13*$B$3</f>
        <v>576</v>
      </c>
      <c r="Q13" s="35">
        <f>Q11*$K$13*$B$3</f>
        <v>-979.2</v>
      </c>
      <c r="R13" s="30">
        <f>R12*$L$13*$B$3</f>
        <v>1584.0000000000002</v>
      </c>
      <c r="S13" s="35">
        <f>S11*$K$13*$B$3</f>
        <v>-2476.7999999999997</v>
      </c>
      <c r="T13" s="30">
        <f>T12*$L$13*$B$3</f>
        <v>3830.3999999999996</v>
      </c>
      <c r="U13" s="35">
        <f>U11*$K$13*$B$3</f>
        <v>-5846.3999999999987</v>
      </c>
    </row>
    <row r="14" spans="1:21" x14ac:dyDescent="0.25">
      <c r="M14" s="70">
        <f>SUM(M12:M13,N13)</f>
        <v>100.80000000000001</v>
      </c>
      <c r="N14" s="71"/>
      <c r="O14" s="70">
        <f>SUM(O12:O13,P13)</f>
        <v>100.79999999999995</v>
      </c>
      <c r="P14" s="71"/>
      <c r="Q14" s="70">
        <f>SUM(Q12:Q13,R13)</f>
        <v>115.20000000000005</v>
      </c>
      <c r="R14" s="71"/>
      <c r="S14" s="70">
        <f>SUM(S12:S13,T13)</f>
        <v>115.19999999999982</v>
      </c>
      <c r="T14" s="71"/>
      <c r="U14" s="39"/>
    </row>
    <row r="20" spans="2:10" ht="15.75" customHeight="1" x14ac:dyDescent="0.4">
      <c r="B20" s="4"/>
    </row>
    <row r="21" spans="2:10" x14ac:dyDescent="0.25">
      <c r="B21" s="66" t="s">
        <v>7</v>
      </c>
      <c r="C21" s="15" t="s">
        <v>3</v>
      </c>
      <c r="D21" s="15" t="s">
        <v>4</v>
      </c>
      <c r="E21" s="15" t="s">
        <v>5</v>
      </c>
      <c r="G21" s="66" t="s">
        <v>7</v>
      </c>
      <c r="H21" s="15" t="s">
        <v>3</v>
      </c>
      <c r="I21" s="15" t="s">
        <v>4</v>
      </c>
      <c r="J21" s="15" t="s">
        <v>5</v>
      </c>
    </row>
    <row r="22" spans="2:10" ht="15" customHeight="1" x14ac:dyDescent="0.25">
      <c r="B22" s="66"/>
      <c r="C22" s="16">
        <v>50000</v>
      </c>
      <c r="D22" s="16">
        <v>12000</v>
      </c>
      <c r="E22" s="17">
        <v>30000</v>
      </c>
      <c r="G22" s="66"/>
      <c r="H22" s="16">
        <v>50000</v>
      </c>
      <c r="I22" s="16">
        <v>10000</v>
      </c>
      <c r="J22" s="17">
        <v>15000</v>
      </c>
    </row>
    <row r="23" spans="2:10" x14ac:dyDescent="0.25">
      <c r="B23" s="18">
        <v>0.01</v>
      </c>
      <c r="C23" s="19">
        <f>$D4*C$22</f>
        <v>59.999999999999993</v>
      </c>
      <c r="D23" s="19">
        <f>$D4*D$22</f>
        <v>14.399999999999999</v>
      </c>
      <c r="E23" s="20">
        <f>$D4*E$22</f>
        <v>36</v>
      </c>
      <c r="G23" s="11">
        <v>0.01</v>
      </c>
      <c r="H23" s="19">
        <f t="shared" ref="H23:J24" si="4">$H2*H$22</f>
        <v>59.999999999999993</v>
      </c>
      <c r="I23" s="19">
        <f t="shared" si="4"/>
        <v>11.999999999999998</v>
      </c>
      <c r="J23" s="20">
        <f t="shared" si="4"/>
        <v>18</v>
      </c>
    </row>
    <row r="24" spans="2:10" x14ac:dyDescent="0.25">
      <c r="B24" s="7">
        <v>7.0000000000000007E-2</v>
      </c>
      <c r="C24" s="21">
        <f>$D5*C$22</f>
        <v>420.00000000000006</v>
      </c>
      <c r="D24" s="21">
        <f t="shared" ref="C24:E32" si="5">$D5*D$22</f>
        <v>100.80000000000001</v>
      </c>
      <c r="E24" s="22">
        <f t="shared" si="5"/>
        <v>252.00000000000003</v>
      </c>
      <c r="G24" s="1">
        <v>0.03</v>
      </c>
      <c r="H24" s="21">
        <f t="shared" si="4"/>
        <v>180</v>
      </c>
      <c r="I24" s="21">
        <f t="shared" si="4"/>
        <v>36</v>
      </c>
      <c r="J24" s="22">
        <f t="shared" si="4"/>
        <v>54</v>
      </c>
    </row>
    <row r="25" spans="2:10" ht="15" customHeight="1" x14ac:dyDescent="0.25">
      <c r="B25" s="7">
        <v>0.19</v>
      </c>
      <c r="C25" s="21">
        <f t="shared" si="5"/>
        <v>1140</v>
      </c>
      <c r="D25" s="21">
        <f t="shared" si="5"/>
        <v>273.60000000000002</v>
      </c>
      <c r="E25" s="22">
        <f t="shared" si="5"/>
        <v>684</v>
      </c>
      <c r="G25" s="7">
        <v>7.0000000000000007E-2</v>
      </c>
      <c r="H25" s="21">
        <f t="shared" ref="H25:I31" si="6">$H4*H$22</f>
        <v>420.00000000000006</v>
      </c>
      <c r="I25" s="21">
        <f t="shared" si="6"/>
        <v>84.000000000000014</v>
      </c>
      <c r="J25" s="22">
        <f t="shared" ref="J25:J26" si="7">$H4*J$22</f>
        <v>126.00000000000001</v>
      </c>
    </row>
    <row r="26" spans="2:10" x14ac:dyDescent="0.25">
      <c r="B26" s="7">
        <v>0.43</v>
      </c>
      <c r="C26" s="21">
        <f t="shared" si="5"/>
        <v>2580</v>
      </c>
      <c r="D26" s="21">
        <f t="shared" si="5"/>
        <v>619.20000000000005</v>
      </c>
      <c r="E26" s="22">
        <f t="shared" si="5"/>
        <v>1548</v>
      </c>
      <c r="G26" s="7">
        <v>0.16</v>
      </c>
      <c r="H26" s="21">
        <f t="shared" si="6"/>
        <v>959.99999999999989</v>
      </c>
      <c r="I26" s="21">
        <f t="shared" si="6"/>
        <v>191.99999999999997</v>
      </c>
      <c r="J26" s="22">
        <f t="shared" si="7"/>
        <v>288</v>
      </c>
    </row>
    <row r="27" spans="2:10" x14ac:dyDescent="0.25">
      <c r="B27" s="7">
        <v>0.91</v>
      </c>
      <c r="C27" s="21">
        <f t="shared" si="5"/>
        <v>5460</v>
      </c>
      <c r="D27" s="21">
        <f t="shared" si="5"/>
        <v>1310.4000000000001</v>
      </c>
      <c r="E27" s="22">
        <f t="shared" si="5"/>
        <v>3276</v>
      </c>
      <c r="G27" s="7">
        <v>0.36</v>
      </c>
      <c r="H27" s="21">
        <f t="shared" si="6"/>
        <v>2159.9999999999995</v>
      </c>
      <c r="I27" s="21">
        <f t="shared" si="6"/>
        <v>431.99999999999994</v>
      </c>
      <c r="J27" s="22">
        <f>$H5*J$22</f>
        <v>288</v>
      </c>
    </row>
    <row r="28" spans="2:10" x14ac:dyDescent="0.25">
      <c r="B28" s="7">
        <v>1.87</v>
      </c>
      <c r="C28" s="21">
        <f t="shared" si="5"/>
        <v>11220</v>
      </c>
      <c r="D28" s="21">
        <f t="shared" si="5"/>
        <v>2692.8</v>
      </c>
      <c r="E28" s="22">
        <f t="shared" si="5"/>
        <v>6732.0000000000009</v>
      </c>
      <c r="G28" s="7">
        <v>0.82</v>
      </c>
      <c r="H28" s="21">
        <f t="shared" si="6"/>
        <v>4919.9999999999991</v>
      </c>
      <c r="I28" s="21">
        <f t="shared" si="6"/>
        <v>983.99999999999989</v>
      </c>
      <c r="J28" s="22">
        <f>$H6*J$22</f>
        <v>647.99999999999989</v>
      </c>
    </row>
    <row r="29" spans="2:10" x14ac:dyDescent="0.25">
      <c r="B29" s="7">
        <v>3.79</v>
      </c>
      <c r="C29" s="21">
        <f t="shared" si="5"/>
        <v>22740</v>
      </c>
      <c r="D29" s="21">
        <f t="shared" si="5"/>
        <v>5457.5999999999995</v>
      </c>
      <c r="E29" s="22">
        <f t="shared" si="5"/>
        <v>13644</v>
      </c>
      <c r="G29" s="7">
        <v>4.22</v>
      </c>
      <c r="H29" s="21">
        <f t="shared" si="6"/>
        <v>25319.999999999996</v>
      </c>
      <c r="I29" s="21">
        <f t="shared" si="6"/>
        <v>5064</v>
      </c>
      <c r="J29" s="22">
        <f>$H7*J$22</f>
        <v>1475.9999999999998</v>
      </c>
    </row>
    <row r="30" spans="2:10" x14ac:dyDescent="0.25">
      <c r="B30" s="7">
        <v>7.63</v>
      </c>
      <c r="C30" s="21">
        <f t="shared" si="5"/>
        <v>45780</v>
      </c>
      <c r="D30" s="21">
        <f t="shared" si="5"/>
        <v>10987.199999999999</v>
      </c>
      <c r="E30" s="22">
        <f t="shared" si="5"/>
        <v>27468</v>
      </c>
      <c r="G30" s="7">
        <v>9.58</v>
      </c>
      <c r="H30" s="21">
        <f t="shared" si="6"/>
        <v>57480</v>
      </c>
      <c r="I30" s="21">
        <f t="shared" si="6"/>
        <v>11496</v>
      </c>
      <c r="J30" s="22">
        <f>$H8*J$22</f>
        <v>7595.9999999999991</v>
      </c>
    </row>
    <row r="31" spans="2:10" x14ac:dyDescent="0.25">
      <c r="B31" s="7">
        <v>15.31</v>
      </c>
      <c r="C31" s="21">
        <f t="shared" si="5"/>
        <v>91860</v>
      </c>
      <c r="D31" s="21">
        <f t="shared" si="5"/>
        <v>22046.399999999998</v>
      </c>
      <c r="E31" s="22">
        <f t="shared" si="5"/>
        <v>55116</v>
      </c>
      <c r="G31" s="8">
        <v>21.75</v>
      </c>
      <c r="H31" s="23">
        <f t="shared" si="6"/>
        <v>130500</v>
      </c>
      <c r="I31" s="23">
        <f t="shared" si="6"/>
        <v>26100</v>
      </c>
      <c r="J31" s="24">
        <f>$H9*J$22</f>
        <v>17244</v>
      </c>
    </row>
    <row r="32" spans="2:10" x14ac:dyDescent="0.25">
      <c r="B32" s="8">
        <v>30.67</v>
      </c>
      <c r="C32" s="23">
        <f t="shared" si="5"/>
        <v>184020</v>
      </c>
      <c r="D32" s="23">
        <f t="shared" si="5"/>
        <v>44164.800000000003</v>
      </c>
      <c r="E32" s="23">
        <f t="shared" si="5"/>
        <v>110412</v>
      </c>
      <c r="H32" s="21"/>
      <c r="I32" s="21"/>
      <c r="J32" s="21"/>
    </row>
  </sheetData>
  <mergeCells count="11">
    <mergeCell ref="N9:O9"/>
    <mergeCell ref="P9:Q9"/>
    <mergeCell ref="R9:S9"/>
    <mergeCell ref="T9:U9"/>
    <mergeCell ref="B21:B22"/>
    <mergeCell ref="G21:G22"/>
    <mergeCell ref="J10:J13"/>
    <mergeCell ref="M14:N14"/>
    <mergeCell ref="O14:P14"/>
    <mergeCell ref="Q14:R14"/>
    <mergeCell ref="S14:T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FCE6-6F69-49F8-B017-97F7D427542B}">
  <dimension ref="A1:P23"/>
  <sheetViews>
    <sheetView workbookViewId="0">
      <selection activeCell="D8" sqref="D8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customWidth="1"/>
    <col min="6" max="6" width="9.28515625" bestFit="1" customWidth="1"/>
    <col min="7" max="7" width="9.7109375" bestFit="1" customWidth="1"/>
    <col min="8" max="8" width="11.28515625" bestFit="1" customWidth="1"/>
    <col min="9" max="9" width="15.710937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4" width="10.5703125" bestFit="1" customWidth="1"/>
    <col min="15" max="16" width="11.5703125" bestFit="1" customWidth="1"/>
  </cols>
  <sheetData>
    <row r="1" spans="1:16" x14ac:dyDescent="0.25">
      <c r="B1" t="s">
        <v>0</v>
      </c>
      <c r="F1" s="72" t="s">
        <v>22</v>
      </c>
      <c r="G1" s="73"/>
      <c r="H1" s="73"/>
      <c r="I1" s="73"/>
      <c r="J1" s="74"/>
    </row>
    <row r="2" spans="1:16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16" x14ac:dyDescent="0.25">
      <c r="A3" t="s">
        <v>9</v>
      </c>
      <c r="B3">
        <v>0.12</v>
      </c>
    </row>
    <row r="4" spans="1:16" x14ac:dyDescent="0.25">
      <c r="C4" s="5"/>
      <c r="K4" s="78"/>
      <c r="L4" s="78"/>
      <c r="M4" s="78"/>
    </row>
    <row r="5" spans="1:16" x14ac:dyDescent="0.25">
      <c r="C5" s="15" t="s">
        <v>4</v>
      </c>
      <c r="D5" s="14">
        <v>10000</v>
      </c>
      <c r="J5" s="52"/>
      <c r="K5" s="79"/>
      <c r="L5" s="79"/>
      <c r="M5" s="79"/>
    </row>
    <row r="6" spans="1:16" x14ac:dyDescent="0.25">
      <c r="C6" s="15" t="s">
        <v>10</v>
      </c>
      <c r="D6" s="25">
        <v>15000</v>
      </c>
    </row>
    <row r="7" spans="1:16" x14ac:dyDescent="0.25">
      <c r="C7" s="15" t="s">
        <v>13</v>
      </c>
      <c r="D7" s="26">
        <v>50</v>
      </c>
    </row>
    <row r="8" spans="1:16" x14ac:dyDescent="0.25"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</row>
    <row r="9" spans="1:16" ht="15.75" thickBot="1" x14ac:dyDescent="0.3">
      <c r="G9" s="64">
        <f>F10</f>
        <v>50</v>
      </c>
      <c r="H9" s="65"/>
      <c r="I9" s="64">
        <f>F10</f>
        <v>50</v>
      </c>
      <c r="J9" s="65"/>
      <c r="K9" s="64">
        <f>F10</f>
        <v>50</v>
      </c>
      <c r="L9" s="65"/>
      <c r="M9" s="64">
        <f>F10</f>
        <v>50</v>
      </c>
      <c r="N9" s="65"/>
      <c r="O9" s="64">
        <f>F10</f>
        <v>50</v>
      </c>
      <c r="P9" s="65"/>
    </row>
    <row r="10" spans="1:16" x14ac:dyDescent="0.25">
      <c r="C10" s="67" t="s">
        <v>11</v>
      </c>
      <c r="D10" s="37">
        <f>D6*-1</f>
        <v>-15000</v>
      </c>
      <c r="E10" s="32">
        <f>D6</f>
        <v>15000</v>
      </c>
      <c r="F10" s="38">
        <f>D7</f>
        <v>50</v>
      </c>
      <c r="G10" s="30">
        <f>G12*$D$10*$B$3</f>
        <v>-133.33333333333331</v>
      </c>
      <c r="H10" s="38">
        <f>H11*$E$10*$B$3</f>
        <v>222.22222222222214</v>
      </c>
      <c r="I10" s="30">
        <f>I12*$D$10*$B$3</f>
        <v>-370.37037037037021</v>
      </c>
      <c r="J10" s="38">
        <f>J11*$E$10*$B$3</f>
        <v>617.28395061728384</v>
      </c>
      <c r="K10" s="30">
        <f>K12*$D$10*$B$3</f>
        <v>-1028.8065843621398</v>
      </c>
      <c r="L10" s="38">
        <f>L11*$E$10*$B$3</f>
        <v>1714.677640603566</v>
      </c>
      <c r="M10" s="30">
        <f>M12*$D$10*$B$3</f>
        <v>-2857.7960676726098</v>
      </c>
      <c r="N10" s="38">
        <f>N11*$E$10*$B$3</f>
        <v>4762.9934461210159</v>
      </c>
      <c r="O10" s="30">
        <f>O12*$D$10*$B$3</f>
        <v>-7938.322410201692</v>
      </c>
      <c r="P10" s="38">
        <f>P11*$E$10*$B$3</f>
        <v>13230.537350336155</v>
      </c>
    </row>
    <row r="11" spans="1:16" x14ac:dyDescent="0.25">
      <c r="C11" s="68"/>
      <c r="D11" s="37">
        <f>D5*-1</f>
        <v>-10000</v>
      </c>
      <c r="F11" s="44">
        <f>F10/(E10*B3)</f>
        <v>2.7777777777777776E-2</v>
      </c>
      <c r="G11" s="30">
        <f>G12*$D$11*$B$3</f>
        <v>-88.888888888888872</v>
      </c>
      <c r="H11" s="44">
        <f>(G9-SUM(G10:G11,F10))/(E10*B3)</f>
        <v>0.12345679012345676</v>
      </c>
      <c r="I11" s="30">
        <f>I12*$D$11*$B$3</f>
        <v>-246.91358024691348</v>
      </c>
      <c r="J11" s="44">
        <f>(I9-SUM(I10:I11,G10:G11,F10,H10))/($E$10*$B$3)</f>
        <v>0.34293552812071326</v>
      </c>
      <c r="K11" s="30">
        <f>K12*$D$11*$B$3</f>
        <v>-685.87105624142657</v>
      </c>
      <c r="L11" s="44">
        <f>(K9-SUM(G10:G11,I10:I11,K10:K11,F10,H10,J10))/($E$10*$B$3)</f>
        <v>0.95259868922420343</v>
      </c>
      <c r="M11" s="30">
        <f>M12*$D$11*$B$3</f>
        <v>-1905.1973784484064</v>
      </c>
      <c r="N11" s="44">
        <f>(M9-SUM(I10:I11,K10:K11,M10:M11,H10,J10,L10,G10:G11,F10))/($E$10*$B$3)</f>
        <v>2.6461074700672311</v>
      </c>
      <c r="O11" s="30">
        <f>O12*$D$11*$B$3</f>
        <v>-5292.2149401344604</v>
      </c>
      <c r="P11" s="44">
        <f>(O9-SUM(K10:K11,M10:M11,O10:O11,J10,L10,N10,I10:I11,H10,G10:G11,F10))/($E$10*$B$3)</f>
        <v>7.3502985279645303</v>
      </c>
    </row>
    <row r="12" spans="1:16" x14ac:dyDescent="0.25">
      <c r="C12" s="68"/>
      <c r="D12" s="36">
        <f>D11</f>
        <v>-10000</v>
      </c>
      <c r="F12" s="33">
        <f>F11*$D$12*$B$3</f>
        <v>-33.333333333333329</v>
      </c>
      <c r="G12" s="41">
        <f>(F14-SUM(F12:F13))/($E$13*$B$3)</f>
        <v>7.407407407407407E-2</v>
      </c>
      <c r="H12" s="33">
        <f>H11*$D$12*$B$3</f>
        <v>-148.1481481481481</v>
      </c>
      <c r="I12" s="41">
        <f>(H14-SUM(H12:H13,F12:F13,G13))/($E$13*$B$3)</f>
        <v>0.20576131687242791</v>
      </c>
      <c r="J12" s="33">
        <f>J11*$D$12*$B$3</f>
        <v>-411.52263374485591</v>
      </c>
      <c r="K12" s="41">
        <f>(J14-SUM(J12:J13,H12:H13,I13,F12:F13,G13))/($E$13*$B$3)</f>
        <v>0.5715592135345221</v>
      </c>
      <c r="L12" s="38">
        <f>L11*$D$12*$B$3</f>
        <v>-1143.1184270690439</v>
      </c>
      <c r="M12" s="41">
        <f>(L14-SUM(L12:L13,J12:J13,K13,H12:H13,I13,F12:F13,G13))/($E$13*$B$3)</f>
        <v>1.5876644820403387</v>
      </c>
      <c r="N12" s="38">
        <f>N11*$D$12*$B$3</f>
        <v>-3175.328964080677</v>
      </c>
      <c r="O12" s="41">
        <f>(N14-SUM(N12:N13,L12:L13,M13,J12:J13,K13,H12:H13,I13,F12:F13,G13))/($E$13*$B$3)</f>
        <v>4.4101791167787177</v>
      </c>
      <c r="P12" s="38">
        <f>P11*$D$12*$B$3</f>
        <v>-8820.3582335574356</v>
      </c>
    </row>
    <row r="13" spans="1:16" ht="15.75" thickBot="1" x14ac:dyDescent="0.3">
      <c r="C13" s="69"/>
      <c r="D13" s="36">
        <f>D10</f>
        <v>-15000</v>
      </c>
      <c r="E13" s="34">
        <f>D6</f>
        <v>15000</v>
      </c>
      <c r="F13" s="33">
        <f>F11*$D$13*$B$3</f>
        <v>-49.999999999999993</v>
      </c>
      <c r="G13" s="30">
        <f>G12*$E$13*$B$3</f>
        <v>133.33333333333331</v>
      </c>
      <c r="H13" s="33">
        <f>H11*$D$13*$B$3</f>
        <v>-222.22222222222214</v>
      </c>
      <c r="I13" s="30">
        <f>I12*$E$13*$B$3</f>
        <v>370.37037037037021</v>
      </c>
      <c r="J13" s="33">
        <f>J11*$D$13*$B$3</f>
        <v>-617.28395061728384</v>
      </c>
      <c r="K13" s="30">
        <f>K12*$E$13*$B$3</f>
        <v>1028.8065843621398</v>
      </c>
      <c r="L13" s="38">
        <f>L11*$D$13*$B$3</f>
        <v>-1714.677640603566</v>
      </c>
      <c r="M13" s="30">
        <f>M12*$E$13*$B$3</f>
        <v>2857.7960676726098</v>
      </c>
      <c r="N13" s="38">
        <f>N11*$D$13*$B$3</f>
        <v>-4762.9934461210159</v>
      </c>
      <c r="O13" s="30">
        <f>O12*$E$13*$B$3</f>
        <v>7938.322410201692</v>
      </c>
      <c r="P13" s="38">
        <f>P11*$D$13*$B$3</f>
        <v>-13230.537350336155</v>
      </c>
    </row>
    <row r="14" spans="1:16" x14ac:dyDescent="0.25">
      <c r="F14" s="70">
        <f>F10</f>
        <v>50</v>
      </c>
      <c r="G14" s="71"/>
      <c r="H14" s="70">
        <f>F10</f>
        <v>50</v>
      </c>
      <c r="I14" s="71"/>
      <c r="J14" s="70">
        <f>F10</f>
        <v>50</v>
      </c>
      <c r="K14" s="71"/>
      <c r="L14" s="70">
        <f>F10</f>
        <v>50</v>
      </c>
      <c r="M14" s="71"/>
      <c r="N14" s="70">
        <f>F10</f>
        <v>50</v>
      </c>
      <c r="O14" s="71"/>
    </row>
    <row r="15" spans="1:16" x14ac:dyDescent="0.25"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7" spans="6:16" ht="16.5" x14ac:dyDescent="0.25">
      <c r="J17" s="49" t="s">
        <v>14</v>
      </c>
      <c r="K17" s="49" t="s">
        <v>15</v>
      </c>
      <c r="L17" s="49" t="s">
        <v>16</v>
      </c>
      <c r="M17" s="49" t="s">
        <v>17</v>
      </c>
      <c r="N17" s="49" t="s">
        <v>18</v>
      </c>
      <c r="O17" s="49" t="s">
        <v>19</v>
      </c>
      <c r="P17" s="49" t="s">
        <v>20</v>
      </c>
    </row>
    <row r="18" spans="6:16" x14ac:dyDescent="0.25">
      <c r="I18" s="50" t="s">
        <v>21</v>
      </c>
      <c r="J18" s="46">
        <f>SUM($F$12:$F$13,$G$10:$G$11,$H$12:$H$13,$I$10:$I$11,$J$12:$J$13)/2*-1</f>
        <v>1161.0082304526745</v>
      </c>
      <c r="K18" s="47">
        <f>SUM($F$12:$F$13,$G$10:$G$11,$H$12:$H$13,$I$10:$I$11,$J$12:$J$13,$K$10:$K$11)/2*-1</f>
        <v>2018.3470507544578</v>
      </c>
      <c r="L18" s="47">
        <f>SUM($F$12:$F$13,$G$10:$G$11,$H$12:$H$13,$I$10:$I$11,$J$12:$J$13,$K$10:$K$11,$L$12:$L$13)/2*-1</f>
        <v>3447.2450845907629</v>
      </c>
      <c r="M18" s="47">
        <f>SUM($F$12:$F$13,$G$10:$G$11,$H$12:$H$13,$I$10:$I$11,$J$12:$J$13,$K$10:$K$11,$L$12:$L$13,$M$10:$M$11)/2*-1</f>
        <v>5828.7418076512713</v>
      </c>
      <c r="N18" s="47">
        <f>SUM($F$12:$F$13,$G$10:$G$11,$H$12:$H$13,$I$10:$I$11,$J$12:$J$13,$K$10:$K$11,$L$12:$L$13,$M$10:$M$11,$N$12:$N$13)/2*-1</f>
        <v>9797.9030127521182</v>
      </c>
      <c r="O18" s="47">
        <f>SUM($F$12:$F$13,$G$10:$G$11,$H$12:$H$13,$I$10:$I$11,$J$12:$J$13,$K$10:$K$11,$L$12:$L$13,$M$10:$M$11,$N$12:$N$13,$O$10:$O$11)/2*-1</f>
        <v>16413.171687920192</v>
      </c>
      <c r="P18" s="48">
        <f>SUM($F$12:$F$13,$G$10:$G$11,$H$12:$H$13,$I$10:$I$11,$J$12:$J$13,$K$10:$K$11,$L$12:$L$13,$M$10:$M$11,$N$12:$N$13,$O$10:$O$11,$P$12:$P$13)/2*-1</f>
        <v>27438.619479866986</v>
      </c>
    </row>
    <row r="19" spans="6:16" x14ac:dyDescent="0.25">
      <c r="J19" s="45"/>
    </row>
    <row r="21" spans="6:16" x14ac:dyDescent="0.25">
      <c r="F21" s="40">
        <f>ROUND(F11,2)</f>
        <v>0.03</v>
      </c>
      <c r="G21" s="41">
        <f>ROUND(G12,2)</f>
        <v>7.0000000000000007E-2</v>
      </c>
      <c r="H21" s="40">
        <f>ROUND(H11,2)</f>
        <v>0.12</v>
      </c>
      <c r="I21" s="40">
        <f>ROUND(I12,2)</f>
        <v>0.21</v>
      </c>
      <c r="J21" s="40">
        <f t="shared" ref="J21:N21" si="0">ROUND(J11,2)</f>
        <v>0.34</v>
      </c>
      <c r="K21" s="40">
        <f>ROUND(K12,2)</f>
        <v>0.56999999999999995</v>
      </c>
      <c r="L21" s="40">
        <f t="shared" si="0"/>
        <v>0.95</v>
      </c>
      <c r="M21" s="40">
        <f>ROUND(M12,2)</f>
        <v>1.59</v>
      </c>
      <c r="N21" s="40">
        <f t="shared" si="0"/>
        <v>2.65</v>
      </c>
      <c r="O21" s="41">
        <f>ROUND(O12,2)</f>
        <v>4.41</v>
      </c>
      <c r="P21" s="41">
        <f>ROUND(P11,2)</f>
        <v>7.35</v>
      </c>
    </row>
    <row r="23" spans="6:16" x14ac:dyDescent="0.25">
      <c r="F23" t="str">
        <f>_xlfn.TEXTJOIN(", ",,F21:P21)</f>
        <v>0.03, 0.07, 0.12, 0.21, 0.34, 0.57, 0.95, 1.59, 2.65, 4.41, 7.35</v>
      </c>
    </row>
  </sheetData>
  <mergeCells count="14">
    <mergeCell ref="O9:P9"/>
    <mergeCell ref="C10:C13"/>
    <mergeCell ref="F14:G14"/>
    <mergeCell ref="H14:I14"/>
    <mergeCell ref="J14:K14"/>
    <mergeCell ref="L14:M14"/>
    <mergeCell ref="N14:O14"/>
    <mergeCell ref="F1:J2"/>
    <mergeCell ref="K4:M4"/>
    <mergeCell ref="K5:M5"/>
    <mergeCell ref="G9:H9"/>
    <mergeCell ref="I9:J9"/>
    <mergeCell ref="K9:L9"/>
    <mergeCell ref="M9:N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97C1-9CC4-4047-B93C-3F092EDBF6BA}">
  <dimension ref="A1:P24"/>
  <sheetViews>
    <sheetView workbookViewId="0">
      <selection activeCell="D35" sqref="D35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customWidth="1"/>
    <col min="6" max="6" width="9.28515625" bestFit="1" customWidth="1"/>
    <col min="7" max="7" width="11.7109375" customWidth="1"/>
    <col min="8" max="8" width="12" customWidth="1"/>
    <col min="9" max="9" width="16.4257812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5" width="10.5703125" bestFit="1" customWidth="1"/>
    <col min="16" max="16" width="11.5703125" bestFit="1" customWidth="1"/>
  </cols>
  <sheetData>
    <row r="1" spans="1:16" x14ac:dyDescent="0.25">
      <c r="B1" t="s">
        <v>0</v>
      </c>
      <c r="F1" s="72" t="s">
        <v>12</v>
      </c>
      <c r="G1" s="73"/>
      <c r="H1" s="73"/>
      <c r="I1" s="73"/>
      <c r="J1" s="74"/>
    </row>
    <row r="2" spans="1:16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16" x14ac:dyDescent="0.25">
      <c r="A3" t="s">
        <v>9</v>
      </c>
      <c r="B3">
        <v>0.12</v>
      </c>
      <c r="F3" s="80" t="s">
        <v>25</v>
      </c>
      <c r="G3" s="81"/>
      <c r="H3" s="81"/>
      <c r="I3" s="81"/>
      <c r="J3" s="82"/>
    </row>
    <row r="4" spans="1:16" x14ac:dyDescent="0.25">
      <c r="C4" s="5"/>
      <c r="L4">
        <v>20</v>
      </c>
      <c r="M4">
        <v>8</v>
      </c>
    </row>
    <row r="5" spans="1:16" x14ac:dyDescent="0.25">
      <c r="C5" s="55" t="s">
        <v>4</v>
      </c>
      <c r="D5" s="53">
        <f>E5*1000</f>
        <v>10000</v>
      </c>
      <c r="E5" s="14">
        <v>10</v>
      </c>
      <c r="J5" s="52"/>
      <c r="K5" s="79">
        <v>30</v>
      </c>
      <c r="L5" s="79"/>
      <c r="M5" s="79"/>
    </row>
    <row r="6" spans="1:16" x14ac:dyDescent="0.25">
      <c r="C6" s="15" t="s">
        <v>10</v>
      </c>
      <c r="D6" s="25">
        <f>E6*1000</f>
        <v>15000</v>
      </c>
      <c r="E6" s="54">
        <v>15</v>
      </c>
    </row>
    <row r="7" spans="1:16" x14ac:dyDescent="0.25">
      <c r="C7" s="15" t="s">
        <v>13</v>
      </c>
      <c r="D7" s="26">
        <v>30</v>
      </c>
    </row>
    <row r="9" spans="1:16" x14ac:dyDescent="0.25"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</row>
    <row r="10" spans="1:16" ht="15.75" thickBot="1" x14ac:dyDescent="0.3">
      <c r="G10" s="64">
        <f>$F$15</f>
        <v>30</v>
      </c>
      <c r="H10" s="65"/>
      <c r="I10" s="64">
        <f t="shared" ref="I10" si="0">$F$15</f>
        <v>30</v>
      </c>
      <c r="J10" s="65"/>
      <c r="K10" s="64">
        <f t="shared" ref="K10" si="1">$F$15</f>
        <v>30</v>
      </c>
      <c r="L10" s="65"/>
      <c r="M10" s="64">
        <f t="shared" ref="M10" si="2">$F$15</f>
        <v>30</v>
      </c>
      <c r="N10" s="65"/>
      <c r="O10" s="64">
        <f t="shared" ref="O10" si="3">$F$15</f>
        <v>30</v>
      </c>
      <c r="P10" s="65"/>
    </row>
    <row r="11" spans="1:16" x14ac:dyDescent="0.25">
      <c r="C11" s="67" t="s">
        <v>11</v>
      </c>
      <c r="D11" s="37">
        <f>D6*-1</f>
        <v>-15000</v>
      </c>
      <c r="E11" s="32">
        <f>D6</f>
        <v>15000</v>
      </c>
      <c r="F11" s="38">
        <f>D7</f>
        <v>30</v>
      </c>
      <c r="G11" s="30"/>
      <c r="H11" s="38">
        <f>H12*$E$11*$B$3</f>
        <v>90</v>
      </c>
      <c r="I11" s="30"/>
      <c r="J11" s="38">
        <f>J12*$E$11*$B$3</f>
        <v>252</v>
      </c>
      <c r="K11" s="30"/>
      <c r="L11" s="38">
        <f>L12*$E$11*$B$3</f>
        <v>684</v>
      </c>
      <c r="M11" s="30"/>
      <c r="N11" s="38">
        <f>N12*$E$11*$B$3</f>
        <v>1908</v>
      </c>
      <c r="O11" s="30"/>
      <c r="P11" s="38">
        <f>P12*$E$11*$B$3</f>
        <v>5310</v>
      </c>
    </row>
    <row r="12" spans="1:16" x14ac:dyDescent="0.25">
      <c r="C12" s="68"/>
      <c r="D12" s="37">
        <f>D5*-1</f>
        <v>-10000</v>
      </c>
      <c r="F12" s="44">
        <f>ROUND(F11/(E11*B3),2)</f>
        <v>0.02</v>
      </c>
      <c r="G12" s="30">
        <f>G13*$D$12*$B$3</f>
        <v>-36</v>
      </c>
      <c r="H12" s="44">
        <f>ROUND((G10-G12-F13)/(E11*B3),2)</f>
        <v>0.05</v>
      </c>
      <c r="I12" s="30">
        <f>I13*$D$12*$B$3</f>
        <v>-96</v>
      </c>
      <c r="J12" s="44">
        <f>ROUND((I10-I12-H13-G12-F13)/($E$11*$B$3),2)</f>
        <v>0.14000000000000001</v>
      </c>
      <c r="K12" s="30">
        <f>K13*$D$12*$B$3</f>
        <v>-276</v>
      </c>
      <c r="L12" s="44">
        <f>ROUND((K10-K12-J13-I12-H13-G12-F13)/($E$11*$B$3),2)</f>
        <v>0.38</v>
      </c>
      <c r="M12" s="30">
        <f>M13*$D$12*$B$3</f>
        <v>-768</v>
      </c>
      <c r="N12" s="44">
        <f>ROUND((M10-M12-L13-K12-J13-I12-H13-G12-F13)/($E$11*$B$3),2)</f>
        <v>1.06</v>
      </c>
      <c r="O12" s="30">
        <f>O13*$D$12*$B$3</f>
        <v>-2124</v>
      </c>
      <c r="P12" s="44">
        <f>ROUND((O10-O12-N13-M12-L13-K12-J13-I12-H13-G12-F13)/($E$11*$B$3),2)</f>
        <v>2.95</v>
      </c>
    </row>
    <row r="13" spans="1:16" x14ac:dyDescent="0.25">
      <c r="C13" s="68"/>
      <c r="D13" s="36">
        <f>D12</f>
        <v>-10000</v>
      </c>
      <c r="F13" s="33">
        <f>F12*$D$13*$B$3</f>
        <v>-24</v>
      </c>
      <c r="G13" s="41">
        <f>ROUND((F15-F13)/($E$14*$B$3),2)</f>
        <v>0.03</v>
      </c>
      <c r="H13" s="33">
        <f>H12*$D$13*$B$3</f>
        <v>-60</v>
      </c>
      <c r="I13" s="41">
        <f>ROUND((H15-H13-G12-F13)/($E$14*$B$3),2)</f>
        <v>0.08</v>
      </c>
      <c r="J13" s="33">
        <f>J12*$D$13*$B$3</f>
        <v>-168.00000000000003</v>
      </c>
      <c r="K13" s="41">
        <f>ROUND((J15-J13-I12-H13-G12-F13)/($E$14*$B$3),2)</f>
        <v>0.23</v>
      </c>
      <c r="L13" s="38">
        <f>L12*$D$13*$B$3</f>
        <v>-456</v>
      </c>
      <c r="M13" s="41">
        <f>ROUND((L15-L13-K12-J13-I12-H13-G12-F13)/($E$14*$B$3),2)</f>
        <v>0.64</v>
      </c>
      <c r="N13" s="38">
        <f>N12*$D$13*$B$3</f>
        <v>-1272</v>
      </c>
      <c r="O13" s="41">
        <f>ROUND((N15-N13-M12-L13-K12-J13-I12-H13-G12-F13)/($E$14*$B$3), 2)</f>
        <v>1.77</v>
      </c>
      <c r="P13" s="38">
        <f>P12*$D$13*$B$3</f>
        <v>-3540</v>
      </c>
    </row>
    <row r="14" spans="1:16" ht="15.75" thickBot="1" x14ac:dyDescent="0.3">
      <c r="C14" s="69"/>
      <c r="D14" s="36">
        <f>D11</f>
        <v>-15000</v>
      </c>
      <c r="E14" s="34">
        <f>D6</f>
        <v>15000</v>
      </c>
      <c r="F14" s="33"/>
      <c r="G14" s="30">
        <f>G13*$E$14*$B$3</f>
        <v>54</v>
      </c>
      <c r="H14" s="35"/>
      <c r="I14" s="30">
        <f>I13*$E$14*$B$3</f>
        <v>144</v>
      </c>
      <c r="J14" s="35"/>
      <c r="K14" s="30">
        <f>K13*$E$14*$B$3</f>
        <v>414</v>
      </c>
      <c r="L14" s="35"/>
      <c r="M14" s="30">
        <f>M13*$E$14*$B$3</f>
        <v>1152</v>
      </c>
      <c r="N14" s="35"/>
      <c r="O14" s="30">
        <f>O13*$E$14*$B$3</f>
        <v>3186</v>
      </c>
      <c r="P14" s="35"/>
    </row>
    <row r="15" spans="1:16" x14ac:dyDescent="0.25">
      <c r="F15" s="70">
        <f>$F$11</f>
        <v>30</v>
      </c>
      <c r="G15" s="71"/>
      <c r="H15" s="70">
        <f t="shared" ref="H15" si="4">$F$11</f>
        <v>30</v>
      </c>
      <c r="I15" s="71"/>
      <c r="J15" s="70">
        <f t="shared" ref="J15" si="5">$F$11</f>
        <v>30</v>
      </c>
      <c r="K15" s="71"/>
      <c r="L15" s="70">
        <f t="shared" ref="L15" si="6">$F$11</f>
        <v>30</v>
      </c>
      <c r="M15" s="71"/>
      <c r="N15" s="70">
        <f t="shared" ref="N15" si="7">$F$11</f>
        <v>30</v>
      </c>
      <c r="O15" s="71"/>
    </row>
    <row r="16" spans="1:16" x14ac:dyDescent="0.25"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8" spans="6:16" ht="16.5" x14ac:dyDescent="0.25">
      <c r="J18" s="49" t="s">
        <v>14</v>
      </c>
      <c r="K18" s="49" t="s">
        <v>15</v>
      </c>
      <c r="L18" s="49" t="s">
        <v>16</v>
      </c>
      <c r="M18" s="49" t="s">
        <v>17</v>
      </c>
      <c r="N18" s="49" t="s">
        <v>18</v>
      </c>
      <c r="O18" s="49" t="s">
        <v>19</v>
      </c>
      <c r="P18" s="49" t="s">
        <v>20</v>
      </c>
    </row>
    <row r="19" spans="6:16" x14ac:dyDescent="0.25">
      <c r="I19" s="50" t="s">
        <v>21</v>
      </c>
      <c r="J19" s="46">
        <f>SUM($F$13:$F$14,$G$11:$G$12,$H$13:$H$14,$I$11:$I$12,$J$13:$J$14)/2*-1</f>
        <v>192</v>
      </c>
      <c r="K19" s="47">
        <f>SUM($F$13:$F$14,$G$11:$G$12,$H$13:$H$14,$I$11:$I$12,$J$13:$J$14,$K$11:$K$12)/2*-1</f>
        <v>330</v>
      </c>
      <c r="L19" s="47">
        <f>SUM($F$13:$F$14,$G$11:$G$12,$H$13:$H$14,$I$11:$I$12,$J$13:$J$14,$K$11:$K$12,$L$13:$L$14)/2*-1</f>
        <v>558</v>
      </c>
      <c r="M19" s="47">
        <f>SUM($F$13:$F$14,$G$11:$G$12,$H$13:$H$14,$I$11:$I$12,$J$13:$J$14,$K$11:$K$12,$L$13:$L$14,$M$11:$M$12)/2*-1</f>
        <v>942</v>
      </c>
      <c r="N19" s="47">
        <f>SUM($F$13:$F$14,$G$11:$G$12,$H$13:$H$14,$I$11:$I$12,$J$13:$J$14,$K$11:$K$12,$L$13:$L$14,$M$11:$M$12,$N$13:$N$14)/2*-1</f>
        <v>1578</v>
      </c>
      <c r="O19" s="47">
        <f>SUM($F$13:$F$14,$G$11:$G$12,$H$13:$H$14,$I$11:$I$12,$J$13:$J$14,$K$11:$K$12,$L$13:$L$14,$M$11:$M$12,$N$13:$N$14,$O$11:$O$12)/2*-1</f>
        <v>2640</v>
      </c>
      <c r="P19" s="48">
        <f>SUM($F$13:$F$14,$G$11:$G$12,$H$13:$H$14,$I$11:$I$12,$J$13:$J$14,$K$11:$K$12,$L$13:$L$14,$M$11:$M$12,$N$13:$N$14,$O$11:$O$12,$P$13:$P$14)/2*-1</f>
        <v>4410</v>
      </c>
    </row>
    <row r="20" spans="6:16" x14ac:dyDescent="0.25">
      <c r="J20" s="45"/>
    </row>
    <row r="22" spans="6:16" x14ac:dyDescent="0.25">
      <c r="F22" s="40">
        <f>ROUND(F12,2)</f>
        <v>0.02</v>
      </c>
      <c r="G22" s="41">
        <f>ROUND(G13,2)</f>
        <v>0.03</v>
      </c>
      <c r="H22" s="40">
        <f>ROUND(H12,2)</f>
        <v>0.05</v>
      </c>
      <c r="I22" s="40">
        <f>ROUND(I13,2)</f>
        <v>0.08</v>
      </c>
      <c r="J22" s="40">
        <f t="shared" ref="J22:N22" si="8">ROUND(J12,2)</f>
        <v>0.14000000000000001</v>
      </c>
      <c r="K22" s="40">
        <f>ROUND(K13,2)</f>
        <v>0.23</v>
      </c>
      <c r="L22" s="40">
        <f t="shared" si="8"/>
        <v>0.38</v>
      </c>
      <c r="M22" s="40">
        <f>ROUND(M13,2)</f>
        <v>0.64</v>
      </c>
      <c r="N22" s="40">
        <f t="shared" si="8"/>
        <v>1.06</v>
      </c>
      <c r="O22" s="41">
        <f>ROUND(O13,2)</f>
        <v>1.77</v>
      </c>
      <c r="P22" s="41">
        <f>ROUND(P12,2)</f>
        <v>2.95</v>
      </c>
    </row>
    <row r="24" spans="6:16" x14ac:dyDescent="0.25">
      <c r="F24" t="str">
        <f>_xlfn.TEXTJOIN(", ",,F22:P22)</f>
        <v>0.02, 0.03, 0.05, 0.08, 0.14, 0.23, 0.38, 0.64, 1.06, 1.77, 2.95</v>
      </c>
    </row>
  </sheetData>
  <mergeCells count="14">
    <mergeCell ref="O10:P10"/>
    <mergeCell ref="C11:C14"/>
    <mergeCell ref="F15:G15"/>
    <mergeCell ref="H15:I15"/>
    <mergeCell ref="J15:K15"/>
    <mergeCell ref="L15:M15"/>
    <mergeCell ref="N15:O15"/>
    <mergeCell ref="F1:J2"/>
    <mergeCell ref="F3:J3"/>
    <mergeCell ref="K5:M5"/>
    <mergeCell ref="G10:H10"/>
    <mergeCell ref="I10:J10"/>
    <mergeCell ref="K10:L10"/>
    <mergeCell ref="M10:N1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EB74-1E11-4671-BDCA-E2D6020BEF7B}">
  <dimension ref="A1:P24"/>
  <sheetViews>
    <sheetView workbookViewId="0">
      <selection activeCell="I12" sqref="I12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customWidth="1"/>
    <col min="6" max="6" width="9.28515625" bestFit="1" customWidth="1"/>
    <col min="7" max="7" width="11.7109375" customWidth="1"/>
    <col min="8" max="8" width="12" customWidth="1"/>
    <col min="9" max="9" width="16.4257812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5" width="10.5703125" bestFit="1" customWidth="1"/>
    <col min="16" max="16" width="11.5703125" bestFit="1" customWidth="1"/>
  </cols>
  <sheetData>
    <row r="1" spans="1:16" x14ac:dyDescent="0.25">
      <c r="B1" t="s">
        <v>0</v>
      </c>
      <c r="F1" s="72" t="s">
        <v>12</v>
      </c>
      <c r="G1" s="73"/>
      <c r="H1" s="73"/>
      <c r="I1" s="73"/>
      <c r="J1" s="74"/>
    </row>
    <row r="2" spans="1:16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16" x14ac:dyDescent="0.25">
      <c r="A3" t="s">
        <v>9</v>
      </c>
      <c r="B3">
        <v>0.12</v>
      </c>
      <c r="F3" s="80" t="s">
        <v>24</v>
      </c>
      <c r="G3" s="81"/>
      <c r="H3" s="81"/>
      <c r="I3" s="81"/>
      <c r="J3" s="82"/>
    </row>
    <row r="4" spans="1:16" x14ac:dyDescent="0.25">
      <c r="C4" s="5"/>
      <c r="K4" s="78"/>
      <c r="L4" s="78"/>
      <c r="M4" s="78"/>
    </row>
    <row r="5" spans="1:16" x14ac:dyDescent="0.25">
      <c r="C5" s="55" t="s">
        <v>4</v>
      </c>
      <c r="D5" s="53">
        <f>E5*1000</f>
        <v>10000</v>
      </c>
      <c r="E5" s="14">
        <v>10</v>
      </c>
      <c r="J5" s="52"/>
      <c r="K5" s="79"/>
      <c r="L5" s="79"/>
      <c r="M5" s="79"/>
    </row>
    <row r="6" spans="1:16" x14ac:dyDescent="0.25">
      <c r="C6" s="15" t="s">
        <v>10</v>
      </c>
      <c r="D6" s="25">
        <f>E6*1000</f>
        <v>15000</v>
      </c>
      <c r="E6" s="54">
        <v>15</v>
      </c>
    </row>
    <row r="7" spans="1:16" x14ac:dyDescent="0.25">
      <c r="C7" s="15" t="s">
        <v>13</v>
      </c>
      <c r="D7" s="26">
        <v>20</v>
      </c>
    </row>
    <row r="8" spans="1:16" x14ac:dyDescent="0.25">
      <c r="C8" s="15" t="s">
        <v>23</v>
      </c>
      <c r="D8" s="15">
        <v>10</v>
      </c>
    </row>
    <row r="9" spans="1:16" x14ac:dyDescent="0.25"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</row>
    <row r="10" spans="1:16" ht="15.75" thickBot="1" x14ac:dyDescent="0.3">
      <c r="G10" s="64">
        <f>F15+$D$8</f>
        <v>40</v>
      </c>
      <c r="H10" s="65"/>
      <c r="I10" s="64">
        <f>H15+$D$8</f>
        <v>60</v>
      </c>
      <c r="J10" s="65"/>
      <c r="K10" s="64">
        <f>J15+$D$8</f>
        <v>80</v>
      </c>
      <c r="L10" s="65"/>
      <c r="M10" s="64">
        <f>L15+$D$8</f>
        <v>100</v>
      </c>
      <c r="N10" s="65"/>
      <c r="O10" s="64">
        <f>N15+$D$8</f>
        <v>120</v>
      </c>
      <c r="P10" s="65"/>
    </row>
    <row r="11" spans="1:16" x14ac:dyDescent="0.25">
      <c r="C11" s="67" t="s">
        <v>11</v>
      </c>
      <c r="D11" s="37">
        <f>D6*-1</f>
        <v>-15000</v>
      </c>
      <c r="E11" s="32">
        <f>D6</f>
        <v>15000</v>
      </c>
      <c r="F11" s="38">
        <f>D7</f>
        <v>20</v>
      </c>
      <c r="G11" s="30"/>
      <c r="H11" s="38">
        <f>H12*$E$11*$B$3</f>
        <v>72</v>
      </c>
      <c r="I11" s="30"/>
      <c r="J11" s="38">
        <f>J12*$E$11*$B$3</f>
        <v>234</v>
      </c>
      <c r="K11" s="30"/>
      <c r="L11" s="38">
        <f>L12*$E$11*$B$3</f>
        <v>666</v>
      </c>
      <c r="M11" s="30"/>
      <c r="N11" s="38">
        <f>N12*$E$11*$B$3</f>
        <v>1872</v>
      </c>
      <c r="O11" s="30"/>
      <c r="P11" s="38">
        <f>P12*$E$11*$B$3</f>
        <v>5238</v>
      </c>
    </row>
    <row r="12" spans="1:16" x14ac:dyDescent="0.25">
      <c r="C12" s="68"/>
      <c r="D12" s="37">
        <f>D5*-1</f>
        <v>-10000</v>
      </c>
      <c r="F12" s="44">
        <f>ROUND(F11/(E11*B3),2)</f>
        <v>0.01</v>
      </c>
      <c r="G12" s="30">
        <f>G13*$D$12*$B$3</f>
        <v>-24</v>
      </c>
      <c r="H12" s="44">
        <f>ROUND((G10-G12-F13)/(E11*B3),2)</f>
        <v>0.04</v>
      </c>
      <c r="I12" s="30">
        <f>I13*$D$12*$B$3</f>
        <v>-84.000000000000014</v>
      </c>
      <c r="J12" s="44">
        <f>ROUND((I10-I12-H13-G12-F13)/($E$11*$B$3),2)</f>
        <v>0.13</v>
      </c>
      <c r="K12" s="30">
        <f>K13*$D$12*$B$3</f>
        <v>-264</v>
      </c>
      <c r="L12" s="44">
        <f>ROUND((K10-K12-J13-I12-H13-G12-F13)/($E$11*$B$3),2)</f>
        <v>0.37</v>
      </c>
      <c r="M12" s="30">
        <f>M13*$D$12*$B$3</f>
        <v>-744</v>
      </c>
      <c r="N12" s="44">
        <f>ROUND((M10-M12-L13-K12-J13-I12-H13-G12-F13)/($E$11*$B$3),2)</f>
        <v>1.04</v>
      </c>
      <c r="O12" s="30">
        <f>O13*$D$12*$B$3</f>
        <v>-2088</v>
      </c>
      <c r="P12" s="44">
        <f>ROUND((O10-O12-N13-M12-L13-K12-J13-I12-H13-G12-F13)/($E$11*$B$3),2)</f>
        <v>2.91</v>
      </c>
    </row>
    <row r="13" spans="1:16" x14ac:dyDescent="0.25">
      <c r="C13" s="68"/>
      <c r="D13" s="36">
        <f>D12</f>
        <v>-10000</v>
      </c>
      <c r="F13" s="33">
        <f>F12*$D$13*$B$3</f>
        <v>-12</v>
      </c>
      <c r="G13" s="41">
        <f>ROUND((F15-F13)/($E$14*$B$3),2)</f>
        <v>0.02</v>
      </c>
      <c r="H13" s="33">
        <f>H12*$D$13*$B$3</f>
        <v>-48</v>
      </c>
      <c r="I13" s="41">
        <f>ROUND((H15-H13-G12-F13)/($E$14*$B$3),2)</f>
        <v>7.0000000000000007E-2</v>
      </c>
      <c r="J13" s="33">
        <f>J12*$D$13*$B$3</f>
        <v>-156</v>
      </c>
      <c r="K13" s="41">
        <f>ROUND((J15-J13-I12-H13-G12-F13)/($E$14*$B$3),2)</f>
        <v>0.22</v>
      </c>
      <c r="L13" s="38">
        <f>L12*$D$13*$B$3</f>
        <v>-444</v>
      </c>
      <c r="M13" s="41">
        <f>ROUND((L15-L13-K12-J13-I12-H13-G12-F13)/($E$14*$B$3),2)</f>
        <v>0.62</v>
      </c>
      <c r="N13" s="38">
        <f>N12*$D$13*$B$3</f>
        <v>-1248</v>
      </c>
      <c r="O13" s="41">
        <f>ROUND((N15-N13-M12-L13-K12-J13-I12-H13-G12-F13)/($E$14*$B$3), 2)</f>
        <v>1.74</v>
      </c>
      <c r="P13" s="38">
        <f>P12*$D$13*$B$3</f>
        <v>-3492</v>
      </c>
    </row>
    <row r="14" spans="1:16" ht="15.75" thickBot="1" x14ac:dyDescent="0.3">
      <c r="C14" s="69"/>
      <c r="D14" s="36">
        <f>D11</f>
        <v>-15000</v>
      </c>
      <c r="E14" s="34">
        <f>D6</f>
        <v>15000</v>
      </c>
      <c r="F14" s="33"/>
      <c r="G14" s="30">
        <f>G13*$E$14*$B$3</f>
        <v>36</v>
      </c>
      <c r="H14" s="35"/>
      <c r="I14" s="30">
        <f>I13*$E$14*$B$3</f>
        <v>126</v>
      </c>
      <c r="J14" s="35"/>
      <c r="K14" s="30">
        <f>K13*$E$14*$B$3</f>
        <v>396</v>
      </c>
      <c r="L14" s="35"/>
      <c r="M14" s="30">
        <f>M13*$E$14*$B$3</f>
        <v>1116</v>
      </c>
      <c r="N14" s="35"/>
      <c r="O14" s="30">
        <f>O13*$E$14*$B$3</f>
        <v>3132</v>
      </c>
      <c r="P14" s="35"/>
    </row>
    <row r="15" spans="1:16" x14ac:dyDescent="0.25">
      <c r="F15" s="70">
        <f>F11+$D$8</f>
        <v>30</v>
      </c>
      <c r="G15" s="71"/>
      <c r="H15" s="70">
        <f>G10+D8</f>
        <v>50</v>
      </c>
      <c r="I15" s="71"/>
      <c r="J15" s="70">
        <f>I10+$D$8</f>
        <v>70</v>
      </c>
      <c r="K15" s="71"/>
      <c r="L15" s="70">
        <f>K10+$D$8</f>
        <v>90</v>
      </c>
      <c r="M15" s="71"/>
      <c r="N15" s="70">
        <f>M10+$D$8</f>
        <v>110</v>
      </c>
      <c r="O15" s="71"/>
    </row>
    <row r="16" spans="1:16" x14ac:dyDescent="0.25"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8" spans="6:16" ht="16.5" x14ac:dyDescent="0.25">
      <c r="J18" s="49" t="s">
        <v>14</v>
      </c>
      <c r="K18" s="49" t="s">
        <v>15</v>
      </c>
      <c r="L18" s="49" t="s">
        <v>16</v>
      </c>
      <c r="M18" s="49" t="s">
        <v>17</v>
      </c>
      <c r="N18" s="49" t="s">
        <v>18</v>
      </c>
      <c r="O18" s="49" t="s">
        <v>19</v>
      </c>
      <c r="P18" s="49" t="s">
        <v>20</v>
      </c>
    </row>
    <row r="19" spans="6:16" x14ac:dyDescent="0.25">
      <c r="I19" s="50" t="s">
        <v>21</v>
      </c>
      <c r="J19" s="46">
        <f>SUM($F$13:$F$14,$G$11:$G$12,$H$13:$H$14,$I$11:$I$12,$J$13:$J$14)/2*-1</f>
        <v>162</v>
      </c>
      <c r="K19" s="47">
        <f>SUM($F$13:$F$14,$G$11:$G$12,$H$13:$H$14,$I$11:$I$12,$J$13:$J$14,$K$11:$K$12)/2*-1</f>
        <v>294</v>
      </c>
      <c r="L19" s="47">
        <f>SUM($F$13:$F$14,$G$11:$G$12,$H$13:$H$14,$I$11:$I$12,$J$13:$J$14,$K$11:$K$12,$L$13:$L$14)/2*-1</f>
        <v>516</v>
      </c>
      <c r="M19" s="47">
        <f>SUM($F$13:$F$14,$G$11:$G$12,$H$13:$H$14,$I$11:$I$12,$J$13:$J$14,$K$11:$K$12,$L$13:$L$14,$M$11:$M$12)/2*-1</f>
        <v>888</v>
      </c>
      <c r="N19" s="47">
        <f>SUM($F$13:$F$14,$G$11:$G$12,$H$13:$H$14,$I$11:$I$12,$J$13:$J$14,$K$11:$K$12,$L$13:$L$14,$M$11:$M$12,$N$13:$N$14)/2*-1</f>
        <v>1512</v>
      </c>
      <c r="O19" s="47">
        <f>SUM($F$13:$F$14,$G$11:$G$12,$H$13:$H$14,$I$11:$I$12,$J$13:$J$14,$K$11:$K$12,$L$13:$L$14,$M$11:$M$12,$N$13:$N$14,$O$11:$O$12)/2*-1</f>
        <v>2556</v>
      </c>
      <c r="P19" s="48">
        <f>SUM($F$13:$F$14,$G$11:$G$12,$H$13:$H$14,$I$11:$I$12,$J$13:$J$14,$K$11:$K$12,$L$13:$L$14,$M$11:$M$12,$N$13:$N$14,$O$11:$O$12,$P$13:$P$14)/2*-1</f>
        <v>4302</v>
      </c>
    </row>
    <row r="20" spans="6:16" x14ac:dyDescent="0.25">
      <c r="J20" s="45"/>
    </row>
    <row r="22" spans="6:16" x14ac:dyDescent="0.25">
      <c r="F22" s="40">
        <f>ROUND(F12,2)</f>
        <v>0.01</v>
      </c>
      <c r="G22" s="41">
        <f>ROUND(G13,2)</f>
        <v>0.02</v>
      </c>
      <c r="H22" s="40">
        <f>ROUND(H12,2)</f>
        <v>0.04</v>
      </c>
      <c r="I22" s="40">
        <f>ROUND(I13,2)</f>
        <v>7.0000000000000007E-2</v>
      </c>
      <c r="J22" s="40">
        <f t="shared" ref="J22:N22" si="0">ROUND(J12,2)</f>
        <v>0.13</v>
      </c>
      <c r="K22" s="40">
        <f>ROUND(K13,2)</f>
        <v>0.22</v>
      </c>
      <c r="L22" s="40">
        <f t="shared" si="0"/>
        <v>0.37</v>
      </c>
      <c r="M22" s="40">
        <f>ROUND(M13,2)</f>
        <v>0.62</v>
      </c>
      <c r="N22" s="40">
        <f t="shared" si="0"/>
        <v>1.04</v>
      </c>
      <c r="O22" s="41">
        <f>ROUND(O13,2)</f>
        <v>1.74</v>
      </c>
      <c r="P22" s="41">
        <f>ROUND(P12,2)</f>
        <v>2.91</v>
      </c>
    </row>
    <row r="24" spans="6:16" x14ac:dyDescent="0.25">
      <c r="F24" t="str">
        <f>_xlfn.TEXTJOIN(", ",,F22:P22)</f>
        <v>0.01, 0.02, 0.04, 0.07, 0.13, 0.22, 0.37, 0.62, 1.04, 1.74, 2.91</v>
      </c>
    </row>
  </sheetData>
  <mergeCells count="15">
    <mergeCell ref="O10:P10"/>
    <mergeCell ref="C11:C14"/>
    <mergeCell ref="F15:G15"/>
    <mergeCell ref="H15:I15"/>
    <mergeCell ref="J15:K15"/>
    <mergeCell ref="L15:M15"/>
    <mergeCell ref="N15:O15"/>
    <mergeCell ref="F1:J2"/>
    <mergeCell ref="K4:M4"/>
    <mergeCell ref="K5:M5"/>
    <mergeCell ref="G10:H10"/>
    <mergeCell ref="I10:J10"/>
    <mergeCell ref="K10:L10"/>
    <mergeCell ref="M10:N10"/>
    <mergeCell ref="F3:J3"/>
  </mergeCells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C7E2-712B-4AF9-90CD-BF9A29AD6CB2}">
  <dimension ref="A1:Z48"/>
  <sheetViews>
    <sheetView tabSelected="1"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26.42578125" bestFit="1" customWidth="1"/>
    <col min="4" max="4" width="11.5703125" bestFit="1" customWidth="1"/>
    <col min="5" max="5" width="10.42578125" bestFit="1" customWidth="1"/>
    <col min="6" max="6" width="9.28515625" bestFit="1" customWidth="1"/>
    <col min="7" max="7" width="11.7109375" customWidth="1"/>
    <col min="8" max="8" width="12" customWidth="1"/>
    <col min="9" max="9" width="16.4257812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5" width="10.5703125" bestFit="1" customWidth="1"/>
    <col min="16" max="16" width="11.5703125" bestFit="1" customWidth="1"/>
    <col min="17" max="17" width="13.28515625" bestFit="1" customWidth="1"/>
    <col min="18" max="19" width="10.5703125" bestFit="1" customWidth="1"/>
    <col min="20" max="21" width="11.5703125" bestFit="1" customWidth="1"/>
    <col min="22" max="25" width="10.5703125" bestFit="1" customWidth="1"/>
    <col min="26" max="26" width="11.5703125" bestFit="1" customWidth="1"/>
  </cols>
  <sheetData>
    <row r="1" spans="1:26" x14ac:dyDescent="0.25">
      <c r="B1" t="s">
        <v>0</v>
      </c>
      <c r="F1" s="72" t="s">
        <v>12</v>
      </c>
      <c r="G1" s="73"/>
      <c r="H1" s="73"/>
      <c r="I1" s="73"/>
      <c r="J1" s="74"/>
    </row>
    <row r="2" spans="1:26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26" x14ac:dyDescent="0.25">
      <c r="A3" t="s">
        <v>9</v>
      </c>
      <c r="B3">
        <v>0.12</v>
      </c>
      <c r="F3" s="80" t="s">
        <v>33</v>
      </c>
      <c r="G3" s="81"/>
      <c r="H3" s="81"/>
      <c r="I3" s="81"/>
      <c r="J3" s="82"/>
    </row>
    <row r="4" spans="1:26" x14ac:dyDescent="0.25">
      <c r="C4" s="5"/>
    </row>
    <row r="5" spans="1:26" x14ac:dyDescent="0.25">
      <c r="C5" s="55" t="s">
        <v>4</v>
      </c>
      <c r="D5" s="53">
        <f>E5*1000</f>
        <v>10000</v>
      </c>
      <c r="E5" s="14">
        <v>10</v>
      </c>
      <c r="J5" s="52"/>
      <c r="K5" s="58"/>
      <c r="L5" s="45"/>
      <c r="M5" s="58"/>
    </row>
    <row r="6" spans="1:26" x14ac:dyDescent="0.25">
      <c r="C6" s="15" t="s">
        <v>10</v>
      </c>
      <c r="D6" s="25">
        <f>E6*1000</f>
        <v>20000</v>
      </c>
      <c r="E6" s="54">
        <v>20</v>
      </c>
    </row>
    <row r="7" spans="1:26" x14ac:dyDescent="0.25">
      <c r="C7" s="15" t="s">
        <v>13</v>
      </c>
      <c r="D7" s="26">
        <v>25</v>
      </c>
      <c r="G7" s="56"/>
      <c r="S7" s="42"/>
    </row>
    <row r="8" spans="1:26" x14ac:dyDescent="0.25">
      <c r="C8" s="15" t="s">
        <v>23</v>
      </c>
      <c r="D8" s="57">
        <v>300</v>
      </c>
      <c r="S8" s="59"/>
    </row>
    <row r="9" spans="1:26" x14ac:dyDescent="0.25"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14</v>
      </c>
      <c r="T9">
        <v>15</v>
      </c>
      <c r="U9">
        <v>16</v>
      </c>
      <c r="V9">
        <v>17</v>
      </c>
      <c r="W9">
        <v>18</v>
      </c>
      <c r="X9">
        <v>19</v>
      </c>
      <c r="Y9">
        <v>20</v>
      </c>
      <c r="Z9">
        <v>21</v>
      </c>
    </row>
    <row r="10" spans="1:26" ht="15.75" thickBot="1" x14ac:dyDescent="0.3">
      <c r="G10" s="64">
        <f>$F$15</f>
        <v>25</v>
      </c>
      <c r="H10" s="65"/>
      <c r="I10" s="64">
        <f t="shared" ref="I10" si="0">$F$15</f>
        <v>25</v>
      </c>
      <c r="J10" s="65"/>
      <c r="K10" s="64">
        <f>$F$15</f>
        <v>25</v>
      </c>
      <c r="L10" s="65"/>
      <c r="M10" s="64">
        <f t="shared" ref="M10" si="1">$F$15</f>
        <v>25</v>
      </c>
      <c r="N10" s="65"/>
      <c r="O10" s="64">
        <f t="shared" ref="O10" si="2">$F$15</f>
        <v>25</v>
      </c>
      <c r="P10" s="65"/>
      <c r="Q10" s="64">
        <f>$F$15</f>
        <v>25</v>
      </c>
      <c r="R10" s="65"/>
      <c r="S10" s="64">
        <f>$F$15</f>
        <v>25</v>
      </c>
      <c r="T10" s="65"/>
      <c r="U10" s="64">
        <f>$F$15</f>
        <v>25</v>
      </c>
      <c r="V10" s="65"/>
      <c r="W10" s="64">
        <f t="shared" ref="W10" si="3">$F$15</f>
        <v>25</v>
      </c>
      <c r="X10" s="65"/>
      <c r="Y10" s="64">
        <f t="shared" ref="Y10" si="4">$F$15</f>
        <v>25</v>
      </c>
      <c r="Z10" s="65"/>
    </row>
    <row r="11" spans="1:26" x14ac:dyDescent="0.25">
      <c r="C11" s="67" t="s">
        <v>11</v>
      </c>
      <c r="D11" s="37">
        <f>D6*-1</f>
        <v>-20000</v>
      </c>
      <c r="E11" s="32">
        <f>D6</f>
        <v>20000</v>
      </c>
      <c r="F11" s="38">
        <f>D7</f>
        <v>25</v>
      </c>
      <c r="G11" s="30"/>
      <c r="H11" s="38">
        <f>H12*$E$11*$B$3</f>
        <v>72</v>
      </c>
      <c r="I11" s="30"/>
      <c r="J11" s="38">
        <f>J12*$E$11*$B$3</f>
        <v>144</v>
      </c>
      <c r="K11" s="30"/>
      <c r="L11" s="38">
        <f>L12*$E$11*$B$3</f>
        <v>336.00000000000006</v>
      </c>
      <c r="M11" s="30"/>
      <c r="N11" s="38">
        <f>N12*$E$11*$B$3</f>
        <v>768</v>
      </c>
      <c r="O11" s="30"/>
      <c r="P11" s="38">
        <f>P12*$E$11*$B$3</f>
        <v>1752</v>
      </c>
      <c r="Q11" s="30"/>
      <c r="R11" s="38">
        <f>R12*$E$11*$B$3</f>
        <v>4032</v>
      </c>
      <c r="S11" s="30"/>
      <c r="T11" s="38">
        <f>T12*$E$11*$B$3</f>
        <v>9240</v>
      </c>
      <c r="U11" s="30"/>
      <c r="V11" s="38">
        <f t="shared" ref="V11" si="5">V12*$E$11*$B$3</f>
        <v>21216</v>
      </c>
      <c r="W11" s="30"/>
      <c r="X11" s="38">
        <f t="shared" ref="X11:Z11" si="6">X12*$E$11*$B$3</f>
        <v>48720</v>
      </c>
      <c r="Y11" s="30"/>
      <c r="Z11" s="38">
        <f t="shared" si="6"/>
        <v>111816.00000000001</v>
      </c>
    </row>
    <row r="12" spans="1:26" x14ac:dyDescent="0.25">
      <c r="C12" s="68"/>
      <c r="D12" s="37">
        <f>D5*-1</f>
        <v>-10000</v>
      </c>
      <c r="F12" s="44">
        <f>ROUND(F11/((E11-D8)*B3),2)</f>
        <v>0.01</v>
      </c>
      <c r="G12" s="30">
        <f>G13*$D$12*$B$3-(G13*$D$8*$B$3)</f>
        <v>-24.72</v>
      </c>
      <c r="H12" s="44">
        <f>ROUND((G10-G12-F13)/(E11*B3),2)</f>
        <v>0.03</v>
      </c>
      <c r="I12" s="30">
        <f>I13*$D$12*$B$3-(I13*$D$8*$B$3)</f>
        <v>-49.44</v>
      </c>
      <c r="J12" s="44">
        <f>ROUND((I10-I12-H13-G12-F13)/($E$11*$B$3),2)</f>
        <v>0.06</v>
      </c>
      <c r="K12" s="30">
        <f>K13*$D$12*$B$3-(K13*$D$8*$B$3)</f>
        <v>-111.24</v>
      </c>
      <c r="L12" s="44">
        <f>ROUND((K10-K12-J13-I12-H13-G12-F13)/($E$11*$B$3),2)</f>
        <v>0.14000000000000001</v>
      </c>
      <c r="M12" s="30">
        <f>M13*$D$12*$B$3-(M13*$D$8*$B$3)</f>
        <v>-259.56</v>
      </c>
      <c r="N12" s="44">
        <f>ROUND((M10-M12-L13-K12-J13-I12-H13-G12-F13)/($E$11*$B$3),2)</f>
        <v>0.32</v>
      </c>
      <c r="O12" s="30">
        <f>O13*$D$12*$B$3-(O13*$D$8*$B$3)</f>
        <v>-593.28</v>
      </c>
      <c r="P12" s="44">
        <f>ROUND((O10-O12-N13-M12-L13-K12-J13-I12-H13-G12-F13)/($E$11*$B$3),2)</f>
        <v>0.73</v>
      </c>
      <c r="Q12" s="30">
        <f>Q13*$D$12*$B$3-(Q13*$D$8*$B$3)</f>
        <v>-1371.9600000000003</v>
      </c>
      <c r="R12" s="44">
        <f>ROUND((Q10-Q12-P13-O12-N13-M12-L13-K12-J13-I12-H13-G12-F13)/($E$11*$B$3),2)</f>
        <v>1.68</v>
      </c>
      <c r="S12" s="30">
        <f>S13*$D$12*$B$3-(S13*$D$8*$B$3)</f>
        <v>-3139.44</v>
      </c>
      <c r="T12" s="44">
        <f>ROUND((S10-S12-R13-Q12-P13-O12-N13-M12-L13-K12-J13-I12-H13-G12-F13)/($E$11*$B$3),2)</f>
        <v>3.85</v>
      </c>
      <c r="U12" s="30">
        <f>U13*$D$12*$B$3-(U13*$D$8*$B$3)</f>
        <v>-7218.24</v>
      </c>
      <c r="V12" s="44">
        <f>ROUND((U10-U12-T13-S12-R13-Q12-P13-O12-N13-M12-L13-K12-J13-I12-H13-G12-F13)/($E$11*$B$3),2)</f>
        <v>8.84</v>
      </c>
      <c r="W12" s="30">
        <f t="shared" ref="W12" si="7">W13*$D$12*$B$3-(W13*$D$8*$B$3)</f>
        <v>-16562.400000000001</v>
      </c>
      <c r="X12" s="44">
        <f>ROUND((W10-W12-V13-U12-T13-S12-R13-Q12-P13-O12-N13-M12-L13-K12-J13-I12-H13-G12-F13)/($E$11*$B$3),2)</f>
        <v>20.3</v>
      </c>
      <c r="Y12" s="30">
        <f t="shared" ref="Y12" si="8">Y13*$D$12*$B$3-(Y13*$D$8*$B$3)</f>
        <v>-38007</v>
      </c>
      <c r="Z12" s="44">
        <f>ROUND((Y10-Y12-X13-W12-V13-U12-T13-S12-R13-Q12-P13-O12-N13-M12-L13-K12-J13-I12-H13-G12-F13)/($E$11*$B$3),2)</f>
        <v>46.59</v>
      </c>
    </row>
    <row r="13" spans="1:26" x14ac:dyDescent="0.25">
      <c r="C13" s="68"/>
      <c r="D13" s="36">
        <f>D12</f>
        <v>-10000</v>
      </c>
      <c r="F13" s="33">
        <f>F12*$D$13*$B$3-(F12*$D$8*$B$3)</f>
        <v>-12.36</v>
      </c>
      <c r="G13" s="41">
        <f>ROUND((F15-F13)/($E$14*$B$3),2)</f>
        <v>0.02</v>
      </c>
      <c r="H13" s="33">
        <f>H12*$D$13*$B$3-(H12*$D$8*$B$3)</f>
        <v>-37.08</v>
      </c>
      <c r="I13" s="41">
        <f>ROUND((H15-H13-G12-F13)/($E$14*$B$3),2)</f>
        <v>0.04</v>
      </c>
      <c r="J13" s="33">
        <f>J12*$D$13*$B$3-(J12*$D$8*$B$3)</f>
        <v>-74.16</v>
      </c>
      <c r="K13" s="41">
        <f>ROUND((J15-J13-I12-H13-G12-F13)/($E$14*$B$3),2)</f>
        <v>0.09</v>
      </c>
      <c r="L13" s="38">
        <f>L12*$D$13*$B$3-(L12*$D$8*$B$3)</f>
        <v>-173.04000000000002</v>
      </c>
      <c r="M13" s="41">
        <f>ROUND((L15-L13-K12-J13-I12-H13-G12-F13)/($E$14*$B$3),2)</f>
        <v>0.21</v>
      </c>
      <c r="N13" s="38">
        <f>N12*$D$13*$B$3-(N12*$D$8*$B$3)</f>
        <v>-395.52</v>
      </c>
      <c r="O13" s="41">
        <f>ROUND((N15-N13-M12-L13-K12-J13-I12-H13-G12-F13)/($E$14*$B$3), 2)</f>
        <v>0.48</v>
      </c>
      <c r="P13" s="38">
        <f>P12*$D$13*$B$3-(P12*$D$8*$B$3)</f>
        <v>-902.28</v>
      </c>
      <c r="Q13" s="41">
        <f>ROUND((P15-P13-O12-N13-M12-L13-K12-J13-I12-H13-G12-F13)/($E$14*$B$3),2)</f>
        <v>1.1100000000000001</v>
      </c>
      <c r="R13" s="38">
        <f>R12*$D$13*$B$3-(R12*$D$8*$B$3)</f>
        <v>-2076.48</v>
      </c>
      <c r="S13" s="41">
        <f>ROUND((R15-R13-Q12-P13-O12-N13-M12-L13-K12-J13-I12-H13-G12-F13)/($E$14*$B$3),2)</f>
        <v>2.54</v>
      </c>
      <c r="T13" s="38">
        <f>T12*$D$13*$B$3-(T12*$D$8*$B$3)</f>
        <v>-4758.6000000000004</v>
      </c>
      <c r="U13" s="41">
        <f>ROUND((T15-T13-S12-R13-Q12-P13-O12-N13-M12-L13-K12-J13-I12-H13-G12-F13)/($E$14*$B$3),2)</f>
        <v>5.84</v>
      </c>
      <c r="V13" s="38">
        <f t="shared" ref="V13" si="9">V12*$D$13*$B$3-(V12*$D$8*$B$3)</f>
        <v>-10926.24</v>
      </c>
      <c r="W13" s="41">
        <f>ROUND((V15-V13-U12-T13-S12-R13-Q12-P13-O12-N13-M12-L13-K12-J13-I12-H13-G12-F13)/($E$14*$B$3),2)</f>
        <v>13.4</v>
      </c>
      <c r="X13" s="38">
        <f t="shared" ref="X13:Z13" si="10">X12*$D$13*$B$3-(X12*$D$8*$B$3)</f>
        <v>-25090.799999999999</v>
      </c>
      <c r="Y13" s="41">
        <f>ROUND((X15-X13-W12-V13-U12-T13-S12-R13-Q12-P13-O12-N13-M12-L13-K12-J13-I12-H13-G12-F13)/($E$14*$B$3),2)</f>
        <v>30.75</v>
      </c>
      <c r="Z13" s="38">
        <f t="shared" si="10"/>
        <v>-57585.240000000005</v>
      </c>
    </row>
    <row r="14" spans="1:26" ht="15.75" thickBot="1" x14ac:dyDescent="0.3">
      <c r="C14" s="69"/>
      <c r="D14" s="36">
        <f>D11</f>
        <v>-20000</v>
      </c>
      <c r="E14" s="34">
        <f>D6</f>
        <v>20000</v>
      </c>
      <c r="F14" s="33"/>
      <c r="G14" s="30">
        <f>G13*$E$14*$B$3</f>
        <v>48</v>
      </c>
      <c r="H14" s="35"/>
      <c r="I14" s="30">
        <f>I13*$E$14*$B$3</f>
        <v>96</v>
      </c>
      <c r="J14" s="35"/>
      <c r="K14" s="30">
        <f>K13*$E$14*$B$3</f>
        <v>216</v>
      </c>
      <c r="L14" s="35"/>
      <c r="M14" s="30">
        <f>M13*$E$14*$B$3</f>
        <v>504</v>
      </c>
      <c r="N14" s="35"/>
      <c r="O14" s="30">
        <f>O13*$E$14*$B$3</f>
        <v>1152</v>
      </c>
      <c r="P14" s="35"/>
      <c r="Q14" s="30">
        <f>Q13*$E$14*$B$3</f>
        <v>2664.0000000000005</v>
      </c>
      <c r="R14" s="35"/>
      <c r="S14" s="30">
        <f>S13*$E$14*$B$3</f>
        <v>6096</v>
      </c>
      <c r="T14" s="35"/>
      <c r="U14" s="30">
        <f>U13*$E$14*$B$3</f>
        <v>14016</v>
      </c>
      <c r="V14" s="35"/>
      <c r="W14" s="30">
        <f t="shared" ref="W14" si="11">W13*$E$14*$B$3</f>
        <v>32160</v>
      </c>
      <c r="X14" s="35"/>
      <c r="Y14" s="30">
        <f t="shared" ref="Y14" si="12">Y13*$E$14*$B$3</f>
        <v>73800</v>
      </c>
      <c r="Z14" s="35"/>
    </row>
    <row r="15" spans="1:26" x14ac:dyDescent="0.25">
      <c r="F15" s="70">
        <f>$F$11</f>
        <v>25</v>
      </c>
      <c r="G15" s="71"/>
      <c r="H15" s="70">
        <f t="shared" ref="H15" si="13">$F$11</f>
        <v>25</v>
      </c>
      <c r="I15" s="71"/>
      <c r="J15" s="70">
        <f t="shared" ref="J15" si="14">$F$11</f>
        <v>25</v>
      </c>
      <c r="K15" s="71"/>
      <c r="L15" s="70">
        <f t="shared" ref="L15" si="15">$F$11</f>
        <v>25</v>
      </c>
      <c r="M15" s="71"/>
      <c r="N15" s="70">
        <f t="shared" ref="N15:X15" si="16">$F$11</f>
        <v>25</v>
      </c>
      <c r="O15" s="71"/>
      <c r="P15" s="70">
        <f t="shared" si="16"/>
        <v>25</v>
      </c>
      <c r="Q15" s="71"/>
      <c r="R15" s="70">
        <f t="shared" si="16"/>
        <v>25</v>
      </c>
      <c r="S15" s="71"/>
      <c r="T15" s="70">
        <f t="shared" si="16"/>
        <v>25</v>
      </c>
      <c r="U15" s="71"/>
      <c r="V15" s="70">
        <f t="shared" si="16"/>
        <v>25</v>
      </c>
      <c r="W15" s="71"/>
      <c r="X15" s="70">
        <f t="shared" si="16"/>
        <v>25</v>
      </c>
      <c r="Y15" s="71"/>
    </row>
    <row r="16" spans="1:26" x14ac:dyDescent="0.25"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8" spans="4:26" ht="16.5" x14ac:dyDescent="0.25">
      <c r="F18">
        <f>(F15-F13)/($E$14*$B$3)</f>
        <v>1.5566666666666666E-2</v>
      </c>
      <c r="J18" s="49" t="s">
        <v>14</v>
      </c>
      <c r="K18" s="49" t="s">
        <v>15</v>
      </c>
      <c r="L18" s="49" t="s">
        <v>16</v>
      </c>
      <c r="M18" s="49" t="s">
        <v>17</v>
      </c>
      <c r="N18" s="49" t="s">
        <v>18</v>
      </c>
      <c r="O18" s="49" t="s">
        <v>19</v>
      </c>
      <c r="P18" s="49" t="s">
        <v>20</v>
      </c>
      <c r="Q18" s="49" t="s">
        <v>27</v>
      </c>
      <c r="R18" s="49" t="s">
        <v>32</v>
      </c>
      <c r="S18" s="49" t="s">
        <v>35</v>
      </c>
      <c r="T18" s="49" t="s">
        <v>36</v>
      </c>
      <c r="U18" s="49" t="s">
        <v>31</v>
      </c>
      <c r="V18" s="49" t="s">
        <v>44</v>
      </c>
      <c r="W18" s="49" t="s">
        <v>45</v>
      </c>
      <c r="X18" s="49" t="s">
        <v>46</v>
      </c>
      <c r="Y18" s="49" t="s">
        <v>47</v>
      </c>
      <c r="Z18" s="49" t="s">
        <v>48</v>
      </c>
    </row>
    <row r="19" spans="4:26" x14ac:dyDescent="0.25">
      <c r="F19" s="56">
        <f>F11/((E11-D8)*B3)</f>
        <v>1.0575296108291032E-2</v>
      </c>
      <c r="I19" s="50" t="s">
        <v>21</v>
      </c>
      <c r="J19" s="46">
        <f>SUM($F$13:$F$14,$G$11:$G$12,$H$13:$H$14,$I$11:$I$12,$J$13:$J$14)/2*-1</f>
        <v>98.88</v>
      </c>
      <c r="K19" s="47">
        <f>SUM($F$13:$F$14,$G$11:$G$12,$H$13:$H$14,$I$11:$I$12,$J$13:$J$14,$K$11:$K$12)/2*-1</f>
        <v>154.5</v>
      </c>
      <c r="L19" s="47">
        <f>SUM($F$13:$F$14,$G$11:$G$12,$H$13:$H$14,$I$11:$I$12,$J$13:$J$14,$K$11:$K$12,$L$13:$L$14)/2*-1</f>
        <v>241.02</v>
      </c>
      <c r="M19" s="47">
        <f>SUM($F$13:$F$14,$G$11:$G$12,$H$13:$H$14,$I$11:$I$12,$J$13:$J$14,$K$11:$K$12,$L$13:$L$14,$M$11:$M$12)/2*-1</f>
        <v>370.8</v>
      </c>
      <c r="N19" s="47">
        <f>SUM($F$13:$F$14,$G$11:$G$12,$H$13:$H$14,$I$11:$I$12,$J$13:$J$14,$K$11:$K$12,$L$13:$L$14,$M$11:$M$12,$N$13:$N$14)/2*-1</f>
        <v>568.55999999999995</v>
      </c>
      <c r="O19" s="47">
        <f>SUM($F$13:$F$14,$G$11:$G$12,$H$13:$H$14,$I$11:$I$12,$J$13:$J$14,$K$11:$K$12,$L$13:$L$14,$M$11:$M$12,$N$13:$N$14,$O$11:$O$12)/2*-1</f>
        <v>865.19999999999993</v>
      </c>
      <c r="P19" s="48">
        <f>SUM($F$13:$F$14,$G$11:$G$12,$H$13:$H$14,$I$11:$I$12,$J$13:$J$14,$K$11:$K$12,$L$13:$L$14,$M$11:$M$12,$N$13:$N$14,$O$11:$O$12,$P$13:$P$14)/2*-1</f>
        <v>1316.34</v>
      </c>
      <c r="Q19" s="47">
        <f>SUM($F$13:$F$14,$G$11:$G$12,$H$13:$H$14,$I$11:$I$12,$J$13:$J$14,$K$11:$K$12,$L$13:$L$14,$M$11:$M$12,$N$13:$N$14,$O$11:$O$12,P13,Q12)/2*-1</f>
        <v>2002.3200000000002</v>
      </c>
      <c r="R19" s="60">
        <f>SUM($F$13:$F$14,$G$11:$G$12,$H$13:$H$14,$I$11:$I$12,$J$13:$J$14,$K$11:$K$12,$L$13:$L$14,$M$11:$M$12,$N$13:$N$14,$O$11:$O$12,$P$13:$P$14,Q12,R13)/2*-1</f>
        <v>3040.5600000000004</v>
      </c>
      <c r="S19" s="60">
        <f>SUM($F$13:$F$14,$G$11:$G$12,$H$13:$H$14,$I$11:$I$12,$J$13:$J$14,$K$11:$K$12,$L$13:$L$14,$M$11:$M$12,$N$13:$N$14,$O$11:$O$12,R13,S12,Q12,P13)/2*-1</f>
        <v>4610.2800000000007</v>
      </c>
      <c r="T19" s="48">
        <f>SUM($F$13:$F$14,$G$11:$G$12,$H$13:$H$14,$I$11:$I$12,$J$13:$J$14,$K$11:$K$12,$L$13:$L$14,$M$11:$M$12,$N$13:$N$14,$O$11:$O$12,$P$13:$P$14,S12,T13,R13,Q12)/2*-1</f>
        <v>6989.5800000000008</v>
      </c>
      <c r="U19" s="60">
        <f>SUM($F$13:$F$14,$G$11:$G$12,$H$13:$H$14,$I$11:$I$12,$J$13:$J$14,$K$11:$K$12,$L$13:$L$14,$M$11:$M$12,$N$13:$N$14,$O$11:$O$12,T13,U12,S12,R13,Q12,P13)/2*-1</f>
        <v>10598.699999999999</v>
      </c>
      <c r="V19" s="60">
        <f>SUM($F$13:$F$14,$G$11:$G$12,$H$13:$H$14,$I$11:$I$12,$J$13:$J$14,$K$11:$K$12,$L$13:$L$14,$M$11:$M$12,$N$13:$N$14,$O$11:$O$12,$P$13:$P$14,U12,V13,Q12,R13,S12,T13)/2*-1</f>
        <v>16061.82</v>
      </c>
      <c r="W19" s="60">
        <f>SUM($F$13:$F$14,$G$11:$G$12,$H$13:$H$14,$I$11:$I$12,$J$13:$J$14,$K$11:$K$12,$L$13:$L$14,$M$11:$M$12,$N$13:$N$14,$O$11:$O$12,V13,W12,U12,T13,S12,R13,Q12,P13)/2*-1</f>
        <v>24343.02</v>
      </c>
      <c r="X19" s="48">
        <f>SUM($F$13:$F$14,$G$11:$G$12,$H$13:$H$14,$I$11:$I$12,$J$13:$J$14,$K$11:$K$12,$L$13:$L$14,$M$11:$M$12,$N$13:$N$14,$O$11:$O$12,$P$13:$P$14,W12,X13,V13,U12,T13,S12,R13,Q12)/2*-1</f>
        <v>36888.420000000006</v>
      </c>
      <c r="Y19" s="60">
        <f>SUM($F$13:$F$14,$G$11:$G$12,$H$13:$H$14,$I$11:$I$12,$J$13:$J$14,$K$11:$K$12,$L$13:$L$14,$M$11:$M$12,$N$13:$N$14,$O$11:$O$12,X13,Y12,W12,V13,U12,T13,S12,R13,Q12,P13)/2*-1</f>
        <v>55891.920000000013</v>
      </c>
      <c r="Z19" s="60">
        <f>SUM($F$13:$F$14,$G$11:$G$12,$H$13:$H$14,$I$11:$I$12,$J$13:$J$14,$K$11:$K$12,$L$13:$L$14,$M$11:$M$12,$N$13:$N$14,$O$11:$O$12,$P$13:$P$14,Y12,Z13,X13,W12,V13,U12,T13,S12,R13,Q12)/2*-1</f>
        <v>84684.540000000008</v>
      </c>
    </row>
    <row r="20" spans="4:26" x14ac:dyDescent="0.25">
      <c r="J20" s="45"/>
    </row>
    <row r="22" spans="4:26" x14ac:dyDescent="0.25">
      <c r="D22" s="83" t="s">
        <v>26</v>
      </c>
      <c r="E22" s="84"/>
      <c r="F22" s="40">
        <f>ROUND(F12,2)</f>
        <v>0.01</v>
      </c>
      <c r="G22" s="41">
        <f>ROUND(G13,2)</f>
        <v>0.02</v>
      </c>
      <c r="H22" s="40">
        <f>ROUND(H12,2)</f>
        <v>0.03</v>
      </c>
      <c r="I22" s="40">
        <f>ROUND(I13,2)</f>
        <v>0.04</v>
      </c>
      <c r="J22" s="40">
        <f t="shared" ref="J22:N22" si="17">ROUND(J12,2)</f>
        <v>0.06</v>
      </c>
      <c r="K22" s="40">
        <f>ROUND(K13,2)</f>
        <v>0.09</v>
      </c>
      <c r="L22" s="40">
        <f t="shared" si="17"/>
        <v>0.14000000000000001</v>
      </c>
      <c r="M22" s="40">
        <f>ROUND(M13,2)</f>
        <v>0.21</v>
      </c>
      <c r="N22" s="40">
        <f t="shared" si="17"/>
        <v>0.32</v>
      </c>
      <c r="O22" s="41">
        <f>ROUND(O13,2)</f>
        <v>0.48</v>
      </c>
      <c r="P22" s="41">
        <f>ROUND(P12,2)</f>
        <v>0.73</v>
      </c>
      <c r="Q22" s="41">
        <f>ROUND(Q13,2)</f>
        <v>1.1100000000000001</v>
      </c>
      <c r="R22" s="41">
        <f>ROUND(R12,2)</f>
        <v>1.68</v>
      </c>
      <c r="S22" s="41">
        <f>ROUND(S13,2)</f>
        <v>2.54</v>
      </c>
      <c r="T22" s="41">
        <f>ROUND(T12,2)</f>
        <v>3.85</v>
      </c>
      <c r="U22" s="41">
        <f>ROUND(U13,2)</f>
        <v>5.84</v>
      </c>
      <c r="V22" s="41">
        <f t="shared" ref="V22" si="18">ROUND(V12,2)</f>
        <v>8.84</v>
      </c>
      <c r="W22" s="41">
        <f t="shared" ref="W22" si="19">ROUND(W13,2)</f>
        <v>13.4</v>
      </c>
      <c r="X22" s="41">
        <f t="shared" ref="X22" si="20">ROUND(X12,2)</f>
        <v>20.3</v>
      </c>
      <c r="Y22" s="41">
        <f t="shared" ref="Y22" si="21">ROUND(Y13,2)</f>
        <v>30.75</v>
      </c>
      <c r="Z22" s="41">
        <f t="shared" ref="Z22" si="22">ROUND(Z12,2)</f>
        <v>46.59</v>
      </c>
    </row>
    <row r="23" spans="4:26" x14ac:dyDescent="0.25">
      <c r="D23" s="85"/>
      <c r="E23" s="86"/>
    </row>
    <row r="24" spans="4:26" x14ac:dyDescent="0.25">
      <c r="F24" t="str">
        <f>_xlfn.TEXTJOIN(", ",,F22:Z22)</f>
        <v>0.01, 0.02, 0.03, 0.04, 0.06, 0.09, 0.14, 0.21, 0.32, 0.48, 0.73, 1.11, 1.68, 2.54, 3.85, 5.84, 8.84, 13.4, 20.3, 30.75, 46.59</v>
      </c>
    </row>
    <row r="27" spans="4:26" x14ac:dyDescent="0.25">
      <c r="D27" s="63" t="s">
        <v>49</v>
      </c>
      <c r="E27" s="63" t="s">
        <v>50</v>
      </c>
      <c r="F27" s="63" t="s">
        <v>51</v>
      </c>
      <c r="G27" s="63" t="s">
        <v>52</v>
      </c>
    </row>
    <row r="28" spans="4:26" x14ac:dyDescent="0.25">
      <c r="D28">
        <v>1</v>
      </c>
      <c r="E28" cm="1">
        <f t="array" ref="E28:E48">TRANSPOSE(F22:Z22)</f>
        <v>0.01</v>
      </c>
      <c r="F28" s="42">
        <f>F13</f>
        <v>-12.36</v>
      </c>
      <c r="G28" s="62">
        <f>F11</f>
        <v>25</v>
      </c>
    </row>
    <row r="29" spans="4:26" x14ac:dyDescent="0.25">
      <c r="D29">
        <v>2</v>
      </c>
      <c r="E29">
        <v>0.02</v>
      </c>
      <c r="F29">
        <f>G12</f>
        <v>-24.72</v>
      </c>
      <c r="G29">
        <f>G14</f>
        <v>48</v>
      </c>
    </row>
    <row r="30" spans="4:26" x14ac:dyDescent="0.25">
      <c r="D30">
        <v>3</v>
      </c>
      <c r="E30">
        <v>0.03</v>
      </c>
      <c r="F30" s="42">
        <f>H13</f>
        <v>-37.08</v>
      </c>
      <c r="G30" s="62">
        <f>H11</f>
        <v>72</v>
      </c>
    </row>
    <row r="31" spans="4:26" x14ac:dyDescent="0.25">
      <c r="D31">
        <v>4</v>
      </c>
      <c r="E31">
        <v>0.04</v>
      </c>
      <c r="F31">
        <f>I12</f>
        <v>-49.44</v>
      </c>
      <c r="G31">
        <f>I14</f>
        <v>96</v>
      </c>
      <c r="H31" s="42"/>
    </row>
    <row r="32" spans="4:26" x14ac:dyDescent="0.25">
      <c r="D32">
        <v>5</v>
      </c>
      <c r="E32">
        <v>0.06</v>
      </c>
      <c r="F32" s="42">
        <f>J13</f>
        <v>-74.16</v>
      </c>
      <c r="G32" s="62">
        <f>J11</f>
        <v>144</v>
      </c>
    </row>
    <row r="33" spans="4:8" x14ac:dyDescent="0.25">
      <c r="D33">
        <v>6</v>
      </c>
      <c r="E33">
        <v>0.09</v>
      </c>
      <c r="F33">
        <f>K12</f>
        <v>-111.24</v>
      </c>
      <c r="G33">
        <f>K14</f>
        <v>216</v>
      </c>
    </row>
    <row r="34" spans="4:8" x14ac:dyDescent="0.25">
      <c r="D34">
        <v>7</v>
      </c>
      <c r="E34">
        <v>0.14000000000000001</v>
      </c>
      <c r="F34" s="62">
        <f>L13</f>
        <v>-173.04000000000002</v>
      </c>
      <c r="G34" s="62">
        <f>L11</f>
        <v>336.00000000000006</v>
      </c>
    </row>
    <row r="35" spans="4:8" x14ac:dyDescent="0.25">
      <c r="D35">
        <v>8</v>
      </c>
      <c r="E35">
        <v>0.21</v>
      </c>
      <c r="F35">
        <f>M12</f>
        <v>-259.56</v>
      </c>
      <c r="G35">
        <f>M14</f>
        <v>504</v>
      </c>
    </row>
    <row r="36" spans="4:8" x14ac:dyDescent="0.25">
      <c r="D36">
        <v>9</v>
      </c>
      <c r="E36">
        <v>0.32</v>
      </c>
      <c r="F36" s="62">
        <f>N13</f>
        <v>-395.52</v>
      </c>
      <c r="G36" s="62">
        <f>N11</f>
        <v>768</v>
      </c>
    </row>
    <row r="37" spans="4:8" x14ac:dyDescent="0.25">
      <c r="D37">
        <v>10</v>
      </c>
      <c r="E37">
        <v>0.48</v>
      </c>
      <c r="F37">
        <f>O12</f>
        <v>-593.28</v>
      </c>
      <c r="G37">
        <f>O14</f>
        <v>1152</v>
      </c>
    </row>
    <row r="38" spans="4:8" x14ac:dyDescent="0.25">
      <c r="D38">
        <v>11</v>
      </c>
      <c r="E38">
        <v>0.73</v>
      </c>
      <c r="F38" s="62">
        <f>P13</f>
        <v>-902.28</v>
      </c>
      <c r="G38" s="62">
        <f>P11</f>
        <v>1752</v>
      </c>
    </row>
    <row r="39" spans="4:8" x14ac:dyDescent="0.25">
      <c r="D39">
        <v>12</v>
      </c>
      <c r="E39">
        <v>1.1100000000000001</v>
      </c>
      <c r="F39" s="62">
        <f>Q12</f>
        <v>-1371.9600000000003</v>
      </c>
      <c r="G39">
        <f>Q14</f>
        <v>2664.0000000000005</v>
      </c>
    </row>
    <row r="40" spans="4:8" x14ac:dyDescent="0.25">
      <c r="D40">
        <v>13</v>
      </c>
      <c r="E40">
        <v>1.68</v>
      </c>
      <c r="F40" s="62">
        <f>R13</f>
        <v>-2076.48</v>
      </c>
      <c r="G40" s="62">
        <f>R11</f>
        <v>4032</v>
      </c>
    </row>
    <row r="41" spans="4:8" x14ac:dyDescent="0.25">
      <c r="D41">
        <v>14</v>
      </c>
      <c r="E41">
        <v>2.54</v>
      </c>
      <c r="F41" s="62">
        <f>S12</f>
        <v>-3139.44</v>
      </c>
      <c r="G41">
        <f>S14</f>
        <v>6096</v>
      </c>
    </row>
    <row r="42" spans="4:8" x14ac:dyDescent="0.25">
      <c r="D42">
        <v>15</v>
      </c>
      <c r="E42">
        <v>3.85</v>
      </c>
      <c r="F42" s="62">
        <f>T13</f>
        <v>-4758.6000000000004</v>
      </c>
      <c r="G42" s="62">
        <f>T11</f>
        <v>9240</v>
      </c>
    </row>
    <row r="43" spans="4:8" x14ac:dyDescent="0.25">
      <c r="D43">
        <v>16</v>
      </c>
      <c r="E43">
        <v>5.84</v>
      </c>
      <c r="F43" s="62">
        <f>U12</f>
        <v>-7218.24</v>
      </c>
      <c r="G43">
        <f>U14</f>
        <v>14016</v>
      </c>
    </row>
    <row r="44" spans="4:8" x14ac:dyDescent="0.25">
      <c r="D44">
        <v>17</v>
      </c>
      <c r="E44">
        <v>8.84</v>
      </c>
      <c r="F44" s="62">
        <f>V13</f>
        <v>-10926.24</v>
      </c>
      <c r="G44" s="62">
        <f>V11</f>
        <v>21216</v>
      </c>
    </row>
    <row r="45" spans="4:8" x14ac:dyDescent="0.25">
      <c r="D45">
        <v>18</v>
      </c>
      <c r="E45">
        <v>13.4</v>
      </c>
      <c r="F45" s="62">
        <f>W12</f>
        <v>-16562.400000000001</v>
      </c>
      <c r="G45">
        <f>W14</f>
        <v>32160</v>
      </c>
    </row>
    <row r="46" spans="4:8" x14ac:dyDescent="0.25">
      <c r="D46">
        <v>19</v>
      </c>
      <c r="E46">
        <v>20.3</v>
      </c>
      <c r="F46" s="62">
        <f>X13</f>
        <v>-25090.799999999999</v>
      </c>
      <c r="G46" s="62">
        <f>X11</f>
        <v>48720</v>
      </c>
    </row>
    <row r="47" spans="4:8" x14ac:dyDescent="0.25">
      <c r="D47">
        <v>20</v>
      </c>
      <c r="E47">
        <v>30.75</v>
      </c>
      <c r="F47" s="62">
        <f>Y12</f>
        <v>-38007</v>
      </c>
      <c r="G47" cm="1">
        <f t="array" ref="G47:H47">Y14:Z14</f>
        <v>73800</v>
      </c>
      <c r="H47">
        <v>0</v>
      </c>
    </row>
    <row r="48" spans="4:8" x14ac:dyDescent="0.25">
      <c r="D48">
        <v>21</v>
      </c>
      <c r="E48">
        <v>46.59</v>
      </c>
      <c r="F48" s="62">
        <f>Z13</f>
        <v>-57585.240000000005</v>
      </c>
      <c r="G48" s="62">
        <f>Z11</f>
        <v>111816.00000000001</v>
      </c>
    </row>
  </sheetData>
  <mergeCells count="24">
    <mergeCell ref="W10:X10"/>
    <mergeCell ref="V15:W15"/>
    <mergeCell ref="Y10:Z10"/>
    <mergeCell ref="X15:Y15"/>
    <mergeCell ref="S10:T10"/>
    <mergeCell ref="U10:V10"/>
    <mergeCell ref="R15:S15"/>
    <mergeCell ref="T15:U15"/>
    <mergeCell ref="Q10:R10"/>
    <mergeCell ref="P15:Q15"/>
    <mergeCell ref="M10:N10"/>
    <mergeCell ref="O10:P10"/>
    <mergeCell ref="N15:O15"/>
    <mergeCell ref="D22:E23"/>
    <mergeCell ref="C11:C14"/>
    <mergeCell ref="F15:G15"/>
    <mergeCell ref="H15:I15"/>
    <mergeCell ref="J15:K15"/>
    <mergeCell ref="L15:M15"/>
    <mergeCell ref="F1:J2"/>
    <mergeCell ref="F3:J3"/>
    <mergeCell ref="G10:H10"/>
    <mergeCell ref="I10:J10"/>
    <mergeCell ref="K10:L10"/>
  </mergeCells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2D38-9D60-4D4C-93DE-1AD182B2E3E8}">
  <dimension ref="A1:G3"/>
  <sheetViews>
    <sheetView workbookViewId="0">
      <selection activeCell="G16" sqref="G16"/>
    </sheetView>
  </sheetViews>
  <sheetFormatPr defaultRowHeight="15" x14ac:dyDescent="0.25"/>
  <cols>
    <col min="1" max="1" width="12" customWidth="1"/>
    <col min="2" max="2" width="14.140625" customWidth="1"/>
    <col min="5" max="5" width="13.85546875" bestFit="1" customWidth="1"/>
    <col min="6" max="6" width="10.5703125" bestFit="1" customWidth="1"/>
    <col min="7" max="7" width="9.42578125" customWidth="1"/>
  </cols>
  <sheetData>
    <row r="1" spans="1:7" x14ac:dyDescent="0.25">
      <c r="A1" t="s">
        <v>39</v>
      </c>
      <c r="B1" t="s">
        <v>37</v>
      </c>
      <c r="C1" t="s">
        <v>38</v>
      </c>
      <c r="D1" t="s">
        <v>42</v>
      </c>
      <c r="E1" t="s">
        <v>40</v>
      </c>
      <c r="F1" t="s">
        <v>41</v>
      </c>
      <c r="G1" t="s">
        <v>43</v>
      </c>
    </row>
    <row r="2" spans="1:7" x14ac:dyDescent="0.25">
      <c r="A2">
        <v>10</v>
      </c>
      <c r="B2">
        <v>15</v>
      </c>
      <c r="C2">
        <v>700</v>
      </c>
      <c r="D2" s="61">
        <v>35</v>
      </c>
      <c r="E2">
        <v>10</v>
      </c>
      <c r="F2" s="61">
        <v>6593</v>
      </c>
      <c r="G2">
        <v>3</v>
      </c>
    </row>
    <row r="3" spans="1:7" x14ac:dyDescent="0.25">
      <c r="A3">
        <v>10</v>
      </c>
      <c r="B3">
        <v>20</v>
      </c>
      <c r="C3">
        <v>700</v>
      </c>
      <c r="D3" s="6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300E-85A9-44AE-9255-858C7E8DFE55}">
  <dimension ref="A1:V24"/>
  <sheetViews>
    <sheetView topLeftCell="C1" workbookViewId="0">
      <selection activeCell="H9" sqref="H9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customWidth="1"/>
    <col min="6" max="6" width="9.28515625" bestFit="1" customWidth="1"/>
    <col min="7" max="7" width="11.7109375" customWidth="1"/>
    <col min="8" max="8" width="12" customWidth="1"/>
    <col min="9" max="9" width="16.4257812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5" width="10.5703125" bestFit="1" customWidth="1"/>
    <col min="16" max="16" width="11.5703125" bestFit="1" customWidth="1"/>
    <col min="17" max="17" width="10" bestFit="1" customWidth="1"/>
    <col min="18" max="21" width="10.5703125" bestFit="1" customWidth="1"/>
  </cols>
  <sheetData>
    <row r="1" spans="1:22" x14ac:dyDescent="0.25">
      <c r="B1" t="s">
        <v>0</v>
      </c>
      <c r="F1" s="72" t="s">
        <v>12</v>
      </c>
      <c r="G1" s="73"/>
      <c r="H1" s="73"/>
      <c r="I1" s="73"/>
      <c r="J1" s="74"/>
    </row>
    <row r="2" spans="1:22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22" x14ac:dyDescent="0.25">
      <c r="A3" t="s">
        <v>9</v>
      </c>
      <c r="B3">
        <v>0.12</v>
      </c>
      <c r="F3" s="80" t="s">
        <v>34</v>
      </c>
      <c r="G3" s="81"/>
      <c r="H3" s="81"/>
      <c r="I3" s="81"/>
      <c r="J3" s="82"/>
    </row>
    <row r="4" spans="1:22" x14ac:dyDescent="0.25">
      <c r="C4" s="5"/>
      <c r="L4">
        <v>20</v>
      </c>
      <c r="M4">
        <v>8</v>
      </c>
    </row>
    <row r="5" spans="1:22" x14ac:dyDescent="0.25">
      <c r="C5" s="55" t="s">
        <v>4</v>
      </c>
      <c r="D5" s="53">
        <f>E5*1000</f>
        <v>10000</v>
      </c>
      <c r="E5" s="14">
        <v>10</v>
      </c>
      <c r="J5" s="52"/>
      <c r="K5" s="79">
        <v>30</v>
      </c>
      <c r="L5" s="79"/>
      <c r="M5" s="79"/>
    </row>
    <row r="6" spans="1:22" x14ac:dyDescent="0.25">
      <c r="C6" s="15" t="s">
        <v>10</v>
      </c>
      <c r="D6" s="25">
        <f>E6*1000</f>
        <v>15000</v>
      </c>
      <c r="E6" s="54">
        <v>15</v>
      </c>
    </row>
    <row r="7" spans="1:22" x14ac:dyDescent="0.25">
      <c r="C7" s="15" t="s">
        <v>13</v>
      </c>
      <c r="D7" s="26">
        <v>35</v>
      </c>
    </row>
    <row r="8" spans="1:22" x14ac:dyDescent="0.25">
      <c r="C8" s="15" t="s">
        <v>23</v>
      </c>
      <c r="D8" s="57">
        <v>10</v>
      </c>
      <c r="G8">
        <v>10</v>
      </c>
      <c r="H8">
        <v>10</v>
      </c>
      <c r="I8">
        <v>10</v>
      </c>
    </row>
    <row r="9" spans="1:22" x14ac:dyDescent="0.25"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  <c r="U9">
        <v>15</v>
      </c>
    </row>
    <row r="10" spans="1:22" ht="15.75" thickBot="1" x14ac:dyDescent="0.3">
      <c r="G10" s="64">
        <f>$F$15</f>
        <v>35</v>
      </c>
      <c r="H10" s="65"/>
      <c r="I10" s="64">
        <f t="shared" ref="I10" si="0">$F$15</f>
        <v>35</v>
      </c>
      <c r="J10" s="65"/>
      <c r="K10" s="64">
        <f t="shared" ref="K10" si="1">$F$15</f>
        <v>35</v>
      </c>
      <c r="L10" s="65"/>
      <c r="M10" s="64">
        <f t="shared" ref="M10" si="2">$F$15</f>
        <v>35</v>
      </c>
      <c r="N10" s="65"/>
      <c r="O10" s="64">
        <f>$F$15</f>
        <v>35</v>
      </c>
      <c r="P10" s="65"/>
      <c r="Q10" s="64">
        <f t="shared" ref="Q10" si="3">$F$15</f>
        <v>35</v>
      </c>
      <c r="R10" s="65"/>
      <c r="S10" s="64">
        <f t="shared" ref="S10" si="4">$F$15</f>
        <v>35</v>
      </c>
      <c r="T10" s="65"/>
      <c r="U10" s="64">
        <f t="shared" ref="U10" si="5">$F$15</f>
        <v>35</v>
      </c>
      <c r="V10" s="65"/>
    </row>
    <row r="11" spans="1:22" x14ac:dyDescent="0.25">
      <c r="C11" s="67" t="s">
        <v>11</v>
      </c>
      <c r="D11" s="37">
        <f>D6*-1</f>
        <v>-15000</v>
      </c>
      <c r="E11" s="32">
        <f>D6</f>
        <v>15000</v>
      </c>
      <c r="F11" s="38">
        <f>D7</f>
        <v>35</v>
      </c>
      <c r="G11" s="30"/>
      <c r="H11" s="38">
        <f>H12*$E$11*$B$3</f>
        <v>126</v>
      </c>
      <c r="I11" s="30"/>
      <c r="J11" s="38">
        <f>J12*$E$11*$B$3</f>
        <v>342</v>
      </c>
      <c r="K11" s="30"/>
      <c r="L11" s="38">
        <f>L12*$E$11*$B$3</f>
        <v>936</v>
      </c>
      <c r="M11" s="30"/>
      <c r="N11" s="38">
        <f>N12*$E$11*$B$3</f>
        <v>2610</v>
      </c>
      <c r="O11" s="30"/>
      <c r="P11" s="38">
        <f>P12*$E$11*$B$3</f>
        <v>7235.9999999999991</v>
      </c>
      <c r="Q11" s="30"/>
      <c r="R11" s="38">
        <f t="shared" ref="R11" si="6">R12*$E$11*$B$3</f>
        <v>20106</v>
      </c>
      <c r="S11" s="30"/>
      <c r="T11" s="38">
        <f t="shared" ref="T11" si="7">T12*$E$11*$B$3</f>
        <v>55836</v>
      </c>
      <c r="U11" s="30"/>
    </row>
    <row r="12" spans="1:22" x14ac:dyDescent="0.25">
      <c r="C12" s="68"/>
      <c r="D12" s="37">
        <f>D5*-1</f>
        <v>-10000</v>
      </c>
      <c r="F12" s="44">
        <f>ROUND(F11/(E11*B3),2)</f>
        <v>0.02</v>
      </c>
      <c r="G12" s="30">
        <f>G13*$D$12*$B$3</f>
        <v>-48</v>
      </c>
      <c r="H12" s="44">
        <f>ROUND((G10-G12-F13+H8)/(E11*B3),2)</f>
        <v>7.0000000000000007E-2</v>
      </c>
      <c r="I12" s="30">
        <f>I13*$D$12*$B$3</f>
        <v>-132</v>
      </c>
      <c r="J12" s="44">
        <f>ROUND((I10-I12-H13-G12-F13+I8)/($E$11*$B$3),2)</f>
        <v>0.19</v>
      </c>
      <c r="K12" s="30">
        <f>K13*$D$12*$B$3</f>
        <v>-372</v>
      </c>
      <c r="L12" s="44">
        <f>ROUND((K10-K12-J13-I12-H13-G12-F13+I8)/($E$11*$B$3),2)</f>
        <v>0.52</v>
      </c>
      <c r="M12" s="30">
        <f>M13*$D$12*$B$3</f>
        <v>-1044</v>
      </c>
      <c r="N12" s="44">
        <f>ROUND((M10-M12-L13-K12-J13-I12-H13-G12-F13+$I$8)/($E$11*$B$3),2)</f>
        <v>1.45</v>
      </c>
      <c r="O12" s="30">
        <f>O13*$D$12*$B$3</f>
        <v>-2892</v>
      </c>
      <c r="P12" s="44">
        <f>ROUND((O10-O12-N13-M12-L13-K12-J13-I12-H13-G12-F13+$I$8)/($E$11*$B$3),2)</f>
        <v>4.0199999999999996</v>
      </c>
      <c r="Q12" s="30">
        <f t="shared" ref="Q12" si="8">Q13*$D$12*$B$3</f>
        <v>-8040</v>
      </c>
      <c r="R12" s="44">
        <f>ROUND((Q10-Q12-P13-O12-N13-M12-L13-K12-J13+$I$8-I12-H13-G12-F13)/($E$11*$B$3),2)</f>
        <v>11.17</v>
      </c>
      <c r="S12" s="30">
        <f t="shared" ref="S12" si="9">S13*$D$12*$B$3</f>
        <v>-22332</v>
      </c>
      <c r="T12" s="44">
        <f>ROUND((S10-S12-R13-Q12-P13-O12-N13-M12-L13-K12-J13+$I$8-I12-H13-G12-F13)/($E$11*$B$3),2)</f>
        <v>31.02</v>
      </c>
      <c r="U12" s="30">
        <f t="shared" ref="U12" si="10">U13*$D$12*$B$3</f>
        <v>-62040</v>
      </c>
    </row>
    <row r="13" spans="1:22" x14ac:dyDescent="0.25">
      <c r="C13" s="68"/>
      <c r="D13" s="36">
        <f>D12</f>
        <v>-10000</v>
      </c>
      <c r="F13" s="33">
        <f>F12*$D$13*$B$3</f>
        <v>-24</v>
      </c>
      <c r="G13" s="41">
        <f>ROUND((F15+G8-F13)/($E$14*$B$3),2)</f>
        <v>0.04</v>
      </c>
      <c r="H13" s="33">
        <f>H12*$D$13*$B$3</f>
        <v>-84.000000000000014</v>
      </c>
      <c r="I13" s="41">
        <f>ROUND((H15-H13-G12-F13+I8)/($E$14*$B$3),2)</f>
        <v>0.11</v>
      </c>
      <c r="J13" s="33">
        <f>J12*$D$13*$B$3</f>
        <v>-228</v>
      </c>
      <c r="K13" s="41">
        <f>ROUND((J15-J13-I12-H13-G12-F13+I8)/($E$14*$B$3),2)</f>
        <v>0.31</v>
      </c>
      <c r="L13" s="38">
        <f>L12*$D$13*$B$3</f>
        <v>-624</v>
      </c>
      <c r="M13" s="41">
        <f>ROUND((L15-L13-K12-J13-I12-H13-G12-F13+I8)/($E$14*$B$3),2)</f>
        <v>0.87</v>
      </c>
      <c r="N13" s="38">
        <f>N12*$D$13*$B$3</f>
        <v>-1740</v>
      </c>
      <c r="O13" s="41">
        <f>ROUND((N15-N13-M12-L13-K12-J13-I12-H13-G12-F13+$I$8)/($E$14*$B$3), 2)</f>
        <v>2.41</v>
      </c>
      <c r="P13" s="38">
        <f>P12*$D$13*$B$3</f>
        <v>-4823.9999999999991</v>
      </c>
      <c r="Q13" s="41">
        <f>ROUND((P15-P13-O12-N13-M12-L13-K12-J13+I8-I12-H13-G12-F13)/($E$14*$B$3),2)</f>
        <v>6.7</v>
      </c>
      <c r="R13" s="38">
        <f t="shared" ref="R13" si="11">R12*$D$13*$B$3</f>
        <v>-13404</v>
      </c>
      <c r="S13" s="41">
        <f>ROUND((R15-R13-Q12-P13-O12-N13-M12-L13-K12-J13+$I$8-I12-H13-G12-F13)/($E$14*$B$3), 2)</f>
        <v>18.61</v>
      </c>
      <c r="T13" s="38">
        <f t="shared" ref="T13" si="12">T12*$D$13*$B$3</f>
        <v>-37224</v>
      </c>
      <c r="U13" s="41">
        <f>ROUND((T15-T13-S12-R13-Q12-P13-O12-N13+I8-M12-L13-K12-J13-I12-H13-G12-F13)/($E$14*$B$3),2)</f>
        <v>51.7</v>
      </c>
    </row>
    <row r="14" spans="1:22" ht="15.75" thickBot="1" x14ac:dyDescent="0.3">
      <c r="C14" s="69"/>
      <c r="D14" s="36">
        <f>D11</f>
        <v>-15000</v>
      </c>
      <c r="E14" s="34">
        <f>D6</f>
        <v>15000</v>
      </c>
      <c r="F14" s="33"/>
      <c r="G14" s="30">
        <f>G13*$E$14*$B$3</f>
        <v>72</v>
      </c>
      <c r="H14" s="35"/>
      <c r="I14" s="30">
        <f>I13*$E$14*$B$3</f>
        <v>198</v>
      </c>
      <c r="J14" s="35"/>
      <c r="K14" s="30">
        <f>K13*$E$14*$B$3</f>
        <v>558</v>
      </c>
      <c r="L14" s="35"/>
      <c r="M14" s="30">
        <f>M13*$E$14*$B$3</f>
        <v>1566</v>
      </c>
      <c r="N14" s="35"/>
      <c r="O14" s="30">
        <f>O13*$E$14*$B$3</f>
        <v>4338</v>
      </c>
      <c r="P14" s="35"/>
      <c r="Q14" s="30">
        <f t="shared" ref="Q14" si="13">Q13*$E$14*$B$3</f>
        <v>12060</v>
      </c>
      <c r="R14" s="35"/>
      <c r="S14" s="30">
        <f t="shared" ref="S14" si="14">S13*$E$14*$B$3</f>
        <v>33498</v>
      </c>
      <c r="T14" s="35"/>
      <c r="U14" s="30">
        <f t="shared" ref="U14" si="15">U13*$E$14*$B$3</f>
        <v>93060</v>
      </c>
    </row>
    <row r="15" spans="1:22" x14ac:dyDescent="0.25">
      <c r="F15" s="70">
        <f>$F$11</f>
        <v>35</v>
      </c>
      <c r="G15" s="71"/>
      <c r="H15" s="70">
        <f t="shared" ref="H15" si="16">$F$11</f>
        <v>35</v>
      </c>
      <c r="I15" s="71"/>
      <c r="J15" s="70">
        <f t="shared" ref="J15" si="17">$F$11</f>
        <v>35</v>
      </c>
      <c r="K15" s="71"/>
      <c r="L15" s="70">
        <f t="shared" ref="L15" si="18">$F$11</f>
        <v>35</v>
      </c>
      <c r="M15" s="71"/>
      <c r="N15" s="70">
        <f t="shared" ref="N15:T15" si="19">$F$11</f>
        <v>35</v>
      </c>
      <c r="O15" s="71"/>
      <c r="P15" s="70">
        <f t="shared" si="19"/>
        <v>35</v>
      </c>
      <c r="Q15" s="71"/>
      <c r="R15" s="70">
        <f t="shared" si="19"/>
        <v>35</v>
      </c>
      <c r="S15" s="71"/>
      <c r="T15" s="70">
        <f t="shared" si="19"/>
        <v>35</v>
      </c>
      <c r="U15" s="71"/>
    </row>
    <row r="16" spans="1:22" x14ac:dyDescent="0.25"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8" spans="6:21" ht="16.5" x14ac:dyDescent="0.25">
      <c r="J18" s="49" t="s">
        <v>14</v>
      </c>
      <c r="K18" s="49" t="s">
        <v>15</v>
      </c>
      <c r="L18" s="49" t="s">
        <v>16</v>
      </c>
      <c r="M18" s="49" t="s">
        <v>17</v>
      </c>
      <c r="N18" s="49" t="s">
        <v>18</v>
      </c>
      <c r="O18" s="49" t="s">
        <v>19</v>
      </c>
      <c r="P18" s="49" t="s">
        <v>20</v>
      </c>
      <c r="Q18" s="49" t="s">
        <v>27</v>
      </c>
      <c r="R18" s="49" t="s">
        <v>28</v>
      </c>
      <c r="S18" s="49" t="s">
        <v>29</v>
      </c>
      <c r="T18" s="49" t="s">
        <v>30</v>
      </c>
      <c r="U18" s="49" t="s">
        <v>31</v>
      </c>
    </row>
    <row r="19" spans="6:21" x14ac:dyDescent="0.25">
      <c r="I19" s="50" t="s">
        <v>21</v>
      </c>
      <c r="J19" s="46">
        <f>SUM($F$13:$F$14,$G$11:$G$12,$H$13:$H$14,$I$11:$I$12,$J$13:$J$14)/2*-1</f>
        <v>258</v>
      </c>
      <c r="K19" s="47">
        <f>SUM($F$13:$F$14,$G$11:$G$12,$H$13:$H$14,$I$11:$I$12,$J$13:$J$14,$K$11:$K$12)/2*-1</f>
        <v>444</v>
      </c>
      <c r="L19" s="47">
        <f>SUM($F$13:$F$14,$G$11:$G$12,$H$13:$H$14,$I$11:$I$12,$J$13:$J$14,$K$11:$K$12,$L$13:$L$14)/2*-1</f>
        <v>756</v>
      </c>
      <c r="M19" s="47">
        <f>SUM($F$13:$F$14,$G$11:$G$12,$H$13:$H$14,$I$11:$I$12,$J$13:$J$14,$K$11:$K$12,$L$13:$L$14,$M$11:$M$12)/2*-1</f>
        <v>1278</v>
      </c>
      <c r="N19" s="47">
        <f>SUM($F$13:$F$14,$G$11:$G$12,$H$13:$H$14,$I$11:$I$12,$J$13:$J$14,$K$11:$K$12,$L$13:$L$14,$M$11:$M$12,$N$13:$N$14)/2*-1</f>
        <v>2148</v>
      </c>
      <c r="O19" s="47">
        <f>SUM($F$13:$F$14,$G$11:$G$12,$H$13:$H$14,$I$11:$I$12,$J$13:$J$14,$K$11:$K$12,$L$13:$L$14,$M$11:$M$12,$N$13:$N$14,$O$11:$O$12)/2*-1</f>
        <v>3594</v>
      </c>
      <c r="P19" s="48">
        <f>SUM($F$13:$F$14,$G$11:$G$12,$H$13:$H$14,$I$11:$I$12,$J$13:$J$14,$K$11:$K$12,$L$13:$L$14,$M$11:$M$12,$N$13:$N$14,$O$11:$O$12,$P$13:$P$14)/2*-1</f>
        <v>6006</v>
      </c>
      <c r="Q19" s="47">
        <f>SUM($F$13:$F$14,$G$11:$G$12,$H$13:$H$14,$I$11:$I$12,$J$13:$J$14,$K$11:$K$12,$L$13:$L$14,$M$11:$M$12,$N$13:$N$14,P13,Q12)/2*-1</f>
        <v>8580</v>
      </c>
      <c r="R19" s="47">
        <f>SUM($F$13:$F$14,$G$11:$G$12,$H$13:$H$14,$I$11:$I$12,$J$13:$J$14,$K$11:$K$12,$L$13:$L$14,$M$11:$M$12,$N$13:$N$14,$O$11:$O$12,P13,Q12,R13)/2*-1</f>
        <v>16728</v>
      </c>
      <c r="S19" s="47">
        <f>SUM($F$13:$F$14,$G$11:$G$12,$H$13:$H$14,$I$11:$I$12,$J$13:$J$14,$K$11:$K$12,$L$13:$L$14,$M$11:$M$12,$N$13:$N$14,$O$11:$O$12,P13,Q12,R13,S12)/2*-1</f>
        <v>27894</v>
      </c>
      <c r="T19" s="47">
        <f>SUM($F$13:$F$14,$G$11:$G$12,$H$13:$H$14,$I$11:$I$12,$J$13:$J$14,$K$11:$K$12,$L$13:$L$14,$M$11:$M$12,$N$13:$N$14,$O$11:$O$12,R13,S12,T13,Q12,P13)/2*-1</f>
        <v>46506</v>
      </c>
      <c r="U19" s="47">
        <f>SUM($F$13:$F$14,$G$11:$G$12,$H$13:$H$14,$I$11:$I$12,$J$13:$J$14,$K$11:$K$12,$L$13:$L$14,$M$11:$M$12,$N$13:$N$14,$O$11:$O$12,P13,Q12,R13,S12,T13,U12)/2*-1</f>
        <v>77526</v>
      </c>
    </row>
    <row r="20" spans="6:21" x14ac:dyDescent="0.25">
      <c r="J20" s="45"/>
    </row>
    <row r="22" spans="6:21" x14ac:dyDescent="0.25">
      <c r="F22" s="40">
        <f>ROUND(F12,2)</f>
        <v>0.02</v>
      </c>
      <c r="G22" s="41">
        <f>ROUND(G13,2)</f>
        <v>0.04</v>
      </c>
      <c r="H22" s="40">
        <f>ROUND(H12,2)</f>
        <v>7.0000000000000007E-2</v>
      </c>
      <c r="I22" s="40">
        <f>ROUND(I13,2)</f>
        <v>0.11</v>
      </c>
      <c r="J22" s="40">
        <f t="shared" ref="J22:N22" si="20">ROUND(J12,2)</f>
        <v>0.19</v>
      </c>
      <c r="K22" s="40">
        <f>ROUND(K13,2)</f>
        <v>0.31</v>
      </c>
      <c r="L22" s="40">
        <f t="shared" si="20"/>
        <v>0.52</v>
      </c>
      <c r="M22" s="40">
        <f>ROUND(M13,2)</f>
        <v>0.87</v>
      </c>
      <c r="N22" s="40">
        <f t="shared" si="20"/>
        <v>1.45</v>
      </c>
      <c r="O22" s="41">
        <f>ROUND(O13,2)</f>
        <v>2.41</v>
      </c>
      <c r="P22" s="41">
        <f>ROUND(P12,2)</f>
        <v>4.0199999999999996</v>
      </c>
    </row>
    <row r="24" spans="6:21" x14ac:dyDescent="0.25">
      <c r="F24" t="str">
        <f>_xlfn.TEXTJOIN(", ",,F22:P22)</f>
        <v>0.02, 0.04, 0.07, 0.11, 0.19, 0.31, 0.52, 0.87, 1.45, 2.41, 4.02</v>
      </c>
    </row>
  </sheetData>
  <mergeCells count="20">
    <mergeCell ref="F1:J2"/>
    <mergeCell ref="F3:J3"/>
    <mergeCell ref="K5:M5"/>
    <mergeCell ref="G10:H10"/>
    <mergeCell ref="I10:J10"/>
    <mergeCell ref="K10:L10"/>
    <mergeCell ref="M10:N10"/>
    <mergeCell ref="C11:C14"/>
    <mergeCell ref="F15:G15"/>
    <mergeCell ref="H15:I15"/>
    <mergeCell ref="J15:K15"/>
    <mergeCell ref="L15:M15"/>
    <mergeCell ref="Q10:R10"/>
    <mergeCell ref="S10:T10"/>
    <mergeCell ref="U10:V10"/>
    <mergeCell ref="P15:Q15"/>
    <mergeCell ref="R15:S15"/>
    <mergeCell ref="T15:U15"/>
    <mergeCell ref="O10:P10"/>
    <mergeCell ref="N15:O15"/>
  </mergeCells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a1</vt:lpstr>
      <vt:lpstr>b1</vt:lpstr>
      <vt:lpstr>b2</vt:lpstr>
      <vt:lpstr>b3</vt:lpstr>
      <vt:lpstr>Sheet2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Kwamena Afful Yamoah</dc:creator>
  <cp:lastModifiedBy>Kwamena Afful Yamoah</cp:lastModifiedBy>
  <dcterms:created xsi:type="dcterms:W3CDTF">2025-07-04T13:41:45Z</dcterms:created>
  <dcterms:modified xsi:type="dcterms:W3CDTF">2025-07-28T08:33:00Z</dcterms:modified>
</cp:coreProperties>
</file>